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omments5.xml" ContentType="application/vnd.openxmlformats-officedocument.spreadsheetml.comments+xml"/>
  <Override PartName="/xl/drawings/drawing9.xml" ContentType="application/vnd.openxmlformats-officedocument.drawing+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7.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8.xml" ContentType="application/vnd.openxmlformats-officedocument.spreadsheetml.comments+xml"/>
  <Override PartName="/xl/tables/table6.xml" ContentType="application/vnd.openxmlformats-officedocument.spreadsheetml.table+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homas\Desktop\Lambda\Anepsa\avaluos\"/>
    </mc:Choice>
  </mc:AlternateContent>
  <xr:revisionPtr revIDLastSave="0" documentId="8_{6FE183FE-31C4-4605-B0BB-C9F114B72385}" xr6:coauthVersionLast="47" xr6:coauthVersionMax="47" xr10:uidLastSave="{00000000-0000-0000-0000-000000000000}"/>
  <bookViews>
    <workbookView xWindow="-108" yWindow="-108" windowWidth="23256" windowHeight="12456" xr2:uid="{00000000-000D-0000-FFFF-FFFF00000000}"/>
  </bookViews>
  <sheets>
    <sheet name="WACC_SECTOR GREEN ENERGY (2)" sheetId="1" r:id="rId1"/>
    <sheet name="RESUMEN" sheetId="2" r:id="rId2"/>
    <sheet name="WACC" sheetId="3" r:id="rId3"/>
    <sheet name="Betas 2025" sheetId="4" r:id="rId4"/>
    <sheet name="MARCA (2)" sheetId="5" state="hidden" r:id="rId5"/>
    <sheet name="Expected Growth25" sheetId="6" r:id="rId6"/>
    <sheet name="MEDICION DE INGRESOS  (2)" sheetId="7" state="hidden" r:id="rId7"/>
    <sheet name="VALOR NETO CONTABLE" sheetId="8" r:id="rId8"/>
    <sheet name="1. Datos" sheetId="9" r:id="rId9"/>
    <sheet name="2.Cálculos (2)" sheetId="10" r:id="rId10"/>
    <sheet name="MARCA" sheetId="11" r:id="rId11"/>
    <sheet name="4.Resumen-Escenario1" sheetId="12" state="hidden" r:id="rId12"/>
    <sheet name="4.Resumen-Escenario" sheetId="13" r:id="rId13"/>
    <sheet name="Industry Averages (3)" sheetId="14" r:id="rId14"/>
    <sheet name="Proyeccion ngresos" sheetId="15" r:id="rId15"/>
    <sheet name="4.Resumen-Escenario CONSERVADOR" sheetId="16" state="hidden" r:id="rId16"/>
    <sheet name="Multiplos damodaran" sheetId="17" r:id="rId17"/>
    <sheet name="reinvestment us" sheetId="18" r:id="rId18"/>
    <sheet name="Razones financieras" sheetId="19" r:id="rId19"/>
    <sheet name="Estructura de deuda" sheetId="20" r:id="rId20"/>
    <sheet name="BENEFICIO FISCAL" sheetId="21" r:id="rId21"/>
    <sheet name="EV SALES" sheetId="22" r:id="rId22"/>
    <sheet name="operating margin" sheetId="23" r:id="rId23"/>
    <sheet name="Reinvestment Rate 25" sheetId="24" r:id="rId24"/>
    <sheet name="Historical Impl Premiums" sheetId="25" r:id="rId25"/>
    <sheet name="MEDICION DE INGRESOS " sheetId="26" state="hidden" r:id="rId26"/>
    <sheet name="EXPECTED GROWTH" sheetId="27" state="hidden" r:id="rId27"/>
    <sheet name="Industry Averages_REINVESTMENT" sheetId="28" r:id="rId28"/>
    <sheet name="Dupont" sheetId="29" state="hidden" r:id="rId29"/>
    <sheet name="ERPs 2021" sheetId="30" state="hidden" r:id="rId30"/>
    <sheet name="ERPs by country 25" sheetId="31" r:id="rId31"/>
    <sheet name="Riesgo Pais" sheetId="32" state="hidden" r:id="rId32"/>
  </sheets>
  <definedNames>
    <definedName name="_" localSheetId="20">#REF!</definedName>
    <definedName name="_" localSheetId="6">#REF!</definedName>
    <definedName name="_" localSheetId="2">#REF!</definedName>
    <definedName name="_" localSheetId="0">#REF!</definedName>
    <definedName name="_">#REF!</definedName>
    <definedName name="___GR2" localSheetId="20">#REF!</definedName>
    <definedName name="___GR2" localSheetId="19">#REF!</definedName>
    <definedName name="___GR2" localSheetId="21">#REF!</definedName>
    <definedName name="___GR2" localSheetId="13">#REF!</definedName>
    <definedName name="___GR2" localSheetId="10">#REF!</definedName>
    <definedName name="___GR2" localSheetId="4">#REF!</definedName>
    <definedName name="___GR2" localSheetId="6">#REF!</definedName>
    <definedName name="___GR2" localSheetId="16">#REF!</definedName>
    <definedName name="___GR2" localSheetId="22">#REF!</definedName>
    <definedName name="___GR2" localSheetId="17">#REF!</definedName>
    <definedName name="___GR2" localSheetId="0">#REF!</definedName>
    <definedName name="___GR2">#REF!</definedName>
    <definedName name="__age1" localSheetId="20">#REF!</definedName>
    <definedName name="__age1" localSheetId="24">#REF!</definedName>
    <definedName name="__age1" localSheetId="13">#REF!</definedName>
    <definedName name="__age1" localSheetId="6">#REF!</definedName>
    <definedName name="__age1" localSheetId="31">#REF!</definedName>
    <definedName name="__age1" localSheetId="2">#REF!</definedName>
    <definedName name="__age1" localSheetId="0">#REF!</definedName>
    <definedName name="__age1">#REF!</definedName>
    <definedName name="__age10" localSheetId="20">#REF!</definedName>
    <definedName name="__age10" localSheetId="6">#REF!</definedName>
    <definedName name="__age10" localSheetId="2">#REF!</definedName>
    <definedName name="__age10" localSheetId="0">#REF!</definedName>
    <definedName name="__age10">#REF!</definedName>
    <definedName name="__age12" localSheetId="20">#REF!</definedName>
    <definedName name="__age12" localSheetId="6">#REF!</definedName>
    <definedName name="__age12" localSheetId="2">#REF!</definedName>
    <definedName name="__age12" localSheetId="0">#REF!</definedName>
    <definedName name="__age12">#REF!</definedName>
    <definedName name="__age15" localSheetId="20">#REF!</definedName>
    <definedName name="__age15" localSheetId="0">#REF!</definedName>
    <definedName name="__age15">#REF!</definedName>
    <definedName name="__age20" localSheetId="20">#REF!</definedName>
    <definedName name="__age20" localSheetId="0">#REF!</definedName>
    <definedName name="__age20">#REF!</definedName>
    <definedName name="__age25" localSheetId="20">#REF!</definedName>
    <definedName name="__age25" localSheetId="0">#REF!</definedName>
    <definedName name="__age25">#REF!</definedName>
    <definedName name="__age30" localSheetId="20">#REF!</definedName>
    <definedName name="__age30" localSheetId="0">#REF!</definedName>
    <definedName name="__age30">#REF!</definedName>
    <definedName name="__age35" localSheetId="20">#REF!</definedName>
    <definedName name="__age35" localSheetId="0">#REF!</definedName>
    <definedName name="__age35">#REF!</definedName>
    <definedName name="__age5" localSheetId="20">#REF!</definedName>
    <definedName name="__age5" localSheetId="0">#REF!</definedName>
    <definedName name="__age5">#REF!</definedName>
    <definedName name="__age7" localSheetId="20">#REF!</definedName>
    <definedName name="__age7" localSheetId="0">#REF!</definedName>
    <definedName name="__age7">#REF!</definedName>
    <definedName name="__CHF2001" localSheetId="20">#REF!</definedName>
    <definedName name="__CHF2001" localSheetId="0">#REF!</definedName>
    <definedName name="__CHF2001">#REF!</definedName>
    <definedName name="__DEP1" localSheetId="20">#REF!</definedName>
    <definedName name="__DEP1" localSheetId="0">#REF!</definedName>
    <definedName name="__DEP1">#REF!</definedName>
    <definedName name="__DEP10" localSheetId="20">#REF!</definedName>
    <definedName name="__DEP10" localSheetId="0">#REF!</definedName>
    <definedName name="__DEP10">#REF!</definedName>
    <definedName name="__DEP11" localSheetId="20">#REF!</definedName>
    <definedName name="__DEP11" localSheetId="0">#REF!</definedName>
    <definedName name="__DEP11">#REF!</definedName>
    <definedName name="__DEP12" localSheetId="20">#REF!</definedName>
    <definedName name="__DEP12" localSheetId="0">#REF!</definedName>
    <definedName name="__DEP12">#REF!</definedName>
    <definedName name="__dep13" localSheetId="20">#REF!</definedName>
    <definedName name="__dep13" localSheetId="0">#REF!</definedName>
    <definedName name="__dep13">#REF!</definedName>
    <definedName name="__DEP14" localSheetId="20">#REF!</definedName>
    <definedName name="__DEP14" localSheetId="0">#REF!</definedName>
    <definedName name="__DEP14">#REF!</definedName>
    <definedName name="__DEP15" localSheetId="20">#REF!</definedName>
    <definedName name="__DEP15" localSheetId="0">#REF!</definedName>
    <definedName name="__DEP15">#REF!</definedName>
    <definedName name="__DEP16" localSheetId="20">#REF!</definedName>
    <definedName name="__DEP16" localSheetId="0">#REF!</definedName>
    <definedName name="__DEP16">#REF!</definedName>
    <definedName name="__DEP17" localSheetId="20">#REF!</definedName>
    <definedName name="__DEP17" localSheetId="0">#REF!</definedName>
    <definedName name="__DEP17">#REF!</definedName>
    <definedName name="__DEP18" localSheetId="20">#REF!</definedName>
    <definedName name="__DEP18" localSheetId="0">#REF!</definedName>
    <definedName name="__DEP18">#REF!</definedName>
    <definedName name="__DEP19" localSheetId="20">#REF!</definedName>
    <definedName name="__DEP19" localSheetId="0">#REF!</definedName>
    <definedName name="__DEP19">#REF!</definedName>
    <definedName name="__DEP2" localSheetId="20">#REF!</definedName>
    <definedName name="__DEP2" localSheetId="0">#REF!</definedName>
    <definedName name="__DEP2">#REF!</definedName>
    <definedName name="__DEP20" localSheetId="20">#REF!</definedName>
    <definedName name="__DEP20" localSheetId="0">#REF!</definedName>
    <definedName name="__DEP20">#REF!</definedName>
    <definedName name="__DEP21" localSheetId="20">#REF!</definedName>
    <definedName name="__DEP21" localSheetId="0">#REF!</definedName>
    <definedName name="__DEP21">#REF!</definedName>
    <definedName name="__DEP22" localSheetId="20">#REF!</definedName>
    <definedName name="__DEP22" localSheetId="0">#REF!</definedName>
    <definedName name="__DEP22">#REF!</definedName>
    <definedName name="__DEP23" localSheetId="20">#REF!</definedName>
    <definedName name="__DEP23" localSheetId="0">#REF!</definedName>
    <definedName name="__DEP23">#REF!</definedName>
    <definedName name="__DEP24" localSheetId="20">#REF!</definedName>
    <definedName name="__DEP24" localSheetId="0">#REF!</definedName>
    <definedName name="__DEP24">#REF!</definedName>
    <definedName name="__DEP25" localSheetId="20">#REF!</definedName>
    <definedName name="__DEP25" localSheetId="0">#REF!</definedName>
    <definedName name="__DEP25">#REF!</definedName>
    <definedName name="__DEP3" localSheetId="20">#REF!</definedName>
    <definedName name="__DEP3" localSheetId="0">#REF!</definedName>
    <definedName name="__DEP3">#REF!</definedName>
    <definedName name="__DEP4" localSheetId="20">#REF!</definedName>
    <definedName name="__DEP4" localSheetId="0">#REF!</definedName>
    <definedName name="__DEP4">#REF!</definedName>
    <definedName name="__DEP5" localSheetId="20">#REF!</definedName>
    <definedName name="__DEP5" localSheetId="0">#REF!</definedName>
    <definedName name="__DEP5">#REF!</definedName>
    <definedName name="__DEP6" localSheetId="20">#REF!</definedName>
    <definedName name="__DEP6" localSheetId="0">#REF!</definedName>
    <definedName name="__DEP6">#REF!</definedName>
    <definedName name="__DEP7" localSheetId="20">#REF!</definedName>
    <definedName name="__DEP7" localSheetId="0">#REF!</definedName>
    <definedName name="__DEP7">#REF!</definedName>
    <definedName name="__dep8" localSheetId="20">#REF!</definedName>
    <definedName name="__dep8" localSheetId="0">#REF!</definedName>
    <definedName name="__dep8">#REF!</definedName>
    <definedName name="__DEP9" localSheetId="20">#REF!</definedName>
    <definedName name="__DEP9" localSheetId="0">#REF!</definedName>
    <definedName name="__DEP9">#REF!</definedName>
    <definedName name="__GR2" localSheetId="20">#REF!</definedName>
    <definedName name="__GR2" localSheetId="19">#REF!</definedName>
    <definedName name="__GR2" localSheetId="21">#REF!</definedName>
    <definedName name="__GR2" localSheetId="13">#REF!</definedName>
    <definedName name="__GR2" localSheetId="10">#REF!</definedName>
    <definedName name="__GR2" localSheetId="4">#REF!</definedName>
    <definedName name="__GR2" localSheetId="6">#REF!</definedName>
    <definedName name="__GR2" localSheetId="16">#REF!</definedName>
    <definedName name="__GR2" localSheetId="22">#REF!</definedName>
    <definedName name="__GR2" localSheetId="17">#REF!</definedName>
    <definedName name="__GR2" localSheetId="0">#REF!</definedName>
    <definedName name="__GR2">#REF!</definedName>
    <definedName name="_2" localSheetId="10">#REF!</definedName>
    <definedName name="_2" localSheetId="4">#REF!</definedName>
    <definedName name="_2" localSheetId="6">#REF!</definedName>
    <definedName name="_2" localSheetId="22">#REF!</definedName>
    <definedName name="_2" localSheetId="0">#REF!</definedName>
    <definedName name="_2">#REF!</definedName>
    <definedName name="_3" localSheetId="10">#REF!</definedName>
    <definedName name="_3" localSheetId="4">#REF!</definedName>
    <definedName name="_3" localSheetId="6">#REF!</definedName>
    <definedName name="_3" localSheetId="22">#REF!</definedName>
    <definedName name="_3" localSheetId="0">#REF!</definedName>
    <definedName name="_3">#REF!</definedName>
    <definedName name="_4" localSheetId="10">#REF!</definedName>
    <definedName name="_4" localSheetId="4">#REF!</definedName>
    <definedName name="_4" localSheetId="6">#REF!</definedName>
    <definedName name="_4" localSheetId="22">#REF!</definedName>
    <definedName name="_4" localSheetId="0">#REF!</definedName>
    <definedName name="_4">#REF!</definedName>
    <definedName name="_5" localSheetId="10">#REF!</definedName>
    <definedName name="_5" localSheetId="4">#REF!</definedName>
    <definedName name="_5" localSheetId="6">#REF!</definedName>
    <definedName name="_5" localSheetId="22">#REF!</definedName>
    <definedName name="_5" localSheetId="0">#REF!</definedName>
    <definedName name="_5">#REF!</definedName>
    <definedName name="_5252_A" localSheetId="20">#REF!</definedName>
    <definedName name="_5252_A" localSheetId="24">#REF!</definedName>
    <definedName name="_5252_A" localSheetId="13">#REF!</definedName>
    <definedName name="_5252_A" localSheetId="6">#REF!</definedName>
    <definedName name="_5252_A" localSheetId="31">#REF!</definedName>
    <definedName name="_5252_A" localSheetId="2">#REF!</definedName>
    <definedName name="_5252_A" localSheetId="0">#REF!</definedName>
    <definedName name="_5252_A">#REF!</definedName>
    <definedName name="_6" localSheetId="10">#REF!</definedName>
    <definedName name="_6" localSheetId="4">#REF!</definedName>
    <definedName name="_6" localSheetId="6">#REF!</definedName>
    <definedName name="_6" localSheetId="16">#REF!</definedName>
    <definedName name="_6" localSheetId="22">#REF!</definedName>
    <definedName name="_6" localSheetId="17">#REF!</definedName>
    <definedName name="_6" localSheetId="0">#REF!</definedName>
    <definedName name="_6">#REF!</definedName>
    <definedName name="_6V_71" localSheetId="20">#REF!</definedName>
    <definedName name="_6V_71" localSheetId="24">#REF!</definedName>
    <definedName name="_6V_71" localSheetId="13">#REF!</definedName>
    <definedName name="_6V_71" localSheetId="6">#REF!</definedName>
    <definedName name="_6V_71" localSheetId="31">#REF!</definedName>
    <definedName name="_6V_71" localSheetId="2">#REF!</definedName>
    <definedName name="_6V_71" localSheetId="0">#REF!</definedName>
    <definedName name="_6V_71">#REF!</definedName>
    <definedName name="_7" localSheetId="10">#REF!</definedName>
    <definedName name="_7" localSheetId="4">#REF!</definedName>
    <definedName name="_7" localSheetId="6">#REF!</definedName>
    <definedName name="_7" localSheetId="16">#REF!</definedName>
    <definedName name="_7" localSheetId="22">#REF!</definedName>
    <definedName name="_7" localSheetId="17">#REF!</definedName>
    <definedName name="_7" localSheetId="0">#REF!</definedName>
    <definedName name="_7">#REF!</definedName>
    <definedName name="_8" localSheetId="20">#REF!</definedName>
    <definedName name="_8" localSheetId="10">#REF!</definedName>
    <definedName name="_8" localSheetId="4">#REF!</definedName>
    <definedName name="_8" localSheetId="0">#REF!</definedName>
    <definedName name="_8">#REF!</definedName>
    <definedName name="_age1" localSheetId="20">#REF!</definedName>
    <definedName name="_age1" localSheetId="24">#REF!</definedName>
    <definedName name="_age1" localSheetId="13">#REF!</definedName>
    <definedName name="_age1" localSheetId="6">#REF!</definedName>
    <definedName name="_age1" localSheetId="31">#REF!</definedName>
    <definedName name="_age1" localSheetId="2">#REF!</definedName>
    <definedName name="_age1" localSheetId="0">#REF!</definedName>
    <definedName name="_age1">#REF!</definedName>
    <definedName name="_age10" localSheetId="20">#REF!</definedName>
    <definedName name="_age10" localSheetId="6">#REF!</definedName>
    <definedName name="_age10" localSheetId="2">#REF!</definedName>
    <definedName name="_age10" localSheetId="0">#REF!</definedName>
    <definedName name="_age10">#REF!</definedName>
    <definedName name="_age12" localSheetId="20">#REF!</definedName>
    <definedName name="_age12" localSheetId="6">#REF!</definedName>
    <definedName name="_age12" localSheetId="2">#REF!</definedName>
    <definedName name="_age12" localSheetId="0">#REF!</definedName>
    <definedName name="_age12">#REF!</definedName>
    <definedName name="_age15" localSheetId="20">#REF!</definedName>
    <definedName name="_age15" localSheetId="0">#REF!</definedName>
    <definedName name="_age15">#REF!</definedName>
    <definedName name="_age20" localSheetId="20">#REF!</definedName>
    <definedName name="_age20" localSheetId="0">#REF!</definedName>
    <definedName name="_age20">#REF!</definedName>
    <definedName name="_age25" localSheetId="20">#REF!</definedName>
    <definedName name="_age25" localSheetId="0">#REF!</definedName>
    <definedName name="_age25">#REF!</definedName>
    <definedName name="_age30" localSheetId="20">#REF!</definedName>
    <definedName name="_age30" localSheetId="0">#REF!</definedName>
    <definedName name="_age30">#REF!</definedName>
    <definedName name="_age35" localSheetId="20">#REF!</definedName>
    <definedName name="_age35" localSheetId="0">#REF!</definedName>
    <definedName name="_age35">#REF!</definedName>
    <definedName name="_age5" localSheetId="20">#REF!</definedName>
    <definedName name="_age5" localSheetId="0">#REF!</definedName>
    <definedName name="_age5">#REF!</definedName>
    <definedName name="_age7" localSheetId="20">#REF!</definedName>
    <definedName name="_age7" localSheetId="0">#REF!</definedName>
    <definedName name="_age7">#REF!</definedName>
    <definedName name="_CHF2001" localSheetId="20">#REF!</definedName>
    <definedName name="_CHF2001" localSheetId="0">#REF!</definedName>
    <definedName name="_CHF2001">#REF!</definedName>
    <definedName name="_DEP1" localSheetId="20">#REF!</definedName>
    <definedName name="_DEP1" localSheetId="0">#REF!</definedName>
    <definedName name="_DEP1">#REF!</definedName>
    <definedName name="_DEP10" localSheetId="20">#REF!</definedName>
    <definedName name="_DEP10" localSheetId="0">#REF!</definedName>
    <definedName name="_DEP10">#REF!</definedName>
    <definedName name="_DEP11" localSheetId="20">#REF!</definedName>
    <definedName name="_DEP11" localSheetId="0">#REF!</definedName>
    <definedName name="_DEP11">#REF!</definedName>
    <definedName name="_DEP12" localSheetId="20">#REF!</definedName>
    <definedName name="_DEP12" localSheetId="0">#REF!</definedName>
    <definedName name="_DEP12">#REF!</definedName>
    <definedName name="_dep13" localSheetId="20">#REF!</definedName>
    <definedName name="_dep13" localSheetId="0">#REF!</definedName>
    <definedName name="_dep13">#REF!</definedName>
    <definedName name="_DEP14" localSheetId="20">#REF!</definedName>
    <definedName name="_DEP14" localSheetId="0">#REF!</definedName>
    <definedName name="_DEP14">#REF!</definedName>
    <definedName name="_DEP15" localSheetId="20">#REF!</definedName>
    <definedName name="_DEP15" localSheetId="0">#REF!</definedName>
    <definedName name="_DEP15">#REF!</definedName>
    <definedName name="_DEP16" localSheetId="20">#REF!</definedName>
    <definedName name="_DEP16" localSheetId="0">#REF!</definedName>
    <definedName name="_DEP16">#REF!</definedName>
    <definedName name="_DEP17" localSheetId="20">#REF!</definedName>
    <definedName name="_DEP17" localSheetId="0">#REF!</definedName>
    <definedName name="_DEP17">#REF!</definedName>
    <definedName name="_DEP18" localSheetId="20">#REF!</definedName>
    <definedName name="_DEP18" localSheetId="0">#REF!</definedName>
    <definedName name="_DEP18">#REF!</definedName>
    <definedName name="_DEP19" localSheetId="20">#REF!</definedName>
    <definedName name="_DEP19" localSheetId="0">#REF!</definedName>
    <definedName name="_DEP19">#REF!</definedName>
    <definedName name="_DEP2" localSheetId="20">#REF!</definedName>
    <definedName name="_DEP2" localSheetId="0">#REF!</definedName>
    <definedName name="_DEP2">#REF!</definedName>
    <definedName name="_DEP20" localSheetId="20">#REF!</definedName>
    <definedName name="_DEP20" localSheetId="0">#REF!</definedName>
    <definedName name="_DEP20">#REF!</definedName>
    <definedName name="_DEP21" localSheetId="20">#REF!</definedName>
    <definedName name="_DEP21" localSheetId="0">#REF!</definedName>
    <definedName name="_DEP21">#REF!</definedName>
    <definedName name="_DEP22" localSheetId="20">#REF!</definedName>
    <definedName name="_DEP22" localSheetId="0">#REF!</definedName>
    <definedName name="_DEP22">#REF!</definedName>
    <definedName name="_DEP23" localSheetId="20">#REF!</definedName>
    <definedName name="_DEP23" localSheetId="0">#REF!</definedName>
    <definedName name="_DEP23">#REF!</definedName>
    <definedName name="_DEP24" localSheetId="20">#REF!</definedName>
    <definedName name="_DEP24" localSheetId="0">#REF!</definedName>
    <definedName name="_DEP24">#REF!</definedName>
    <definedName name="_DEP25" localSheetId="20">#REF!</definedName>
    <definedName name="_DEP25" localSheetId="0">#REF!</definedName>
    <definedName name="_DEP25">#REF!</definedName>
    <definedName name="_DEP3" localSheetId="20">#REF!</definedName>
    <definedName name="_DEP3" localSheetId="0">#REF!</definedName>
    <definedName name="_DEP3">#REF!</definedName>
    <definedName name="_DEP4" localSheetId="20">#REF!</definedName>
    <definedName name="_DEP4" localSheetId="0">#REF!</definedName>
    <definedName name="_DEP4">#REF!</definedName>
    <definedName name="_DEP5" localSheetId="20">#REF!</definedName>
    <definedName name="_DEP5" localSheetId="0">#REF!</definedName>
    <definedName name="_DEP5">#REF!</definedName>
    <definedName name="_DEP6" localSheetId="20">#REF!</definedName>
    <definedName name="_DEP6" localSheetId="0">#REF!</definedName>
    <definedName name="_DEP6">#REF!</definedName>
    <definedName name="_DEP7" localSheetId="20">#REF!</definedName>
    <definedName name="_DEP7" localSheetId="0">#REF!</definedName>
    <definedName name="_DEP7">#REF!</definedName>
    <definedName name="_dep8" localSheetId="20">#REF!</definedName>
    <definedName name="_dep8" localSheetId="0">#REF!</definedName>
    <definedName name="_dep8">#REF!</definedName>
    <definedName name="_DEP9" localSheetId="20">#REF!</definedName>
    <definedName name="_DEP9" localSheetId="0">#REF!</definedName>
    <definedName name="_DEP9">#REF!</definedName>
    <definedName name="_xlnm._FilterDatabase" localSheetId="3" hidden="1">'Betas 2025'!$A$10:$P$108</definedName>
    <definedName name="_xlnm._FilterDatabase" localSheetId="30" hidden="1">'ERPs by country 25'!$A$7:$J$164</definedName>
    <definedName name="_xlnm._FilterDatabase" localSheetId="19" hidden="1">'Estructura de deuda'!$A$19:$K$116</definedName>
    <definedName name="_xlnm._FilterDatabase" localSheetId="21" hidden="1">'EV SALES'!$A$8:$F$104</definedName>
    <definedName name="_xlnm._FilterDatabase" localSheetId="5" hidden="1">'Expected Growth25'!$A$8:$G$104</definedName>
    <definedName name="_xlnm._FilterDatabase" localSheetId="13" hidden="1">'Industry Averages (3)'!$A$9:$J$105</definedName>
    <definedName name="_xlnm._FilterDatabase" localSheetId="16" hidden="1">'Multiplos damodaran'!$A$12:$F$108</definedName>
    <definedName name="_xlnm._FilterDatabase" localSheetId="22" hidden="1">'operating margin'!$A$9:$S$106</definedName>
    <definedName name="_xlnm._FilterDatabase" localSheetId="23" hidden="1">'Reinvestment Rate 25'!$A$8:$Z$104</definedName>
    <definedName name="_xlnm._FilterDatabase" localSheetId="17" hidden="1">'reinvestment us'!$A$8:$E$105</definedName>
    <definedName name="_GR2" localSheetId="20">#REF!</definedName>
    <definedName name="_GR2" localSheetId="19">#REF!</definedName>
    <definedName name="_GR2" localSheetId="21">#REF!</definedName>
    <definedName name="_GR2" localSheetId="13">#REF!</definedName>
    <definedName name="_GR2" localSheetId="10">#REF!</definedName>
    <definedName name="_GR2" localSheetId="4">#REF!</definedName>
    <definedName name="_GR2" localSheetId="6">#REF!</definedName>
    <definedName name="_GR2" localSheetId="16">#REF!</definedName>
    <definedName name="_GR2" localSheetId="22">#REF!</definedName>
    <definedName name="_GR2" localSheetId="17">#REF!</definedName>
    <definedName name="_GR2" localSheetId="0">#REF!</definedName>
    <definedName name="_GR2">#REF!</definedName>
    <definedName name="A" localSheetId="20">#REF!</definedName>
    <definedName name="A" localSheetId="19">#REF!</definedName>
    <definedName name="A" localSheetId="21">#REF!</definedName>
    <definedName name="A" localSheetId="13">#REF!</definedName>
    <definedName name="A" localSheetId="10">#REF!</definedName>
    <definedName name="A" localSheetId="4">#REF!</definedName>
    <definedName name="A" localSheetId="6">#REF!</definedName>
    <definedName name="A" localSheetId="16">#REF!</definedName>
    <definedName name="A" localSheetId="22">#REF!</definedName>
    <definedName name="A" localSheetId="17">#REF!</definedName>
    <definedName name="A" localSheetId="0">#REF!</definedName>
    <definedName name="A">#REF!</definedName>
    <definedName name="A_impresión_IM" localSheetId="20">#REF!</definedName>
    <definedName name="A_impresión_IM" localSheetId="24">#REF!</definedName>
    <definedName name="A_impresión_IM" localSheetId="13">#REF!</definedName>
    <definedName name="A_impresión_IM" localSheetId="6">#REF!</definedName>
    <definedName name="A_impresión_IM" localSheetId="31">#REF!</definedName>
    <definedName name="A_impresión_IM" localSheetId="2">#REF!</definedName>
    <definedName name="A_impresión_IM" localSheetId="0">#REF!</definedName>
    <definedName name="A_impresión_IM">#REF!</definedName>
    <definedName name="Accesorios" localSheetId="20">#REF!</definedName>
    <definedName name="Accesorios" localSheetId="24">#REF!</definedName>
    <definedName name="Accesorios" localSheetId="13">#REF!</definedName>
    <definedName name="Accesorios" localSheetId="6">#REF!</definedName>
    <definedName name="Accesorios" localSheetId="31">#REF!</definedName>
    <definedName name="Accesorios" localSheetId="2">#REF!</definedName>
    <definedName name="Accesorios" localSheetId="0">#REF!</definedName>
    <definedName name="Accesorios">#REF!</definedName>
    <definedName name="Accidentes_Especiales" localSheetId="20">#REF!</definedName>
    <definedName name="Accidentes_Especiales" localSheetId="6">#REF!</definedName>
    <definedName name="Accidentes_Especiales" localSheetId="2">#REF!</definedName>
    <definedName name="Accidentes_Especiales" localSheetId="0">#REF!</definedName>
    <definedName name="Accidentes_Especiales">#REF!</definedName>
    <definedName name="Actopan" localSheetId="20">#REF!</definedName>
    <definedName name="Actopan" localSheetId="19">#REF!</definedName>
    <definedName name="Actopan" localSheetId="21">#REF!</definedName>
    <definedName name="Actopan" localSheetId="13">#REF!</definedName>
    <definedName name="Actopan" localSheetId="10">#REF!</definedName>
    <definedName name="Actopan" localSheetId="4">#REF!</definedName>
    <definedName name="Actopan" localSheetId="6">#REF!</definedName>
    <definedName name="Actopan" localSheetId="16">#REF!</definedName>
    <definedName name="Actopan" localSheetId="22">#REF!</definedName>
    <definedName name="Actopan" localSheetId="17">#REF!</definedName>
    <definedName name="Actopan" localSheetId="0">#REF!</definedName>
    <definedName name="Actopan">#REF!</definedName>
    <definedName name="Actopan2" localSheetId="20">#REF!</definedName>
    <definedName name="Actopan2" localSheetId="19">#REF!</definedName>
    <definedName name="Actopan2" localSheetId="21">#REF!</definedName>
    <definedName name="Actopan2" localSheetId="13">#REF!</definedName>
    <definedName name="Actopan2" localSheetId="10">#REF!</definedName>
    <definedName name="Actopan2" localSheetId="4">#REF!</definedName>
    <definedName name="Actopan2" localSheetId="6">#REF!</definedName>
    <definedName name="Actopan2" localSheetId="16">#REF!</definedName>
    <definedName name="Actopan2" localSheetId="22">#REF!</definedName>
    <definedName name="Actopan2" localSheetId="17">#REF!</definedName>
    <definedName name="Actopan2" localSheetId="0">#REF!</definedName>
    <definedName name="Actopan2">#REF!</definedName>
    <definedName name="Actopan4" localSheetId="20">#REF!</definedName>
    <definedName name="Actopan4" localSheetId="19">#REF!</definedName>
    <definedName name="Actopan4" localSheetId="21">#REF!</definedName>
    <definedName name="Actopan4" localSheetId="13">#REF!</definedName>
    <definedName name="Actopan4" localSheetId="10">#REF!</definedName>
    <definedName name="Actopan4" localSheetId="4">#REF!</definedName>
    <definedName name="Actopan4" localSheetId="6">#REF!</definedName>
    <definedName name="Actopan4" localSheetId="16">#REF!</definedName>
    <definedName name="Actopan4" localSheetId="22">#REF!</definedName>
    <definedName name="Actopan4" localSheetId="17">#REF!</definedName>
    <definedName name="Actopan4" localSheetId="0">#REF!</definedName>
    <definedName name="Actopan4">#REF!</definedName>
    <definedName name="ad" localSheetId="20">#REF!</definedName>
    <definedName name="ad" localSheetId="19">#REF!</definedName>
    <definedName name="ad" localSheetId="21">#REF!</definedName>
    <definedName name="ad" localSheetId="13">#REF!</definedName>
    <definedName name="ad" localSheetId="10">#REF!</definedName>
    <definedName name="ad" localSheetId="4">#REF!</definedName>
    <definedName name="ad" localSheetId="6">#REF!</definedName>
    <definedName name="ad" localSheetId="16">#REF!</definedName>
    <definedName name="ad" localSheetId="22">#REF!</definedName>
    <definedName name="ad" localSheetId="17">#REF!</definedName>
    <definedName name="ad" localSheetId="0">#REF!</definedName>
    <definedName name="ad">#REF!</definedName>
    <definedName name="af" localSheetId="20">#REF!</definedName>
    <definedName name="af" localSheetId="19">#REF!</definedName>
    <definedName name="af" localSheetId="21">#REF!</definedName>
    <definedName name="af" localSheetId="13">#REF!</definedName>
    <definedName name="af" localSheetId="10">#REF!</definedName>
    <definedName name="af" localSheetId="4">#REF!</definedName>
    <definedName name="af" localSheetId="6">#REF!</definedName>
    <definedName name="af" localSheetId="16">#REF!</definedName>
    <definedName name="af" localSheetId="22">#REF!</definedName>
    <definedName name="af" localSheetId="17">#REF!</definedName>
    <definedName name="af" localSheetId="0">#REF!</definedName>
    <definedName name="af">#REF!</definedName>
    <definedName name="agresivo" localSheetId="12">'4.Resumen-Escenario'!$AM$2:$BA$42</definedName>
    <definedName name="agresivo" localSheetId="15">'4.Resumen-Escenario CONSERVADOR'!$AM$2:$BA$42</definedName>
    <definedName name="agresivo" localSheetId="11">'4.Resumen-Escenario1'!$AM$2:$BA$42</definedName>
    <definedName name="agresivo" localSheetId="5">#REF!</definedName>
    <definedName name="agresivo" localSheetId="4">#REF!</definedName>
    <definedName name="agresivo" localSheetId="6">#REF!</definedName>
    <definedName name="agresivo" localSheetId="0">#REF!</definedName>
    <definedName name="agresivo">#REF!</definedName>
    <definedName name="ale" localSheetId="10">#REF!</definedName>
    <definedName name="ale" localSheetId="4">#REF!</definedName>
    <definedName name="ale" localSheetId="6">#REF!</definedName>
    <definedName name="ale" localSheetId="16">#REF!</definedName>
    <definedName name="ale" localSheetId="22">#REF!</definedName>
    <definedName name="ale" localSheetId="17">#REF!</definedName>
    <definedName name="ale" localSheetId="0">#REF!</definedName>
    <definedName name="ale">#REF!</definedName>
    <definedName name="anal.merc" localSheetId="20">#REF!</definedName>
    <definedName name="anal.merc" localSheetId="19">#REF!</definedName>
    <definedName name="anal.merc" localSheetId="21">#REF!</definedName>
    <definedName name="anal.merc" localSheetId="13">#REF!</definedName>
    <definedName name="anal.merc" localSheetId="10">#REF!</definedName>
    <definedName name="anal.merc" localSheetId="4">#REF!</definedName>
    <definedName name="anal.merc" localSheetId="6">#REF!</definedName>
    <definedName name="anal.merc" localSheetId="16">#REF!</definedName>
    <definedName name="anal.merc" localSheetId="22">#REF!</definedName>
    <definedName name="anal.merc" localSheetId="17">#REF!</definedName>
    <definedName name="anal.merc" localSheetId="0">#REF!</definedName>
    <definedName name="anal.merc">#REF!</definedName>
    <definedName name="ANEXO1" localSheetId="20">#REF!</definedName>
    <definedName name="ANEXO1" localSheetId="24">#REF!</definedName>
    <definedName name="ANEXO1" localSheetId="13">#REF!</definedName>
    <definedName name="ANEXO1" localSheetId="6">#REF!</definedName>
    <definedName name="ANEXO1" localSheetId="31">#REF!</definedName>
    <definedName name="ANEXO1" localSheetId="2">#REF!</definedName>
    <definedName name="ANEXO1" localSheetId="0">#REF!</definedName>
    <definedName name="ANEXO1">#REF!</definedName>
    <definedName name="ANEXO3" localSheetId="20">#REF!</definedName>
    <definedName name="ANEXO3" localSheetId="6">#REF!</definedName>
    <definedName name="ANEXO3" localSheetId="2">#REF!</definedName>
    <definedName name="ANEXO3" localSheetId="0">#REF!</definedName>
    <definedName name="ANEXO3">#REF!</definedName>
    <definedName name="ANEXO4" localSheetId="20">#REF!</definedName>
    <definedName name="ANEXO4" localSheetId="6">#REF!</definedName>
    <definedName name="ANEXO4" localSheetId="2">#REF!</definedName>
    <definedName name="ANEXO4" localSheetId="0">#REF!</definedName>
    <definedName name="ANEXO4">#REF!</definedName>
    <definedName name="ANEXO5" localSheetId="20">#REF!</definedName>
    <definedName name="ANEXO5" localSheetId="0">#REF!</definedName>
    <definedName name="ANEXO5">#REF!</definedName>
    <definedName name="ANEXO6" localSheetId="20">#REF!</definedName>
    <definedName name="ANEXO6" localSheetId="0">#REF!</definedName>
    <definedName name="ANEXO6">#REF!</definedName>
    <definedName name="ANEXO7" localSheetId="20">#REF!</definedName>
    <definedName name="ANEXO7" localSheetId="0">#REF!</definedName>
    <definedName name="ANEXO7">#REF!</definedName>
    <definedName name="AnexoIn" localSheetId="20">#REF!</definedName>
    <definedName name="AnexoIn" localSheetId="0">#REF!</definedName>
    <definedName name="AnexoIn">#REF!</definedName>
    <definedName name="AnexoInegi" localSheetId="20">#REF!</definedName>
    <definedName name="AnexoInegi" localSheetId="0">#REF!</definedName>
    <definedName name="AnexoInegi">#REF!</definedName>
    <definedName name="Aplanados" localSheetId="20">#REF!</definedName>
    <definedName name="Aplanados" localSheetId="0">#REF!</definedName>
    <definedName name="Aplanados">#REF!</definedName>
    <definedName name="Arraigo" localSheetId="20">#REF!</definedName>
    <definedName name="Arraigo" localSheetId="2">#REF!</definedName>
    <definedName name="Arraigo" localSheetId="0">#REF!</definedName>
    <definedName name="Arraigo">#REF!</definedName>
    <definedName name="Atributos" localSheetId="20">#REF!</definedName>
    <definedName name="Atributos" localSheetId="2">#REF!</definedName>
    <definedName name="Atributos" localSheetId="0">#REF!</definedName>
    <definedName name="Atributos">#REF!</definedName>
    <definedName name="AUD" localSheetId="20">#REF!</definedName>
    <definedName name="AUD" localSheetId="0">#REF!</definedName>
    <definedName name="AUD">#REF!</definedName>
    <definedName name="AVALUO" localSheetId="20">#REF!</definedName>
    <definedName name="AVALUO" localSheetId="19">#REF!</definedName>
    <definedName name="AVALUO" localSheetId="21">#REF!</definedName>
    <definedName name="AVALUO" localSheetId="13">#REF!</definedName>
    <definedName name="AVALUO" localSheetId="10">#REF!</definedName>
    <definedName name="AVALUO" localSheetId="4">#REF!</definedName>
    <definedName name="AVALUO" localSheetId="6">#REF!</definedName>
    <definedName name="AVALUO" localSheetId="16">#REF!</definedName>
    <definedName name="AVALUO" localSheetId="22">#REF!</definedName>
    <definedName name="AVALUO" localSheetId="17">#REF!</definedName>
    <definedName name="AVALUO" localSheetId="0">#REF!</definedName>
    <definedName name="AVALUO">#REF!</definedName>
    <definedName name="AVALUO2" localSheetId="20">#REF!</definedName>
    <definedName name="AVALUO2" localSheetId="19">#REF!</definedName>
    <definedName name="AVALUO2" localSheetId="21">#REF!</definedName>
    <definedName name="AVALUO2" localSheetId="13">#REF!</definedName>
    <definedName name="AVALUO2" localSheetId="10">#REF!</definedName>
    <definedName name="AVALUO2" localSheetId="4">#REF!</definedName>
    <definedName name="AVALUO2" localSheetId="6">#REF!</definedName>
    <definedName name="AVALUO2" localSheetId="16">#REF!</definedName>
    <definedName name="AVALUO2" localSheetId="22">#REF!</definedName>
    <definedName name="AVALUO2" localSheetId="17">#REF!</definedName>
    <definedName name="AVALUO2" localSheetId="0">#REF!</definedName>
    <definedName name="AVALUO2">#REF!</definedName>
    <definedName name="AVALUO3" localSheetId="20">#REF!</definedName>
    <definedName name="AVALUO3" localSheetId="19">#REF!</definedName>
    <definedName name="AVALUO3" localSheetId="21">#REF!</definedName>
    <definedName name="AVALUO3" localSheetId="13">#REF!</definedName>
    <definedName name="AVALUO3" localSheetId="10">#REF!</definedName>
    <definedName name="AVALUO3" localSheetId="4">#REF!</definedName>
    <definedName name="AVALUO3" localSheetId="6">#REF!</definedName>
    <definedName name="AVALUO3" localSheetId="16">#REF!</definedName>
    <definedName name="AVALUO3" localSheetId="22">#REF!</definedName>
    <definedName name="AVALUO3" localSheetId="17">#REF!</definedName>
    <definedName name="AVALUO3" localSheetId="0">#REF!</definedName>
    <definedName name="AVALUO3">#REF!</definedName>
    <definedName name="avaub3" localSheetId="20">#REF!</definedName>
    <definedName name="avaub3" localSheetId="19">#REF!</definedName>
    <definedName name="avaub3" localSheetId="21">#REF!</definedName>
    <definedName name="avaub3" localSheetId="13">#REF!</definedName>
    <definedName name="avaub3" localSheetId="10">#REF!</definedName>
    <definedName name="avaub3" localSheetId="4">#REF!</definedName>
    <definedName name="avaub3" localSheetId="6">#REF!</definedName>
    <definedName name="avaub3" localSheetId="16">#REF!</definedName>
    <definedName name="avaub3" localSheetId="22">#REF!</definedName>
    <definedName name="avaub3" localSheetId="17">#REF!</definedName>
    <definedName name="avaub3" localSheetId="0">#REF!</definedName>
    <definedName name="avaub3">#REF!</definedName>
    <definedName name="B.D" localSheetId="19">#REF!</definedName>
    <definedName name="B.D" localSheetId="10">#REF!</definedName>
    <definedName name="B.D" localSheetId="4">#REF!</definedName>
    <definedName name="B.D" localSheetId="6">#REF!</definedName>
    <definedName name="B.D" localSheetId="22">#REF!</definedName>
    <definedName name="B.D" localSheetId="17">#REF!</definedName>
    <definedName name="B.D">#REF!</definedName>
    <definedName name="B.D." localSheetId="19">#REF!</definedName>
    <definedName name="B.D." localSheetId="10">#REF!</definedName>
    <definedName name="B.D." localSheetId="4">#REF!</definedName>
    <definedName name="B.D." localSheetId="6">#REF!</definedName>
    <definedName name="B.D." localSheetId="22">#REF!</definedName>
    <definedName name="B.D." localSheetId="17">#REF!</definedName>
    <definedName name="B.D.">#REF!</definedName>
    <definedName name="ba_Cantidad" localSheetId="20">#REF!</definedName>
    <definedName name="ba_Cantidad" localSheetId="24">#REF!</definedName>
    <definedName name="ba_Cantidad" localSheetId="13">#REF!</definedName>
    <definedName name="ba_Cantidad" localSheetId="6">#REF!</definedName>
    <definedName name="ba_Cantidad" localSheetId="31">#REF!</definedName>
    <definedName name="ba_Cantidad" localSheetId="2">#REF!</definedName>
    <definedName name="ba_Cantidad" localSheetId="0">#REF!</definedName>
    <definedName name="ba_Cantidad">#REF!</definedName>
    <definedName name="ba_Capacidad_Maxima" localSheetId="20">#REF!</definedName>
    <definedName name="ba_Capacidad_Maxima" localSheetId="6">#REF!</definedName>
    <definedName name="ba_Capacidad_Maxima" localSheetId="2">#REF!</definedName>
    <definedName name="ba_Capacidad_Maxima" localSheetId="0">#REF!</definedName>
    <definedName name="ba_Capacidad_Maxima">#REF!</definedName>
    <definedName name="ba_Cimentacion" localSheetId="20">#REF!</definedName>
    <definedName name="ba_Cimentacion" localSheetId="6">#REF!</definedName>
    <definedName name="ba_Cimentacion" localSheetId="2">#REF!</definedName>
    <definedName name="ba_Cimentacion" localSheetId="0">#REF!</definedName>
    <definedName name="ba_Cimentacion">#REF!</definedName>
    <definedName name="ba_Cimentacion_Especial" localSheetId="20">#REF!</definedName>
    <definedName name="ba_Cimentacion_Especial" localSheetId="0">#REF!</definedName>
    <definedName name="ba_Cimentacion_Especial">#REF!</definedName>
    <definedName name="ba_concepto" localSheetId="20">#REF!</definedName>
    <definedName name="ba_concepto" localSheetId="0">#REF!</definedName>
    <definedName name="ba_concepto">#REF!</definedName>
    <definedName name="ba_DA" localSheetId="20">#REF!</definedName>
    <definedName name="ba_DA" localSheetId="0">#REF!</definedName>
    <definedName name="ba_DA">#REF!</definedName>
    <definedName name="ba_deptos" localSheetId="20">#REF!</definedName>
    <definedName name="ba_deptos" localSheetId="0">#REF!</definedName>
    <definedName name="ba_deptos">#REF!</definedName>
    <definedName name="ba_Dimensiones" localSheetId="20">#REF!</definedName>
    <definedName name="ba_Dimensiones" localSheetId="0">#REF!</definedName>
    <definedName name="ba_Dimensiones">#REF!</definedName>
    <definedName name="ba_Edad" localSheetId="20">#REF!</definedName>
    <definedName name="ba_Edad" localSheetId="0">#REF!</definedName>
    <definedName name="ba_Edad">#REF!</definedName>
    <definedName name="ba_Equipos_Accesorios" localSheetId="20">#REF!</definedName>
    <definedName name="ba_Equipos_Accesorios" localSheetId="0">#REF!</definedName>
    <definedName name="ba_Equipos_Accesorios">#REF!</definedName>
    <definedName name="ba_Fabricacion" localSheetId="20">#REF!</definedName>
    <definedName name="ba_Fabricacion" localSheetId="0">#REF!</definedName>
    <definedName name="ba_Fabricacion">#REF!</definedName>
    <definedName name="ba_Factor_de_Comercializacion" localSheetId="20">#REF!</definedName>
    <definedName name="ba_Factor_de_Comercializacion" localSheetId="0">#REF!</definedName>
    <definedName name="ba_Factor_de_Comercializacion">#REF!</definedName>
    <definedName name="ba_Factor_de_Uso" localSheetId="20">#REF!</definedName>
    <definedName name="ba_Factor_de_Uso" localSheetId="0">#REF!</definedName>
    <definedName name="ba_Factor_de_Uso">#REF!</definedName>
    <definedName name="ba_Factor_por_Conservacion" localSheetId="20">#REF!</definedName>
    <definedName name="ba_Factor_por_Conservacion" localSheetId="0">#REF!</definedName>
    <definedName name="ba_Factor_por_Conservacion">#REF!</definedName>
    <definedName name="ba_Factor_por_Obsolescencia" localSheetId="20">#REF!</definedName>
    <definedName name="ba_Factor_por_Obsolescencia" localSheetId="0">#REF!</definedName>
    <definedName name="ba_Factor_por_Obsolescencia">#REF!</definedName>
    <definedName name="ba_Fuente" localSheetId="20">#REF!</definedName>
    <definedName name="ba_Fuente" localSheetId="0">#REF!</definedName>
    <definedName name="ba_Fuente">#REF!</definedName>
    <definedName name="ba_Gastos" localSheetId="20">#REF!</definedName>
    <definedName name="ba_Gastos" localSheetId="0">#REF!</definedName>
    <definedName name="ba_Gastos">#REF!</definedName>
    <definedName name="ba_Importacion" localSheetId="20">#REF!</definedName>
    <definedName name="ba_Importacion" localSheetId="0">#REF!</definedName>
    <definedName name="ba_Importacion">#REF!</definedName>
    <definedName name="ba_Indice_Final" localSheetId="20">#REF!</definedName>
    <definedName name="ba_Indice_Final" localSheetId="0">#REF!</definedName>
    <definedName name="ba_Indice_Final">#REF!</definedName>
    <definedName name="ba_Indice_Inicial" localSheetId="20">#REF!</definedName>
    <definedName name="ba_Indice_Inicial" localSheetId="0">#REF!</definedName>
    <definedName name="ba_Indice_Inicial">#REF!</definedName>
    <definedName name="ba_Ingenieria" localSheetId="20">#REF!</definedName>
    <definedName name="ba_Ingenieria" localSheetId="0">#REF!</definedName>
    <definedName name="ba_Ingenieria">#REF!</definedName>
    <definedName name="ba_Instalacion" localSheetId="20">#REF!</definedName>
    <definedName name="ba_Instalacion" localSheetId="0">#REF!</definedName>
    <definedName name="ba_Instalacion">#REF!</definedName>
    <definedName name="ba_Instalaciones" localSheetId="20">#REF!</definedName>
    <definedName name="ba_Instalaciones" localSheetId="0">#REF!</definedName>
    <definedName name="ba_Instalaciones">#REF!</definedName>
    <definedName name="ba_Marca" localSheetId="20">#REF!</definedName>
    <definedName name="ba_Marca" localSheetId="0">#REF!</definedName>
    <definedName name="ba_Marca">#REF!</definedName>
    <definedName name="ba_Modelo" localSheetId="20">#REF!</definedName>
    <definedName name="ba_Modelo" localSheetId="0">#REF!</definedName>
    <definedName name="ba_Modelo">#REF!</definedName>
    <definedName name="ba_Moneda" localSheetId="20">#REF!</definedName>
    <definedName name="ba_Moneda" localSheetId="0">#REF!</definedName>
    <definedName name="ba_Moneda">#REF!</definedName>
    <definedName name="ba_Montaje" localSheetId="20">#REF!</definedName>
    <definedName name="ba_Montaje" localSheetId="0">#REF!</definedName>
    <definedName name="ba_Montaje">#REF!</definedName>
    <definedName name="ba_Obras_Civiles" localSheetId="20">#REF!</definedName>
    <definedName name="ba_Obras_Civiles" localSheetId="0">#REF!</definedName>
    <definedName name="ba_Obras_Civiles">#REF!</definedName>
    <definedName name="ba_Observaciones" localSheetId="20">#REF!</definedName>
    <definedName name="ba_Observaciones" localSheetId="0">#REF!</definedName>
    <definedName name="ba_Observaciones">#REF!</definedName>
    <definedName name="ba_Origen" localSheetId="20">#REF!</definedName>
    <definedName name="ba_Origen" localSheetId="0">#REF!</definedName>
    <definedName name="ba_Origen">#REF!</definedName>
    <definedName name="ba_Potencia" localSheetId="20">#REF!</definedName>
    <definedName name="ba_Potencia" localSheetId="0">#REF!</definedName>
    <definedName name="ba_Potencia">#REF!</definedName>
    <definedName name="ba_Precio_de_Factura" localSheetId="20">#REF!</definedName>
    <definedName name="ba_Precio_de_Factura" localSheetId="0">#REF!</definedName>
    <definedName name="ba_Precio_de_Factura">#REF!</definedName>
    <definedName name="ba_Serie" localSheetId="20">#REF!</definedName>
    <definedName name="ba_Serie" localSheetId="0">#REF!</definedName>
    <definedName name="ba_Serie">#REF!</definedName>
    <definedName name="ba_Tipo_de_Cambio_Dolar" localSheetId="20">#REF!</definedName>
    <definedName name="ba_Tipo_de_Cambio_Dolar" localSheetId="0">#REF!</definedName>
    <definedName name="ba_Tipo_de_Cambio_Dolar">#REF!</definedName>
    <definedName name="ba_Tipo_de_cambio_otro" localSheetId="20">#REF!</definedName>
    <definedName name="ba_Tipo_de_cambio_otro" localSheetId="0">#REF!</definedName>
    <definedName name="ba_Tipo_de_cambio_otro">#REF!</definedName>
    <definedName name="ba_Valor" localSheetId="20">#REF!</definedName>
    <definedName name="ba_Valor" localSheetId="0">#REF!</definedName>
    <definedName name="ba_Valor">#REF!</definedName>
    <definedName name="ba_Vida_Consumida" localSheetId="20">#REF!</definedName>
    <definedName name="ba_Vida_Consumida" localSheetId="0">#REF!</definedName>
    <definedName name="ba_Vida_Consumida">#REF!</definedName>
    <definedName name="ba_Vida_Util_Total" localSheetId="20">#REF!</definedName>
    <definedName name="ba_Vida_Util_Total" localSheetId="0">#REF!</definedName>
    <definedName name="ba_Vida_Util_Total">#REF!</definedName>
    <definedName name="ba_VNR" localSheetId="20">#REF!</definedName>
    <definedName name="ba_VNR" localSheetId="0">#REF!</definedName>
    <definedName name="ba_VNR">#REF!</definedName>
    <definedName name="ba_Voltaje" localSheetId="20">#REF!</definedName>
    <definedName name="ba_Voltaje" localSheetId="0">#REF!</definedName>
    <definedName name="ba_Voltaje">#REF!</definedName>
    <definedName name="ba_VR" localSheetId="20">#REF!</definedName>
    <definedName name="ba_VR" localSheetId="0">#REF!</definedName>
    <definedName name="ba_VR">#REF!</definedName>
    <definedName name="ba_VRN" localSheetId="20">#REF!</definedName>
    <definedName name="ba_VRN" localSheetId="0">#REF!</definedName>
    <definedName name="ba_VRN">#REF!</definedName>
    <definedName name="ba_VUR" localSheetId="20">#REF!</definedName>
    <definedName name="ba_VUR" localSheetId="0">#REF!</definedName>
    <definedName name="ba_VUR">#REF!</definedName>
    <definedName name="ba_VURN" localSheetId="20">#REF!</definedName>
    <definedName name="ba_VURN" localSheetId="0">#REF!</definedName>
    <definedName name="ba_VURN">#REF!</definedName>
    <definedName name="BASE" localSheetId="20">#REF!</definedName>
    <definedName name="BASE" localSheetId="19">#REF!</definedName>
    <definedName name="BASE" localSheetId="21">#REF!</definedName>
    <definedName name="BASE" localSheetId="13">#REF!</definedName>
    <definedName name="BASE" localSheetId="10">#REF!</definedName>
    <definedName name="BASE" localSheetId="4">#REF!</definedName>
    <definedName name="BASE" localSheetId="6">#REF!</definedName>
    <definedName name="BASE" localSheetId="16">#REF!</definedName>
    <definedName name="BASE" localSheetId="22">#REF!</definedName>
    <definedName name="BASE" localSheetId="17">#REF!</definedName>
    <definedName name="BASE" localSheetId="0">#REF!</definedName>
    <definedName name="BASE">#REF!</definedName>
    <definedName name="baseava1.xlt" localSheetId="20">#REF!</definedName>
    <definedName name="baseava1.xlt" localSheetId="19">#REF!</definedName>
    <definedName name="baseava1.xlt" localSheetId="21">#REF!</definedName>
    <definedName name="baseava1.xlt" localSheetId="13">#REF!</definedName>
    <definedName name="baseava1.xlt" localSheetId="10">#REF!</definedName>
    <definedName name="baseava1.xlt" localSheetId="4">#REF!</definedName>
    <definedName name="baseava1.xlt" localSheetId="6">#REF!</definedName>
    <definedName name="baseava1.xlt" localSheetId="16">#REF!</definedName>
    <definedName name="baseava1.xlt" localSheetId="22">#REF!</definedName>
    <definedName name="baseava1.xlt" localSheetId="17">#REF!</definedName>
    <definedName name="baseava1.xlt" localSheetId="0">#REF!</definedName>
    <definedName name="baseava1.xlt">#REF!</definedName>
    <definedName name="batey" localSheetId="0">#REF!</definedName>
    <definedName name="batey">#REF!</definedName>
    <definedName name="Bg" localSheetId="0">#REF!</definedName>
    <definedName name="Bg">#REF!</definedName>
    <definedName name="Bu" localSheetId="0">#REF!</definedName>
    <definedName name="Bu">#REF!</definedName>
    <definedName name="bueno" localSheetId="0">#REF!</definedName>
    <definedName name="bueno">#REF!</definedName>
    <definedName name="buu" localSheetId="0">#REF!</definedName>
    <definedName name="buu">#REF!</definedName>
    <definedName name="byh9by9" localSheetId="0">#REF!</definedName>
    <definedName name="byh9by9">#REF!</definedName>
    <definedName name="cachaza" localSheetId="0">#REF!</definedName>
    <definedName name="cachaza">#REF!</definedName>
    <definedName name="calentadores" localSheetId="0">#REF!</definedName>
    <definedName name="calentadores">#REF!</definedName>
    <definedName name="Calidad_constructiva" localSheetId="0">#REF!</definedName>
    <definedName name="Calidad_constructiva">#REF!</definedName>
    <definedName name="Calidad_de_la_Carpintería.">#REF!</definedName>
    <definedName name="Calidad_de_la_Herrería_y_Cancelería.">#REF!</definedName>
    <definedName name="Calidad_de_la_Obra_Negra.">#REF!</definedName>
    <definedName name="Calidad_de_las_Instalaciones.">#REF!</definedName>
    <definedName name="Calidad_de_los_Revestimientos_y_Acabados_Interiores.">#REF!</definedName>
    <definedName name="Calidad_Instalaciones">#REF!</definedName>
    <definedName name="CANCELADO">#REF!</definedName>
    <definedName name="Canceles_y_ventanas">#REF!</definedName>
    <definedName name="Canceles_y_ventanas2">#REF!</definedName>
    <definedName name="Características_Panorámicas">#REF!</definedName>
    <definedName name="CARATULA">#REF!</definedName>
    <definedName name="CARBON">#REF!</definedName>
    <definedName name="ce_Capacidad_Maxima">#REF!</definedName>
    <definedName name="ce_Caracteristicas">#REF!</definedName>
    <definedName name="ce_Cimentacion">#REF!</definedName>
    <definedName name="ce_Cimentacion_especial">#REF!</definedName>
    <definedName name="ce_Dimensiones">#REF!</definedName>
    <definedName name="ce_Edad">#REF!</definedName>
    <definedName name="ce_Equipos_Accesorios">#REF!</definedName>
    <definedName name="ce_fabricacion">#REF!</definedName>
    <definedName name="ce_Factor_de_Comercializacion">#REF!</definedName>
    <definedName name="ce_Factor_de_Uso">#REF!</definedName>
    <definedName name="ce_Factor_por_Conservacion">#REF!</definedName>
    <definedName name="ce_Factor_por_Obsolescencia">#REF!</definedName>
    <definedName name="ce_Fuente">#REF!</definedName>
    <definedName name="ce_Gastos">#REF!</definedName>
    <definedName name="ce_Importacion">#REF!</definedName>
    <definedName name="ce_Indice_Final">#REF!</definedName>
    <definedName name="ce_Indice_Inicial">#REF!</definedName>
    <definedName name="ce_Ingenieria">#REF!</definedName>
    <definedName name="ce_Instalacion">#REF!</definedName>
    <definedName name="ce_Instalaciones">#REF!</definedName>
    <definedName name="ce_Maquinaria">#REF!</definedName>
    <definedName name="ce_Marca">#REF!</definedName>
    <definedName name="ce_Modelo">#REF!</definedName>
    <definedName name="ce_Moneda">#REF!</definedName>
    <definedName name="ce_Montaje">#REF!</definedName>
    <definedName name="ce_Obras_civiles">#REF!</definedName>
    <definedName name="ce_Observaciones">#REF!</definedName>
    <definedName name="ce_Origen">#REF!</definedName>
    <definedName name="ce_Potencia">#REF!</definedName>
    <definedName name="ce_Precio_de_factura">#REF!</definedName>
    <definedName name="ce_Serie">#REF!</definedName>
    <definedName name="ce_Tipo_de_Cambio_Dolar">#REF!</definedName>
    <definedName name="ce_Tipo_de_cambio_Otro">#REF!</definedName>
    <definedName name="ce_Tipos_cambio">#REF!</definedName>
    <definedName name="ce_Valor">#REF!</definedName>
    <definedName name="ce_Vida_Consumida">#REF!</definedName>
    <definedName name="ce_Vida_Util_Total">#REF!</definedName>
  </definedNames>
  <calcPr calcId="181029"/>
</workbook>
</file>

<file path=xl/calcChain.xml><?xml version="1.0" encoding="utf-8"?>
<calcChain xmlns="http://schemas.openxmlformats.org/spreadsheetml/2006/main">
  <c r="D11" i="29" l="1"/>
  <c r="E11" i="29"/>
  <c r="F11" i="29"/>
  <c r="G11" i="29"/>
  <c r="H11" i="29"/>
  <c r="I11" i="29"/>
  <c r="D12" i="29"/>
  <c r="E12" i="29"/>
  <c r="F12" i="29"/>
  <c r="G12" i="29"/>
  <c r="H12" i="29"/>
  <c r="I12" i="29"/>
  <c r="D13" i="29"/>
  <c r="E13" i="29"/>
  <c r="F13" i="29"/>
  <c r="G13" i="29"/>
  <c r="H13" i="29"/>
  <c r="I13" i="29"/>
  <c r="D14" i="29"/>
  <c r="E14" i="29"/>
  <c r="F14" i="29"/>
  <c r="G14" i="29"/>
  <c r="H14" i="29"/>
  <c r="I14" i="29"/>
  <c r="D15" i="29"/>
  <c r="E15" i="29"/>
  <c r="F15" i="29"/>
  <c r="G15" i="29"/>
  <c r="H15" i="29"/>
  <c r="I15" i="29"/>
  <c r="D16" i="29"/>
  <c r="E16" i="29"/>
  <c r="F16" i="29"/>
  <c r="G16" i="29"/>
  <c r="H16" i="29"/>
  <c r="I16" i="29"/>
  <c r="D17" i="29"/>
  <c r="E17" i="29"/>
  <c r="F17" i="29"/>
  <c r="G17" i="29"/>
  <c r="H17" i="29"/>
  <c r="I17" i="29"/>
  <c r="D18" i="29"/>
  <c r="E18" i="29"/>
  <c r="F18" i="29"/>
  <c r="G18" i="29"/>
  <c r="H18" i="29"/>
  <c r="I18" i="29"/>
  <c r="D21" i="29"/>
  <c r="E21" i="29"/>
  <c r="F21" i="29"/>
  <c r="G21" i="29"/>
  <c r="H21" i="29"/>
  <c r="I21" i="29"/>
  <c r="D22" i="29"/>
  <c r="E22" i="29"/>
  <c r="F22" i="29"/>
  <c r="G22" i="29"/>
  <c r="H22" i="29"/>
  <c r="I22" i="29"/>
  <c r="D23" i="29"/>
  <c r="E23" i="29"/>
  <c r="F23" i="29"/>
  <c r="G23" i="29"/>
  <c r="H23" i="29"/>
  <c r="I23" i="29"/>
  <c r="D24" i="29"/>
  <c r="E24" i="29"/>
  <c r="F24" i="29"/>
  <c r="G24" i="29"/>
  <c r="H24" i="29"/>
  <c r="I24" i="29"/>
  <c r="D25" i="29"/>
  <c r="E25" i="29"/>
  <c r="F25" i="29"/>
  <c r="G25" i="29"/>
  <c r="H25" i="29"/>
  <c r="I25" i="29"/>
  <c r="B30" i="29"/>
  <c r="C30" i="29"/>
  <c r="D30" i="29"/>
  <c r="E30" i="29"/>
  <c r="G30" i="29"/>
  <c r="H30" i="29"/>
  <c r="I30" i="29"/>
  <c r="J30" i="29"/>
  <c r="B35" i="29"/>
  <c r="C35" i="29"/>
  <c r="D35" i="29"/>
  <c r="E35" i="29"/>
  <c r="F35" i="29"/>
  <c r="G35" i="29"/>
  <c r="H35" i="29"/>
  <c r="I35" i="29"/>
  <c r="J35" i="29"/>
  <c r="C39" i="29"/>
  <c r="D39" i="29"/>
  <c r="E39" i="29"/>
  <c r="F39" i="29"/>
  <c r="G39" i="29"/>
  <c r="H39" i="29"/>
  <c r="I39" i="29"/>
  <c r="J39" i="29"/>
  <c r="A44" i="29"/>
  <c r="B44" i="29"/>
  <c r="C44" i="29"/>
  <c r="D44" i="29"/>
  <c r="E44" i="29"/>
  <c r="F44" i="29"/>
  <c r="G44" i="29"/>
  <c r="H44" i="29"/>
  <c r="I44" i="29"/>
  <c r="J44" i="29"/>
  <c r="B48" i="29"/>
  <c r="C48" i="29"/>
  <c r="D48" i="29"/>
  <c r="E48" i="29"/>
  <c r="F48" i="29"/>
  <c r="G48" i="29"/>
  <c r="H48" i="29"/>
  <c r="I48" i="29"/>
  <c r="J48" i="29"/>
  <c r="F4" i="19"/>
  <c r="G4" i="19"/>
  <c r="H4" i="19"/>
  <c r="I4" i="19"/>
  <c r="J4" i="19"/>
  <c r="D5" i="19"/>
  <c r="E5" i="19"/>
  <c r="F5" i="19"/>
  <c r="G5" i="19"/>
  <c r="H5" i="19"/>
  <c r="I5" i="19"/>
  <c r="J5" i="19"/>
  <c r="D6" i="19"/>
  <c r="E6" i="19"/>
  <c r="F6" i="19"/>
  <c r="G6" i="19"/>
  <c r="H6" i="19"/>
  <c r="I6" i="19"/>
  <c r="J6" i="19"/>
  <c r="D7" i="19"/>
  <c r="E7" i="19"/>
  <c r="F7" i="19"/>
  <c r="G7" i="19"/>
  <c r="H7" i="19"/>
  <c r="I7" i="19"/>
  <c r="J7" i="19"/>
  <c r="D8" i="19"/>
  <c r="E8" i="19"/>
  <c r="F8" i="19"/>
  <c r="G8" i="19"/>
  <c r="H8" i="19"/>
  <c r="I8" i="19"/>
  <c r="J8" i="19"/>
  <c r="D9" i="19"/>
  <c r="E9" i="19"/>
  <c r="F9" i="19"/>
  <c r="G9" i="19"/>
  <c r="H9" i="19"/>
  <c r="I9" i="19"/>
  <c r="J9" i="19"/>
  <c r="D10" i="19"/>
  <c r="E10" i="19"/>
  <c r="F10" i="19"/>
  <c r="G10" i="19"/>
  <c r="H10" i="19"/>
  <c r="I10" i="19"/>
  <c r="J10" i="19"/>
  <c r="D11" i="19"/>
  <c r="E11" i="19"/>
  <c r="F11" i="19"/>
  <c r="G11" i="19"/>
  <c r="H11" i="19"/>
  <c r="I11" i="19"/>
  <c r="J11" i="19"/>
  <c r="D12" i="19"/>
  <c r="E12" i="19"/>
  <c r="F12" i="19"/>
  <c r="G12" i="19"/>
  <c r="H12" i="19"/>
  <c r="I12" i="19"/>
  <c r="J12" i="19"/>
  <c r="D13" i="19"/>
  <c r="E13" i="19"/>
  <c r="F13" i="19"/>
  <c r="G13" i="19"/>
  <c r="H13" i="19"/>
  <c r="I13" i="19"/>
  <c r="J13" i="19"/>
  <c r="D14" i="19"/>
  <c r="E14" i="19"/>
  <c r="F14" i="19"/>
  <c r="G14" i="19"/>
  <c r="H14" i="19"/>
  <c r="I14" i="19"/>
  <c r="J14" i="19"/>
  <c r="D15" i="19"/>
  <c r="E15" i="19"/>
  <c r="F15" i="19"/>
  <c r="G15" i="19"/>
  <c r="H15" i="19"/>
  <c r="I15" i="19"/>
  <c r="J15" i="19"/>
  <c r="D16" i="19"/>
  <c r="E16" i="19"/>
  <c r="F16" i="19"/>
  <c r="G16" i="19"/>
  <c r="H16" i="19"/>
  <c r="I16" i="19"/>
  <c r="J16" i="19"/>
  <c r="D17" i="19"/>
  <c r="E17" i="19"/>
  <c r="F17" i="19"/>
  <c r="G17" i="19"/>
  <c r="H17" i="19"/>
  <c r="I17" i="19"/>
  <c r="J17" i="19"/>
  <c r="D18" i="19"/>
  <c r="E18" i="19"/>
  <c r="F18" i="19"/>
  <c r="G18" i="19"/>
  <c r="H18" i="19"/>
  <c r="I18" i="19"/>
  <c r="J18" i="19"/>
  <c r="D19" i="19"/>
  <c r="E19" i="19"/>
  <c r="F19" i="19"/>
  <c r="G19" i="19"/>
  <c r="H19" i="19"/>
  <c r="I19" i="19"/>
  <c r="J19" i="19"/>
  <c r="D20" i="19"/>
  <c r="E20" i="19"/>
  <c r="F20" i="19"/>
  <c r="G20" i="19"/>
  <c r="H20" i="19"/>
  <c r="I20" i="19"/>
  <c r="J20" i="19"/>
  <c r="D21" i="19"/>
  <c r="E21" i="19"/>
  <c r="F21" i="19"/>
  <c r="G21" i="19"/>
  <c r="H21" i="19"/>
  <c r="I21" i="19"/>
  <c r="J21" i="19"/>
  <c r="D22" i="19"/>
  <c r="E22" i="19"/>
  <c r="F22" i="19"/>
  <c r="G22" i="19"/>
  <c r="H22" i="19"/>
  <c r="I22" i="19"/>
  <c r="J22" i="19"/>
  <c r="D23" i="19"/>
  <c r="E23" i="19"/>
  <c r="F23" i="19"/>
  <c r="G23" i="19"/>
  <c r="H23" i="19"/>
  <c r="I23" i="19"/>
  <c r="J23" i="19"/>
  <c r="E24" i="19"/>
  <c r="F24" i="19"/>
  <c r="G24" i="19"/>
  <c r="H24" i="19"/>
  <c r="I24" i="19"/>
  <c r="J24" i="19"/>
  <c r="E26" i="19"/>
  <c r="F26" i="19"/>
  <c r="G26" i="19"/>
  <c r="H26" i="19"/>
  <c r="I26" i="19"/>
  <c r="J26" i="19"/>
  <c r="K26" i="19"/>
  <c r="E27" i="19"/>
  <c r="F27" i="19"/>
  <c r="G27" i="19"/>
  <c r="H27" i="19"/>
  <c r="I27" i="19"/>
  <c r="J27" i="19"/>
  <c r="K27" i="19"/>
  <c r="E28" i="19"/>
  <c r="F28" i="19"/>
  <c r="G28" i="19"/>
  <c r="H28" i="19"/>
  <c r="I28" i="19"/>
  <c r="J28" i="19"/>
  <c r="K28" i="19"/>
  <c r="E31" i="19"/>
  <c r="F31" i="19"/>
  <c r="H31" i="19"/>
  <c r="I31" i="19"/>
  <c r="J31" i="19"/>
  <c r="K31" i="19"/>
  <c r="E32" i="19"/>
  <c r="F32" i="19"/>
  <c r="G32" i="19"/>
  <c r="H32" i="19"/>
  <c r="I32" i="19"/>
  <c r="J32" i="19"/>
  <c r="K32" i="19"/>
  <c r="E33" i="19"/>
  <c r="F33" i="19"/>
  <c r="G33" i="19"/>
  <c r="H33" i="19"/>
  <c r="I33" i="19"/>
  <c r="J33" i="19"/>
  <c r="K33" i="19"/>
  <c r="E34" i="19"/>
  <c r="F34" i="19"/>
  <c r="G34" i="19"/>
  <c r="H34" i="19"/>
  <c r="I34" i="19"/>
  <c r="J34" i="19"/>
  <c r="K34" i="19"/>
  <c r="E35" i="19"/>
  <c r="F35" i="19"/>
  <c r="G35" i="19"/>
  <c r="H35" i="19"/>
  <c r="I35" i="19"/>
  <c r="J35" i="19"/>
  <c r="E38" i="19"/>
  <c r="F38" i="19"/>
  <c r="G38" i="19"/>
  <c r="H38" i="19"/>
  <c r="I38" i="19"/>
  <c r="J38" i="19"/>
  <c r="K38" i="19"/>
  <c r="E41" i="19"/>
  <c r="F41" i="19"/>
  <c r="G41" i="19"/>
  <c r="H41" i="19"/>
  <c r="I41" i="19"/>
  <c r="J41" i="19"/>
  <c r="E44" i="19"/>
  <c r="F44" i="19"/>
  <c r="G44" i="19"/>
  <c r="H44" i="19"/>
  <c r="I44" i="19"/>
  <c r="J44" i="19"/>
  <c r="K44" i="19"/>
  <c r="E47" i="19"/>
  <c r="F47" i="19"/>
  <c r="G47" i="19"/>
  <c r="H47" i="19"/>
  <c r="I47" i="19"/>
  <c r="D50" i="19"/>
  <c r="E50" i="19"/>
  <c r="F50" i="19"/>
  <c r="G50" i="19"/>
  <c r="H50" i="19"/>
  <c r="I50" i="19"/>
  <c r="E53" i="19"/>
  <c r="F53" i="19"/>
  <c r="G53" i="19"/>
  <c r="H53" i="19"/>
  <c r="I53" i="19"/>
  <c r="F56" i="19"/>
  <c r="G56" i="19"/>
  <c r="I56" i="19"/>
  <c r="E59" i="19"/>
  <c r="F59" i="19"/>
  <c r="G59" i="19"/>
  <c r="H59" i="19"/>
  <c r="I59" i="19"/>
  <c r="E62" i="19"/>
  <c r="F62" i="19"/>
  <c r="G62" i="19"/>
  <c r="K62" i="19" s="1"/>
  <c r="H62" i="19"/>
  <c r="I62" i="19"/>
  <c r="J62" i="19"/>
  <c r="E65" i="19"/>
  <c r="F65" i="19"/>
  <c r="G65" i="19"/>
  <c r="H65" i="19"/>
  <c r="I65" i="19"/>
  <c r="J65" i="19"/>
  <c r="K65" i="19"/>
  <c r="X3" i="16"/>
  <c r="X6" i="16"/>
  <c r="Q7" i="16"/>
  <c r="R7" i="16" s="1"/>
  <c r="AQ7" i="16"/>
  <c r="AR7" i="16"/>
  <c r="AS7" i="16" s="1"/>
  <c r="AT7" i="16" s="1"/>
  <c r="AU7" i="16" s="1"/>
  <c r="BF7" i="16"/>
  <c r="BG7" i="16"/>
  <c r="BH7" i="16"/>
  <c r="BI7" i="16"/>
  <c r="BJ7" i="16"/>
  <c r="BK7" i="16" s="1"/>
  <c r="BF8" i="16"/>
  <c r="BG9" i="16"/>
  <c r="BG8" i="16" s="1"/>
  <c r="BH9" i="16"/>
  <c r="BI9" i="16"/>
  <c r="BJ9" i="16"/>
  <c r="BK9" i="16"/>
  <c r="O11" i="16"/>
  <c r="P11" i="16"/>
  <c r="P8" i="16" s="1"/>
  <c r="Q11" i="16"/>
  <c r="Q8" i="16" s="1"/>
  <c r="R11" i="16"/>
  <c r="R8" i="16" s="1"/>
  <c r="S11" i="16"/>
  <c r="S8" i="16" s="1"/>
  <c r="T11" i="16"/>
  <c r="T8" i="16" s="1"/>
  <c r="U11" i="16"/>
  <c r="U8" i="16" s="1"/>
  <c r="AA11" i="16"/>
  <c r="AP11" i="16"/>
  <c r="BF11" i="16" s="1"/>
  <c r="AN14" i="16"/>
  <c r="M15" i="16"/>
  <c r="M19" i="16" s="1"/>
  <c r="N15" i="16"/>
  <c r="O15" i="16"/>
  <c r="P15" i="16"/>
  <c r="Q15" i="16"/>
  <c r="R15" i="16"/>
  <c r="S15" i="16"/>
  <c r="T15" i="16"/>
  <c r="U15" i="16"/>
  <c r="AA15" i="16"/>
  <c r="AB15" i="16"/>
  <c r="AC15" i="16"/>
  <c r="AD15" i="16"/>
  <c r="AE15" i="16"/>
  <c r="AF14" i="16" s="1"/>
  <c r="AF15" i="16"/>
  <c r="BF15" i="16"/>
  <c r="O18" i="16"/>
  <c r="P18" i="16"/>
  <c r="Q18" i="16"/>
  <c r="R18" i="16"/>
  <c r="S18" i="16"/>
  <c r="T18" i="16"/>
  <c r="U18" i="16"/>
  <c r="AP18" i="16"/>
  <c r="AR18" i="16"/>
  <c r="AS18" i="16"/>
  <c r="AT18" i="16"/>
  <c r="AU18" i="16"/>
  <c r="N19" i="16"/>
  <c r="O19" i="16"/>
  <c r="P19" i="16"/>
  <c r="Q19" i="16"/>
  <c r="R19" i="16"/>
  <c r="S19" i="16"/>
  <c r="T19" i="16"/>
  <c r="U19" i="16"/>
  <c r="AA19" i="16"/>
  <c r="AB19" i="16"/>
  <c r="AC19" i="16"/>
  <c r="AD19" i="16"/>
  <c r="AE19" i="16"/>
  <c r="AF19" i="16"/>
  <c r="AP19" i="16"/>
  <c r="AQ15" i="16" s="1"/>
  <c r="BF19" i="16"/>
  <c r="J21" i="16"/>
  <c r="O21" i="16"/>
  <c r="P21" i="16"/>
  <c r="Q21" i="16"/>
  <c r="R21" i="16"/>
  <c r="S21" i="16"/>
  <c r="T21" i="16"/>
  <c r="U21" i="16"/>
  <c r="AA21" i="16"/>
  <c r="J22" i="16"/>
  <c r="O22" i="16"/>
  <c r="P22" i="16"/>
  <c r="Q22" i="16"/>
  <c r="R22" i="16"/>
  <c r="S22" i="16"/>
  <c r="T22" i="16"/>
  <c r="U22" i="16"/>
  <c r="O24" i="16"/>
  <c r="P24" i="16"/>
  <c r="Q24" i="16"/>
  <c r="R24" i="16"/>
  <c r="S24" i="16"/>
  <c r="T24" i="16"/>
  <c r="U24" i="16"/>
  <c r="AP24" i="16"/>
  <c r="AP23" i="16" s="1"/>
  <c r="AP26" i="16" s="1"/>
  <c r="AP28" i="16" s="1"/>
  <c r="AP34" i="16" s="1"/>
  <c r="AP36" i="16" s="1"/>
  <c r="O26" i="16"/>
  <c r="P26" i="16"/>
  <c r="Q26" i="16"/>
  <c r="R26" i="16"/>
  <c r="S26" i="16"/>
  <c r="T26" i="16"/>
  <c r="U26" i="16"/>
  <c r="O27" i="16"/>
  <c r="P27" i="16"/>
  <c r="Q27" i="16"/>
  <c r="R27" i="16"/>
  <c r="S27" i="16"/>
  <c r="T27" i="16"/>
  <c r="U27" i="16"/>
  <c r="O28" i="16"/>
  <c r="P28" i="16"/>
  <c r="Q28" i="16"/>
  <c r="R28" i="16"/>
  <c r="S28" i="16"/>
  <c r="T28" i="16"/>
  <c r="U28" i="16"/>
  <c r="O30" i="16"/>
  <c r="AP30" i="16"/>
  <c r="O32" i="16"/>
  <c r="AA32" i="16"/>
  <c r="AP32" i="16"/>
  <c r="O37" i="16"/>
  <c r="AA40" i="16"/>
  <c r="AN52" i="16"/>
  <c r="AT53" i="16"/>
  <c r="AT54" i="16"/>
  <c r="AU56" i="16"/>
  <c r="AR59" i="16"/>
  <c r="AS59" i="16"/>
  <c r="AR60" i="16"/>
  <c r="AS60" i="16"/>
  <c r="AS64" i="16"/>
  <c r="X3" i="13"/>
  <c r="AM3" i="13"/>
  <c r="O4" i="13"/>
  <c r="AP4" i="13"/>
  <c r="R6" i="13"/>
  <c r="S6" i="13"/>
  <c r="T6" i="13"/>
  <c r="U6" i="13"/>
  <c r="R7" i="13"/>
  <c r="S7" i="13"/>
  <c r="T7" i="13" s="1"/>
  <c r="U7" i="13" s="1"/>
  <c r="AQ7" i="13"/>
  <c r="AR7" i="13"/>
  <c r="AS7" i="13" s="1"/>
  <c r="AT7" i="13" s="1"/>
  <c r="AU7" i="13" s="1"/>
  <c r="BF7" i="13"/>
  <c r="BG7" i="13"/>
  <c r="BH7" i="13"/>
  <c r="BI7" i="13"/>
  <c r="BJ7" i="13"/>
  <c r="BK7" i="13"/>
  <c r="BF8" i="13"/>
  <c r="BG9" i="13"/>
  <c r="BG8" i="13" s="1"/>
  <c r="BH9" i="13"/>
  <c r="BI9" i="13"/>
  <c r="BJ9" i="13"/>
  <c r="BK9" i="13"/>
  <c r="O11" i="13"/>
  <c r="P11" i="13"/>
  <c r="Q11" i="13"/>
  <c r="R11" i="13"/>
  <c r="R8" i="13" s="1"/>
  <c r="S11" i="13"/>
  <c r="S8" i="13" s="1"/>
  <c r="T11" i="13"/>
  <c r="T8" i="13" s="1"/>
  <c r="U11" i="13"/>
  <c r="U8" i="13" s="1"/>
  <c r="AA11" i="13"/>
  <c r="AP11" i="13"/>
  <c r="BF11" i="13" s="1"/>
  <c r="AN14" i="13"/>
  <c r="M15" i="13"/>
  <c r="M19" i="13" s="1"/>
  <c r="N15" i="13"/>
  <c r="O15" i="13"/>
  <c r="P15" i="13"/>
  <c r="Q15" i="13"/>
  <c r="R15" i="13"/>
  <c r="S15" i="13"/>
  <c r="T15" i="13"/>
  <c r="U15" i="13"/>
  <c r="AA15" i="13"/>
  <c r="AB15" i="13"/>
  <c r="AC15" i="13"/>
  <c r="AD15" i="13"/>
  <c r="AE15" i="13"/>
  <c r="AF14" i="13" s="1"/>
  <c r="AF15" i="13"/>
  <c r="AP15" i="13"/>
  <c r="BF15" i="13"/>
  <c r="P18" i="13"/>
  <c r="Q18" i="13"/>
  <c r="R18" i="13"/>
  <c r="S18" i="13"/>
  <c r="S19" i="13" s="1"/>
  <c r="S26" i="13" s="1"/>
  <c r="S27" i="13" s="1"/>
  <c r="S28" i="13" s="1"/>
  <c r="T18" i="13"/>
  <c r="U18" i="13"/>
  <c r="AP18" i="13"/>
  <c r="AR18" i="13"/>
  <c r="AS18" i="13" s="1"/>
  <c r="AT18" i="13" s="1"/>
  <c r="N19" i="13"/>
  <c r="O19" i="13"/>
  <c r="P19" i="13"/>
  <c r="Q19" i="13"/>
  <c r="R19" i="13"/>
  <c r="T19" i="13"/>
  <c r="U19" i="13"/>
  <c r="AA19" i="13"/>
  <c r="AB19" i="13"/>
  <c r="AC19" i="13"/>
  <c r="AD19" i="13"/>
  <c r="AE19" i="13"/>
  <c r="AF19" i="13"/>
  <c r="AP19" i="13"/>
  <c r="AQ15" i="13" s="1"/>
  <c r="BF19" i="13"/>
  <c r="J21" i="13"/>
  <c r="O21" i="13"/>
  <c r="P21" i="13"/>
  <c r="Q21" i="13"/>
  <c r="R21" i="13"/>
  <c r="S21" i="13"/>
  <c r="T21" i="13"/>
  <c r="U21" i="13"/>
  <c r="AA21" i="13"/>
  <c r="J22" i="13"/>
  <c r="O22" i="13"/>
  <c r="P22" i="13"/>
  <c r="Q22" i="13"/>
  <c r="R22" i="13"/>
  <c r="S22" i="13"/>
  <c r="T22" i="13"/>
  <c r="U22" i="13"/>
  <c r="O24" i="13"/>
  <c r="P24" i="13"/>
  <c r="Q24" i="13"/>
  <c r="R24" i="13"/>
  <c r="S24" i="13"/>
  <c r="T24" i="13"/>
  <c r="U24" i="13"/>
  <c r="O26" i="13"/>
  <c r="P26" i="13"/>
  <c r="Q26" i="13"/>
  <c r="R26" i="13"/>
  <c r="T26" i="13"/>
  <c r="U26" i="13"/>
  <c r="O27" i="13"/>
  <c r="O28" i="13" s="1"/>
  <c r="O32" i="13" s="1"/>
  <c r="P27" i="13"/>
  <c r="P28" i="13" s="1"/>
  <c r="Q27" i="13"/>
  <c r="Q28" i="13" s="1"/>
  <c r="R27" i="13"/>
  <c r="R28" i="13" s="1"/>
  <c r="T27" i="13"/>
  <c r="T28" i="13" s="1"/>
  <c r="O30" i="13" s="1"/>
  <c r="O35" i="13" s="1"/>
  <c r="AP24" i="13" s="1"/>
  <c r="AP23" i="13" s="1"/>
  <c r="AP26" i="13" s="1"/>
  <c r="AP28" i="13" s="1"/>
  <c r="U27" i="13"/>
  <c r="U28" i="13"/>
  <c r="AP30" i="13"/>
  <c r="AA32" i="13"/>
  <c r="AP32" i="13"/>
  <c r="O37" i="13"/>
  <c r="AA40" i="13"/>
  <c r="AN52" i="13"/>
  <c r="AT53" i="13"/>
  <c r="AT54" i="13"/>
  <c r="AR59" i="13"/>
  <c r="AS59" i="13"/>
  <c r="AT59" i="13"/>
  <c r="AR60" i="13"/>
  <c r="AS60" i="13"/>
  <c r="AT60" i="13"/>
  <c r="AU60" i="13"/>
  <c r="AS64" i="13"/>
  <c r="AP73" i="13"/>
  <c r="AP74" i="13"/>
  <c r="AP75" i="13"/>
  <c r="X3" i="12"/>
  <c r="AP4" i="12"/>
  <c r="X6" i="12"/>
  <c r="Q7" i="12"/>
  <c r="R7" i="12"/>
  <c r="AQ7" i="12"/>
  <c r="AR7" i="12"/>
  <c r="AS7" i="12"/>
  <c r="AT7" i="12"/>
  <c r="AU7" i="12"/>
  <c r="BF7" i="12"/>
  <c r="BG7" i="12"/>
  <c r="BH7" i="12"/>
  <c r="BI7" i="12"/>
  <c r="BJ7" i="12"/>
  <c r="BK7" i="12"/>
  <c r="BF8" i="12"/>
  <c r="BG9" i="12"/>
  <c r="BG8" i="12" s="1"/>
  <c r="BH9" i="12"/>
  <c r="BI9" i="12"/>
  <c r="BJ9" i="12"/>
  <c r="BK9" i="12"/>
  <c r="O11" i="12"/>
  <c r="P11" i="12"/>
  <c r="Q11" i="12"/>
  <c r="Q8" i="12" s="1"/>
  <c r="R11" i="12"/>
  <c r="R8" i="12" s="1"/>
  <c r="S11" i="12"/>
  <c r="S8" i="12" s="1"/>
  <c r="T11" i="12"/>
  <c r="T8" i="12" s="1"/>
  <c r="U11" i="12"/>
  <c r="U8" i="12" s="1"/>
  <c r="AA11" i="12"/>
  <c r="AP11" i="12"/>
  <c r="BF11" i="12" s="1"/>
  <c r="M15" i="12"/>
  <c r="N15" i="12"/>
  <c r="O15" i="12"/>
  <c r="P15" i="12"/>
  <c r="Q15" i="12"/>
  <c r="R15" i="12"/>
  <c r="S15" i="12"/>
  <c r="T15" i="12"/>
  <c r="U15" i="12"/>
  <c r="AA15" i="12"/>
  <c r="AB15" i="12"/>
  <c r="AC15" i="12"/>
  <c r="AD15" i="12"/>
  <c r="AE15" i="12"/>
  <c r="AF14" i="12" s="1"/>
  <c r="AF15" i="12"/>
  <c r="AP15" i="12"/>
  <c r="BF15" i="12"/>
  <c r="O18" i="12"/>
  <c r="P18" i="12"/>
  <c r="Q18" i="12"/>
  <c r="R18" i="12"/>
  <c r="S18" i="12"/>
  <c r="T18" i="12"/>
  <c r="U18" i="12"/>
  <c r="AP18" i="12"/>
  <c r="M19" i="12"/>
  <c r="N19" i="12"/>
  <c r="O19" i="12"/>
  <c r="P19" i="12"/>
  <c r="Q19" i="12"/>
  <c r="R19" i="12"/>
  <c r="S19" i="12"/>
  <c r="T19" i="12"/>
  <c r="U19" i="12"/>
  <c r="AA19" i="12"/>
  <c r="AB19" i="12"/>
  <c r="AC19" i="12"/>
  <c r="AD19" i="12"/>
  <c r="AE19" i="12"/>
  <c r="AF19" i="12"/>
  <c r="AP19" i="12"/>
  <c r="AQ15" i="12" s="1"/>
  <c r="BF19" i="12"/>
  <c r="J21" i="12"/>
  <c r="O21" i="12"/>
  <c r="P21" i="12"/>
  <c r="Q21" i="12"/>
  <c r="R21" i="12"/>
  <c r="S21" i="12"/>
  <c r="T21" i="12"/>
  <c r="U21" i="12"/>
  <c r="AA21" i="12"/>
  <c r="J22" i="12"/>
  <c r="O22" i="12"/>
  <c r="P22" i="12"/>
  <c r="Q22" i="12"/>
  <c r="R22" i="12"/>
  <c r="S22" i="12"/>
  <c r="T22" i="12"/>
  <c r="U22" i="12"/>
  <c r="O24" i="12"/>
  <c r="P24" i="12"/>
  <c r="Q24" i="12"/>
  <c r="R24" i="12"/>
  <c r="S24" i="12"/>
  <c r="T24" i="12"/>
  <c r="U24" i="12"/>
  <c r="O26" i="12"/>
  <c r="P26" i="12"/>
  <c r="Q26" i="12"/>
  <c r="R26" i="12"/>
  <c r="S26" i="12"/>
  <c r="T26" i="12"/>
  <c r="U26" i="12"/>
  <c r="O27" i="12"/>
  <c r="P27" i="12"/>
  <c r="Q27" i="12"/>
  <c r="R27" i="12"/>
  <c r="S27" i="12"/>
  <c r="T27" i="12"/>
  <c r="U27" i="12"/>
  <c r="O28" i="12"/>
  <c r="P28" i="12"/>
  <c r="Q28" i="12"/>
  <c r="R28" i="12"/>
  <c r="S28" i="12"/>
  <c r="T28" i="12"/>
  <c r="U28" i="12"/>
  <c r="O30" i="12"/>
  <c r="AP30" i="12"/>
  <c r="O32" i="12"/>
  <c r="AA32" i="12"/>
  <c r="AP32" i="12"/>
  <c r="O35" i="12"/>
  <c r="O37" i="12"/>
  <c r="AP23" i="12" s="1"/>
  <c r="AA40" i="12"/>
  <c r="AN52" i="12"/>
  <c r="AS53" i="12"/>
  <c r="AT53" i="12"/>
  <c r="AS54" i="12"/>
  <c r="AT54" i="12"/>
  <c r="AR59" i="12"/>
  <c r="AS59" i="12" s="1"/>
  <c r="AS64" i="12" s="1"/>
  <c r="AR60" i="12"/>
  <c r="AS60" i="12"/>
  <c r="D4" i="11"/>
  <c r="E4" i="11"/>
  <c r="F4" i="11"/>
  <c r="G4" i="11"/>
  <c r="H4" i="11"/>
  <c r="C5" i="11"/>
  <c r="D5" i="11"/>
  <c r="E5" i="11"/>
  <c r="F5" i="11"/>
  <c r="G5" i="11"/>
  <c r="H5" i="11"/>
  <c r="J5" i="11"/>
  <c r="K5" i="11"/>
  <c r="M5" i="11"/>
  <c r="E6" i="11"/>
  <c r="F6" i="11"/>
  <c r="L5" i="11" s="1"/>
  <c r="G6" i="11"/>
  <c r="H6" i="11"/>
  <c r="M9" i="11"/>
  <c r="E10" i="11"/>
  <c r="F10" i="11"/>
  <c r="G10" i="11"/>
  <c r="H10" i="11"/>
  <c r="I10" i="11"/>
  <c r="D11" i="11"/>
  <c r="E11" i="11"/>
  <c r="F11" i="11"/>
  <c r="G11" i="11"/>
  <c r="H11" i="11"/>
  <c r="I11" i="11"/>
  <c r="N11" i="11"/>
  <c r="D12" i="11"/>
  <c r="E12" i="11"/>
  <c r="F12" i="11"/>
  <c r="G12" i="11"/>
  <c r="D13" i="11"/>
  <c r="E13" i="11"/>
  <c r="F13" i="11"/>
  <c r="D14" i="11"/>
  <c r="E14" i="11"/>
  <c r="F14" i="11"/>
  <c r="D16" i="11"/>
  <c r="E16" i="11"/>
  <c r="F16" i="11"/>
  <c r="D17" i="11"/>
  <c r="E17" i="11"/>
  <c r="F17" i="11"/>
  <c r="D19" i="11"/>
  <c r="E19" i="11"/>
  <c r="F19" i="11"/>
  <c r="C21" i="11"/>
  <c r="C22" i="11" s="1"/>
  <c r="D22" i="11"/>
  <c r="E22" i="11"/>
  <c r="F22" i="11"/>
  <c r="C24" i="11"/>
  <c r="D5" i="10"/>
  <c r="E5" i="10" s="1"/>
  <c r="C6" i="10"/>
  <c r="D6" i="10"/>
  <c r="E6" i="10"/>
  <c r="F6" i="10"/>
  <c r="G6" i="10"/>
  <c r="H6" i="10"/>
  <c r="I6" i="10"/>
  <c r="C7" i="10"/>
  <c r="D7" i="10"/>
  <c r="E7" i="10"/>
  <c r="F7" i="10"/>
  <c r="G7" i="10"/>
  <c r="H7" i="10"/>
  <c r="I7" i="10"/>
  <c r="C8" i="10"/>
  <c r="D8" i="10"/>
  <c r="E8" i="10"/>
  <c r="F8" i="10"/>
  <c r="G8" i="10"/>
  <c r="H8" i="10"/>
  <c r="I8" i="10"/>
  <c r="N8" i="10"/>
  <c r="C10" i="10"/>
  <c r="D10" i="10"/>
  <c r="E10" i="10"/>
  <c r="F10" i="10"/>
  <c r="G10" i="10"/>
  <c r="H10" i="10"/>
  <c r="I10" i="10"/>
  <c r="C11" i="10"/>
  <c r="D11" i="10"/>
  <c r="E11" i="10"/>
  <c r="F11" i="10"/>
  <c r="G11" i="10"/>
  <c r="H11" i="10"/>
  <c r="I11" i="10"/>
  <c r="N11" i="10"/>
  <c r="C12" i="10"/>
  <c r="D12" i="10"/>
  <c r="E12" i="10"/>
  <c r="F12" i="10"/>
  <c r="G12" i="10"/>
  <c r="H12" i="10"/>
  <c r="I12" i="10"/>
  <c r="N14" i="10"/>
  <c r="C17" i="10"/>
  <c r="D17" i="10"/>
  <c r="E17" i="10"/>
  <c r="F17" i="10"/>
  <c r="G17" i="10"/>
  <c r="H17" i="10"/>
  <c r="I17" i="10"/>
  <c r="C18" i="10"/>
  <c r="D18" i="10"/>
  <c r="E18" i="10"/>
  <c r="F18" i="10"/>
  <c r="G18" i="10"/>
  <c r="H18" i="10"/>
  <c r="I18" i="10"/>
  <c r="C19" i="10"/>
  <c r="D19" i="10"/>
  <c r="E19" i="10"/>
  <c r="F19" i="10"/>
  <c r="G19" i="10"/>
  <c r="H19" i="10"/>
  <c r="I19" i="10"/>
  <c r="C20" i="10"/>
  <c r="D20" i="10"/>
  <c r="E20" i="10"/>
  <c r="F20" i="10"/>
  <c r="G20" i="10"/>
  <c r="H20" i="10"/>
  <c r="I20" i="10"/>
  <c r="C22" i="10"/>
  <c r="D22" i="10"/>
  <c r="E22" i="10"/>
  <c r="F22" i="10"/>
  <c r="F21" i="10" s="1"/>
  <c r="N20" i="10" s="1"/>
  <c r="G22" i="10"/>
  <c r="G21" i="10" s="1"/>
  <c r="H22" i="10"/>
  <c r="H21" i="10" s="1"/>
  <c r="I22" i="10"/>
  <c r="I21" i="10" s="1"/>
  <c r="C23" i="10"/>
  <c r="D23" i="10"/>
  <c r="E23" i="10"/>
  <c r="F23" i="10"/>
  <c r="G23" i="10"/>
  <c r="H23" i="10"/>
  <c r="I23" i="10"/>
  <c r="C24" i="10"/>
  <c r="D24" i="10"/>
  <c r="E24" i="10"/>
  <c r="F24" i="10"/>
  <c r="G24" i="10"/>
  <c r="H24" i="10"/>
  <c r="I24" i="10"/>
  <c r="C26" i="10"/>
  <c r="D26" i="10"/>
  <c r="E26" i="10"/>
  <c r="F26" i="10"/>
  <c r="G26" i="10"/>
  <c r="H26" i="10"/>
  <c r="I26" i="10"/>
  <c r="D27" i="10"/>
  <c r="E27" i="10"/>
  <c r="F27" i="10"/>
  <c r="G27" i="10"/>
  <c r="H27" i="10"/>
  <c r="I27" i="10"/>
  <c r="C28" i="10"/>
  <c r="D28" i="10"/>
  <c r="E28" i="10"/>
  <c r="F28" i="10"/>
  <c r="G28" i="10"/>
  <c r="H28" i="10"/>
  <c r="I28" i="10"/>
  <c r="C30" i="10"/>
  <c r="D30" i="10"/>
  <c r="E30" i="10"/>
  <c r="F30" i="10"/>
  <c r="G30" i="10"/>
  <c r="H30" i="10"/>
  <c r="I30" i="10"/>
  <c r="D31" i="10"/>
  <c r="E31" i="10"/>
  <c r="F31" i="10"/>
  <c r="G31" i="10"/>
  <c r="H31" i="10"/>
  <c r="I31" i="10"/>
  <c r="C32" i="10"/>
  <c r="D32" i="10"/>
  <c r="E32" i="10"/>
  <c r="F32" i="10"/>
  <c r="G32" i="10"/>
  <c r="H32" i="10"/>
  <c r="I32" i="10"/>
  <c r="B34" i="10"/>
  <c r="C34" i="10"/>
  <c r="D34" i="10"/>
  <c r="E34" i="10"/>
  <c r="F34" i="10"/>
  <c r="G34" i="10"/>
  <c r="H34" i="10"/>
  <c r="I34" i="10"/>
  <c r="C35" i="10"/>
  <c r="D35" i="10"/>
  <c r="E35" i="10"/>
  <c r="F35" i="10"/>
  <c r="F36" i="10" s="1"/>
  <c r="F37" i="10" s="1"/>
  <c r="F38" i="10" s="1"/>
  <c r="G35" i="10"/>
  <c r="H35" i="10"/>
  <c r="I35" i="10"/>
  <c r="C36" i="10"/>
  <c r="D36" i="10"/>
  <c r="E36" i="10"/>
  <c r="E37" i="10" s="1"/>
  <c r="G36" i="10"/>
  <c r="H36" i="10"/>
  <c r="I36" i="10"/>
  <c r="C37" i="10"/>
  <c r="D37" i="10"/>
  <c r="G37" i="10"/>
  <c r="H37" i="10"/>
  <c r="I37" i="10"/>
  <c r="I38" i="10" s="1"/>
  <c r="C38" i="10"/>
  <c r="D38" i="10"/>
  <c r="G38" i="10"/>
  <c r="H38" i="10"/>
  <c r="C52" i="10"/>
  <c r="D52" i="10"/>
  <c r="C55" i="10"/>
  <c r="D55" i="10"/>
  <c r="E55" i="10"/>
  <c r="F55" i="10"/>
  <c r="C57" i="10"/>
  <c r="C62" i="10" s="1"/>
  <c r="C71" i="10" s="1"/>
  <c r="D57" i="10"/>
  <c r="D62" i="10" s="1"/>
  <c r="D71" i="10" s="1"/>
  <c r="E57" i="10"/>
  <c r="F57" i="10"/>
  <c r="F62" i="10" s="1"/>
  <c r="F71" i="10" s="1"/>
  <c r="C59" i="10"/>
  <c r="D59" i="10"/>
  <c r="E59" i="10"/>
  <c r="F59" i="10"/>
  <c r="C61" i="10"/>
  <c r="D61" i="10"/>
  <c r="E61" i="10"/>
  <c r="F61" i="10"/>
  <c r="E62" i="10"/>
  <c r="D66" i="10"/>
  <c r="D69" i="10" s="1"/>
  <c r="E66" i="10"/>
  <c r="E69" i="10" s="1"/>
  <c r="F66" i="10"/>
  <c r="F69" i="10" s="1"/>
  <c r="C68" i="10"/>
  <c r="C69" i="10" s="1"/>
  <c r="D68" i="10"/>
  <c r="E68" i="10"/>
  <c r="F68" i="10"/>
  <c r="F77" i="10"/>
  <c r="G77" i="10"/>
  <c r="H77" i="10"/>
  <c r="I77" i="10"/>
  <c r="C78" i="10"/>
  <c r="D78" i="10"/>
  <c r="E78" i="10"/>
  <c r="F78" i="10"/>
  <c r="G78" i="10"/>
  <c r="H78" i="10"/>
  <c r="I78" i="10"/>
  <c r="D79" i="10"/>
  <c r="E79" i="10"/>
  <c r="F79" i="10"/>
  <c r="G79" i="10"/>
  <c r="H79" i="10"/>
  <c r="I79" i="10"/>
  <c r="C80" i="10"/>
  <c r="D80" i="10"/>
  <c r="E80" i="10"/>
  <c r="F80" i="10"/>
  <c r="G80" i="10"/>
  <c r="H80" i="10"/>
  <c r="I80" i="10"/>
  <c r="C81" i="10"/>
  <c r="D81" i="10"/>
  <c r="E81" i="10"/>
  <c r="F81" i="10"/>
  <c r="G81" i="10"/>
  <c r="H81" i="10"/>
  <c r="I81" i="10"/>
  <c r="C84" i="10"/>
  <c r="D84" i="10"/>
  <c r="E84" i="10"/>
  <c r="F84" i="10"/>
  <c r="C90" i="10"/>
  <c r="D90" i="10"/>
  <c r="E90" i="10"/>
  <c r="F90" i="10"/>
  <c r="G90" i="10"/>
  <c r="H90" i="10"/>
  <c r="I90" i="10"/>
  <c r="C91" i="10"/>
  <c r="D91" i="10"/>
  <c r="E91" i="10"/>
  <c r="F91" i="10"/>
  <c r="G91" i="10"/>
  <c r="H91" i="10"/>
  <c r="I91" i="10"/>
  <c r="C92" i="10"/>
  <c r="D92" i="10"/>
  <c r="E92" i="10"/>
  <c r="F92" i="10"/>
  <c r="G92" i="10"/>
  <c r="H92" i="10"/>
  <c r="I92" i="10"/>
  <c r="C93" i="10"/>
  <c r="D93" i="10"/>
  <c r="E93" i="10"/>
  <c r="F93" i="10"/>
  <c r="G93" i="10"/>
  <c r="H93" i="10"/>
  <c r="I93" i="10"/>
  <c r="B94" i="10"/>
  <c r="C94" i="10"/>
  <c r="D94" i="10"/>
  <c r="E94" i="10"/>
  <c r="F94" i="10"/>
  <c r="G94" i="10"/>
  <c r="H94" i="10"/>
  <c r="I94" i="10"/>
  <c r="C95" i="10"/>
  <c r="D95" i="10"/>
  <c r="E95" i="10"/>
  <c r="F95" i="10"/>
  <c r="G95" i="10"/>
  <c r="H95" i="10"/>
  <c r="I95" i="10"/>
  <c r="J95" i="10"/>
  <c r="C5" i="8"/>
  <c r="C6" i="8"/>
  <c r="C7" i="8"/>
  <c r="C8" i="8"/>
  <c r="C9" i="8"/>
  <c r="C10" i="8"/>
  <c r="C13" i="8"/>
  <c r="C23" i="8" s="1"/>
  <c r="B5" i="2" s="1"/>
  <c r="F13" i="8"/>
  <c r="C16" i="8"/>
  <c r="C17" i="8"/>
  <c r="C18" i="8"/>
  <c r="C21" i="8"/>
  <c r="F22" i="8"/>
  <c r="D5" i="5"/>
  <c r="E5" i="5"/>
  <c r="F5" i="5"/>
  <c r="G5" i="5"/>
  <c r="H5" i="5"/>
  <c r="I5" i="5"/>
  <c r="J5" i="5"/>
  <c r="K5" i="5"/>
  <c r="L5" i="5"/>
  <c r="F6" i="5"/>
  <c r="G6" i="5"/>
  <c r="H6" i="5"/>
  <c r="L9" i="5"/>
  <c r="E10" i="5"/>
  <c r="F10" i="5" s="1"/>
  <c r="G10" i="5" s="1"/>
  <c r="H10" i="5" s="1"/>
  <c r="I10" i="5" s="1"/>
  <c r="D11" i="5"/>
  <c r="E11" i="5" s="1"/>
  <c r="F11" i="5"/>
  <c r="G11" i="5" s="1"/>
  <c r="H11" i="5" s="1"/>
  <c r="M11" i="5"/>
  <c r="D12" i="5"/>
  <c r="E12" i="5" s="1"/>
  <c r="D13" i="5"/>
  <c r="D14" i="5"/>
  <c r="D16" i="5"/>
  <c r="D17" i="5"/>
  <c r="D19" i="5"/>
  <c r="C21" i="5"/>
  <c r="G2" i="3"/>
  <c r="D8" i="3" s="1"/>
  <c r="D11" i="3" s="1"/>
  <c r="C23" i="3" s="1"/>
  <c r="G3" i="3"/>
  <c r="H4" i="3"/>
  <c r="H6" i="3"/>
  <c r="D9" i="3"/>
  <c r="J13" i="3"/>
  <c r="C22" i="3"/>
  <c r="C19" i="3" s="1"/>
  <c r="C24" i="3"/>
  <c r="C25" i="3"/>
  <c r="H30" i="3"/>
  <c r="I30" i="3"/>
  <c r="K24" i="3" s="1"/>
  <c r="H31" i="3"/>
  <c r="I31" i="3"/>
  <c r="K25" i="3" s="1"/>
  <c r="B1071" i="32"/>
  <c r="B1072" i="32" s="1"/>
  <c r="K30" i="31"/>
  <c r="K29" i="31"/>
  <c r="J29" i="31"/>
  <c r="K28" i="31"/>
  <c r="J28" i="31"/>
  <c r="K27" i="31"/>
  <c r="J27" i="31"/>
  <c r="K26" i="31"/>
  <c r="K25" i="31"/>
  <c r="K24" i="31"/>
  <c r="K23" i="31"/>
  <c r="K22" i="31"/>
  <c r="K21" i="31"/>
  <c r="K20" i="31"/>
  <c r="K19" i="31"/>
  <c r="K18" i="31"/>
  <c r="K17" i="31"/>
  <c r="K16" i="31"/>
  <c r="K15" i="31"/>
  <c r="K14" i="31"/>
  <c r="K13" i="31"/>
  <c r="K12" i="31"/>
  <c r="K11" i="31"/>
  <c r="K10" i="31"/>
  <c r="K9" i="31"/>
  <c r="I164" i="30"/>
  <c r="H164" i="30" s="1"/>
  <c r="D164" i="30"/>
  <c r="F164" i="30" s="1"/>
  <c r="E164" i="30" s="1"/>
  <c r="I163" i="30"/>
  <c r="H163" i="30"/>
  <c r="I162" i="30"/>
  <c r="H162" i="30" s="1"/>
  <c r="D162" i="30"/>
  <c r="F162" i="30" s="1"/>
  <c r="E162" i="30" s="1"/>
  <c r="I161" i="30"/>
  <c r="H161" i="30"/>
  <c r="I160" i="30"/>
  <c r="H160" i="30"/>
  <c r="D160" i="30"/>
  <c r="F160" i="30" s="1"/>
  <c r="E160" i="30" s="1"/>
  <c r="I159" i="30"/>
  <c r="H159" i="30"/>
  <c r="I158" i="30"/>
  <c r="H158" i="30" s="1"/>
  <c r="I157" i="30"/>
  <c r="H157" i="30" s="1"/>
  <c r="I156" i="30"/>
  <c r="H156" i="30"/>
  <c r="D156" i="30"/>
  <c r="F156" i="30" s="1"/>
  <c r="E156" i="30" s="1"/>
  <c r="I155" i="30"/>
  <c r="H155" i="30" s="1"/>
  <c r="D155" i="30"/>
  <c r="F155" i="30" s="1"/>
  <c r="E155" i="30" s="1"/>
  <c r="I154" i="30"/>
  <c r="H154" i="30" s="1"/>
  <c r="D154" i="30"/>
  <c r="F154" i="30" s="1"/>
  <c r="E154" i="30" s="1"/>
  <c r="I153" i="30"/>
  <c r="H153" i="30"/>
  <c r="D153" i="30"/>
  <c r="F153" i="30" s="1"/>
  <c r="E153" i="30" s="1"/>
  <c r="I152" i="30"/>
  <c r="H152" i="30" s="1"/>
  <c r="D152" i="30"/>
  <c r="F152" i="30" s="1"/>
  <c r="E152" i="30" s="1"/>
  <c r="I151" i="30"/>
  <c r="H151" i="30" s="1"/>
  <c r="D151" i="30"/>
  <c r="F151" i="30" s="1"/>
  <c r="E151" i="30" s="1"/>
  <c r="I150" i="30"/>
  <c r="H150" i="30" s="1"/>
  <c r="D150" i="30"/>
  <c r="F150" i="30" s="1"/>
  <c r="E150" i="30" s="1"/>
  <c r="I149" i="30"/>
  <c r="H149" i="30" s="1"/>
  <c r="D149" i="30"/>
  <c r="F149" i="30" s="1"/>
  <c r="E149" i="30" s="1"/>
  <c r="I148" i="30"/>
  <c r="H148" i="30" s="1"/>
  <c r="D148" i="30"/>
  <c r="F148" i="30" s="1"/>
  <c r="E148" i="30" s="1"/>
  <c r="I147" i="30"/>
  <c r="H147" i="30" s="1"/>
  <c r="D147" i="30"/>
  <c r="F147" i="30" s="1"/>
  <c r="E147" i="30" s="1"/>
  <c r="I146" i="30"/>
  <c r="H146" i="30" s="1"/>
  <c r="D146" i="30"/>
  <c r="F146" i="30" s="1"/>
  <c r="E146" i="30" s="1"/>
  <c r="I145" i="30"/>
  <c r="H145" i="30" s="1"/>
  <c r="D145" i="30"/>
  <c r="F145" i="30" s="1"/>
  <c r="E145" i="30" s="1"/>
  <c r="I144" i="30"/>
  <c r="H144" i="30" s="1"/>
  <c r="D144" i="30"/>
  <c r="F144" i="30" s="1"/>
  <c r="E144" i="30" s="1"/>
  <c r="I143" i="30"/>
  <c r="H143" i="30" s="1"/>
  <c r="D143" i="30"/>
  <c r="F143" i="30" s="1"/>
  <c r="E143" i="30" s="1"/>
  <c r="I142" i="30"/>
  <c r="H142" i="30" s="1"/>
  <c r="D142" i="30"/>
  <c r="F142" i="30" s="1"/>
  <c r="E142" i="30" s="1"/>
  <c r="I141" i="30"/>
  <c r="H141" i="30" s="1"/>
  <c r="D141" i="30"/>
  <c r="F141" i="30" s="1"/>
  <c r="E141" i="30" s="1"/>
  <c r="I140" i="30"/>
  <c r="H140" i="30" s="1"/>
  <c r="D140" i="30"/>
  <c r="F140" i="30" s="1"/>
  <c r="E140" i="30" s="1"/>
  <c r="I139" i="30"/>
  <c r="H139" i="30" s="1"/>
  <c r="D139" i="30"/>
  <c r="F139" i="30" s="1"/>
  <c r="E139" i="30" s="1"/>
  <c r="I138" i="30"/>
  <c r="H138" i="30" s="1"/>
  <c r="D138" i="30"/>
  <c r="F138" i="30" s="1"/>
  <c r="E138" i="30" s="1"/>
  <c r="I137" i="30"/>
  <c r="H137" i="30"/>
  <c r="I136" i="30"/>
  <c r="H136" i="30"/>
  <c r="I135" i="30"/>
  <c r="H135" i="30"/>
  <c r="I134" i="30"/>
  <c r="H134" i="30"/>
  <c r="I133" i="30"/>
  <c r="H133" i="30"/>
  <c r="D133" i="30"/>
  <c r="F133" i="30" s="1"/>
  <c r="E133" i="30" s="1"/>
  <c r="I132" i="30"/>
  <c r="H132" i="30"/>
  <c r="I131" i="30"/>
  <c r="H131" i="30"/>
  <c r="I130" i="30"/>
  <c r="H130" i="30"/>
  <c r="I129" i="30"/>
  <c r="H129" i="30"/>
  <c r="D129" i="30"/>
  <c r="F129" i="30" s="1"/>
  <c r="E129" i="30" s="1"/>
  <c r="I128" i="30"/>
  <c r="H128" i="30"/>
  <c r="D128" i="30"/>
  <c r="F128" i="30" s="1"/>
  <c r="E128" i="30" s="1"/>
  <c r="I127" i="30"/>
  <c r="H127" i="30"/>
  <c r="I126" i="30"/>
  <c r="H126" i="30"/>
  <c r="I125" i="30"/>
  <c r="H125" i="30"/>
  <c r="D125" i="30"/>
  <c r="F125" i="30" s="1"/>
  <c r="E125" i="30" s="1"/>
  <c r="I124" i="30"/>
  <c r="H124" i="30"/>
  <c r="D124" i="30"/>
  <c r="F124" i="30" s="1"/>
  <c r="E124" i="30" s="1"/>
  <c r="I123" i="30"/>
  <c r="H123" i="30"/>
  <c r="I122" i="30"/>
  <c r="H122" i="30"/>
  <c r="D122" i="30"/>
  <c r="F122" i="30" s="1"/>
  <c r="E122" i="30" s="1"/>
  <c r="I121" i="30"/>
  <c r="H121" i="30"/>
  <c r="I120" i="30"/>
  <c r="H120" i="30"/>
  <c r="D120" i="30"/>
  <c r="F120" i="30" s="1"/>
  <c r="E120" i="30" s="1"/>
  <c r="I119" i="30"/>
  <c r="H119" i="30"/>
  <c r="I118" i="30"/>
  <c r="H118" i="30"/>
  <c r="D118" i="30"/>
  <c r="F118" i="30" s="1"/>
  <c r="E118" i="30" s="1"/>
  <c r="I117" i="30"/>
  <c r="H117" i="30"/>
  <c r="I116" i="30"/>
  <c r="H116" i="30"/>
  <c r="I115" i="30"/>
  <c r="H115" i="30"/>
  <c r="I114" i="30"/>
  <c r="H114" i="30"/>
  <c r="D114" i="30"/>
  <c r="F114" i="30" s="1"/>
  <c r="E114" i="30" s="1"/>
  <c r="I113" i="30"/>
  <c r="H113" i="30"/>
  <c r="D113" i="30"/>
  <c r="F113" i="30" s="1"/>
  <c r="E113" i="30" s="1"/>
  <c r="I112" i="30"/>
  <c r="H112" i="30"/>
  <c r="I111" i="30"/>
  <c r="H111" i="30"/>
  <c r="I110" i="30"/>
  <c r="H110" i="30"/>
  <c r="D110" i="30"/>
  <c r="F110" i="30" s="1"/>
  <c r="E110" i="30" s="1"/>
  <c r="I109" i="30"/>
  <c r="H109" i="30"/>
  <c r="D109" i="30"/>
  <c r="F109" i="30" s="1"/>
  <c r="E109" i="30" s="1"/>
  <c r="I108" i="30"/>
  <c r="H108" i="30"/>
  <c r="I107" i="30"/>
  <c r="H107" i="30"/>
  <c r="I106" i="30"/>
  <c r="H106" i="30"/>
  <c r="I105" i="30"/>
  <c r="H105" i="30"/>
  <c r="I104" i="30"/>
  <c r="H104" i="30"/>
  <c r="I103" i="30"/>
  <c r="H103" i="30"/>
  <c r="I102" i="30"/>
  <c r="H102" i="30"/>
  <c r="I101" i="30"/>
  <c r="H101" i="30"/>
  <c r="I100" i="30"/>
  <c r="H100" i="30"/>
  <c r="I99" i="30"/>
  <c r="H99" i="30"/>
  <c r="I98" i="30"/>
  <c r="H98" i="30"/>
  <c r="I97" i="30"/>
  <c r="H97" i="30"/>
  <c r="I96" i="30"/>
  <c r="H96" i="30"/>
  <c r="I95" i="30"/>
  <c r="H95" i="30"/>
  <c r="I94" i="30"/>
  <c r="H94" i="30"/>
  <c r="I93" i="30"/>
  <c r="H93" i="30"/>
  <c r="I92" i="30"/>
  <c r="H92" i="30"/>
  <c r="I91" i="30"/>
  <c r="H91" i="30"/>
  <c r="I90" i="30"/>
  <c r="H90" i="30"/>
  <c r="I89" i="30"/>
  <c r="H89" i="30"/>
  <c r="I88" i="30"/>
  <c r="H88" i="30"/>
  <c r="I87" i="30"/>
  <c r="H87" i="30"/>
  <c r="I86" i="30"/>
  <c r="H86" i="30"/>
  <c r="I85" i="30"/>
  <c r="H85" i="30"/>
  <c r="I84" i="30"/>
  <c r="H84" i="30"/>
  <c r="I83" i="30"/>
  <c r="H83" i="30"/>
  <c r="I82" i="30"/>
  <c r="H82" i="30"/>
  <c r="I81" i="30"/>
  <c r="H81" i="30"/>
  <c r="I80" i="30"/>
  <c r="H80" i="30"/>
  <c r="I79" i="30"/>
  <c r="H79" i="30"/>
  <c r="D79" i="30"/>
  <c r="F79" i="30" s="1"/>
  <c r="E79" i="30" s="1"/>
  <c r="I78" i="30"/>
  <c r="H78" i="30"/>
  <c r="I77" i="30"/>
  <c r="H77" i="30"/>
  <c r="I76" i="30"/>
  <c r="H76" i="30"/>
  <c r="D76" i="30"/>
  <c r="F76" i="30" s="1"/>
  <c r="E76" i="30" s="1"/>
  <c r="I75" i="30"/>
  <c r="H75" i="30"/>
  <c r="I74" i="30"/>
  <c r="H74" i="30"/>
  <c r="I73" i="30"/>
  <c r="H73" i="30"/>
  <c r="I72" i="30"/>
  <c r="H72" i="30"/>
  <c r="I71" i="30"/>
  <c r="H71" i="30"/>
  <c r="D71" i="30"/>
  <c r="F71" i="30" s="1"/>
  <c r="E71" i="30" s="1"/>
  <c r="I70" i="30"/>
  <c r="H70" i="30"/>
  <c r="I69" i="30"/>
  <c r="H69" i="30"/>
  <c r="D69" i="30"/>
  <c r="F69" i="30" s="1"/>
  <c r="E69" i="30" s="1"/>
  <c r="I68" i="30"/>
  <c r="H68" i="30"/>
  <c r="D68" i="30"/>
  <c r="F68" i="30" s="1"/>
  <c r="E68" i="30" s="1"/>
  <c r="I67" i="30"/>
  <c r="H67" i="30"/>
  <c r="D67" i="30"/>
  <c r="F67" i="30" s="1"/>
  <c r="E67" i="30" s="1"/>
  <c r="I66" i="30"/>
  <c r="H66" i="30"/>
  <c r="I65" i="30"/>
  <c r="H65" i="30"/>
  <c r="I64" i="30"/>
  <c r="H64" i="30"/>
  <c r="I63" i="30"/>
  <c r="H63" i="30"/>
  <c r="D63" i="30"/>
  <c r="F63" i="30" s="1"/>
  <c r="E63" i="30" s="1"/>
  <c r="I62" i="30"/>
  <c r="H62" i="30"/>
  <c r="I61" i="30"/>
  <c r="H61" i="30"/>
  <c r="I60" i="30"/>
  <c r="H60" i="30"/>
  <c r="D60" i="30"/>
  <c r="F60" i="30" s="1"/>
  <c r="E60" i="30" s="1"/>
  <c r="I59" i="30"/>
  <c r="H59" i="30"/>
  <c r="D59" i="30"/>
  <c r="F59" i="30" s="1"/>
  <c r="E59" i="30" s="1"/>
  <c r="I58" i="30"/>
  <c r="H58" i="30"/>
  <c r="I57" i="30"/>
  <c r="H57" i="30"/>
  <c r="D57" i="30"/>
  <c r="F57" i="30" s="1"/>
  <c r="E57" i="30" s="1"/>
  <c r="I56" i="30"/>
  <c r="H56" i="30"/>
  <c r="D56" i="30"/>
  <c r="F56" i="30" s="1"/>
  <c r="E56" i="30" s="1"/>
  <c r="I55" i="30"/>
  <c r="H55" i="30"/>
  <c r="I54" i="30"/>
  <c r="H54" i="30"/>
  <c r="D54" i="30"/>
  <c r="F54" i="30" s="1"/>
  <c r="E54" i="30" s="1"/>
  <c r="I53" i="30"/>
  <c r="H53" i="30" s="1"/>
  <c r="I52" i="30"/>
  <c r="H52" i="30"/>
  <c r="I51" i="30"/>
  <c r="H51" i="30"/>
  <c r="D51" i="30"/>
  <c r="F51" i="30" s="1"/>
  <c r="E51" i="30" s="1"/>
  <c r="I50" i="30"/>
  <c r="H50" i="30"/>
  <c r="D50" i="30"/>
  <c r="F50" i="30" s="1"/>
  <c r="E50" i="30" s="1"/>
  <c r="I49" i="30"/>
  <c r="H49" i="30"/>
  <c r="I48" i="30"/>
  <c r="H48" i="30"/>
  <c r="D48" i="30"/>
  <c r="F48" i="30" s="1"/>
  <c r="E48" i="30" s="1"/>
  <c r="I47" i="30"/>
  <c r="H47" i="30"/>
  <c r="I46" i="30"/>
  <c r="H46" i="30"/>
  <c r="I45" i="30"/>
  <c r="H45" i="30" s="1"/>
  <c r="I44" i="30"/>
  <c r="H44" i="30" s="1"/>
  <c r="D44" i="30"/>
  <c r="F44" i="30" s="1"/>
  <c r="E44" i="30" s="1"/>
  <c r="I43" i="30"/>
  <c r="H43" i="30"/>
  <c r="D43" i="30"/>
  <c r="F43" i="30" s="1"/>
  <c r="E43" i="30" s="1"/>
  <c r="I42" i="30"/>
  <c r="H42" i="30"/>
  <c r="I41" i="30"/>
  <c r="H41" i="30"/>
  <c r="I40" i="30"/>
  <c r="H40" i="30" s="1"/>
  <c r="I39" i="30"/>
  <c r="H39" i="30" s="1"/>
  <c r="I38" i="30"/>
  <c r="H38" i="30" s="1"/>
  <c r="I37" i="30"/>
  <c r="H37" i="30" s="1"/>
  <c r="I36" i="30"/>
  <c r="H36" i="30" s="1"/>
  <c r="I35" i="30"/>
  <c r="H35" i="30" s="1"/>
  <c r="I34" i="30"/>
  <c r="H34" i="30" s="1"/>
  <c r="I33" i="30"/>
  <c r="H33" i="30" s="1"/>
  <c r="I32" i="30"/>
  <c r="H32" i="30" s="1"/>
  <c r="I31" i="30"/>
  <c r="H31" i="30"/>
  <c r="K30" i="30"/>
  <c r="I30" i="30"/>
  <c r="H30" i="30"/>
  <c r="K29" i="30"/>
  <c r="J29" i="30"/>
  <c r="I29" i="30"/>
  <c r="H29" i="30" s="1"/>
  <c r="K28" i="30"/>
  <c r="J28" i="30"/>
  <c r="I28" i="30"/>
  <c r="H28" i="30" s="1"/>
  <c r="K27" i="30"/>
  <c r="J27" i="30"/>
  <c r="I27" i="30"/>
  <c r="H27" i="30" s="1"/>
  <c r="K26" i="30"/>
  <c r="D12" i="30" s="1"/>
  <c r="F12" i="30" s="1"/>
  <c r="E12" i="30" s="1"/>
  <c r="I26" i="30"/>
  <c r="H26" i="30" s="1"/>
  <c r="K25" i="30"/>
  <c r="D90" i="30" s="1"/>
  <c r="F90" i="30" s="1"/>
  <c r="E90" i="30" s="1"/>
  <c r="I25" i="30"/>
  <c r="H25" i="30" s="1"/>
  <c r="K24" i="30"/>
  <c r="I24" i="30"/>
  <c r="H24" i="30"/>
  <c r="D24" i="30"/>
  <c r="F24" i="30" s="1"/>
  <c r="E24" i="30" s="1"/>
  <c r="K23" i="30"/>
  <c r="I23" i="30"/>
  <c r="H23" i="30"/>
  <c r="K22" i="30"/>
  <c r="I22" i="30"/>
  <c r="H22" i="30" s="1"/>
  <c r="K21" i="30"/>
  <c r="I21" i="30"/>
  <c r="H21" i="30" s="1"/>
  <c r="D21" i="30"/>
  <c r="F21" i="30" s="1"/>
  <c r="E21" i="30" s="1"/>
  <c r="K20" i="30"/>
  <c r="I20" i="30"/>
  <c r="H20" i="30" s="1"/>
  <c r="D20" i="30"/>
  <c r="F20" i="30" s="1"/>
  <c r="E20" i="30" s="1"/>
  <c r="K19" i="30"/>
  <c r="I19" i="30"/>
  <c r="H19" i="30"/>
  <c r="K18" i="30"/>
  <c r="I18" i="30"/>
  <c r="H18" i="30"/>
  <c r="D18" i="30"/>
  <c r="F18" i="30" s="1"/>
  <c r="E18" i="30" s="1"/>
  <c r="K17" i="30"/>
  <c r="I17" i="30"/>
  <c r="H17" i="30"/>
  <c r="K16" i="30"/>
  <c r="I16" i="30"/>
  <c r="H16" i="30"/>
  <c r="K15" i="30"/>
  <c r="I15" i="30"/>
  <c r="H15" i="30"/>
  <c r="D15" i="30"/>
  <c r="F15" i="30" s="1"/>
  <c r="E15" i="30" s="1"/>
  <c r="K14" i="30"/>
  <c r="I14" i="30"/>
  <c r="H14" i="30"/>
  <c r="K13" i="30"/>
  <c r="I13" i="30"/>
  <c r="H13" i="30"/>
  <c r="K12" i="30"/>
  <c r="D16" i="30" s="1"/>
  <c r="F16" i="30" s="1"/>
  <c r="E16" i="30" s="1"/>
  <c r="I12" i="30"/>
  <c r="H12" i="30"/>
  <c r="K11" i="30"/>
  <c r="D135" i="30" s="1"/>
  <c r="F135" i="30" s="1"/>
  <c r="E135" i="30" s="1"/>
  <c r="I11" i="30"/>
  <c r="H11" i="30"/>
  <c r="K10" i="30"/>
  <c r="D134" i="30" s="1"/>
  <c r="F134" i="30" s="1"/>
  <c r="E134" i="30" s="1"/>
  <c r="I10" i="30"/>
  <c r="H10" i="30"/>
  <c r="K9" i="30"/>
  <c r="I9" i="30"/>
  <c r="H9" i="30"/>
  <c r="D9" i="30"/>
  <c r="F9" i="30" s="1"/>
  <c r="E9" i="30" s="1"/>
  <c r="I8" i="30"/>
  <c r="H8" i="30"/>
  <c r="D8" i="30"/>
  <c r="F8" i="30" s="1"/>
  <c r="E8" i="30" s="1"/>
  <c r="E61" i="26"/>
  <c r="D61" i="26"/>
  <c r="C61" i="26"/>
  <c r="F61" i="26" s="1"/>
  <c r="E60" i="26"/>
  <c r="D60" i="26"/>
  <c r="C60" i="26"/>
  <c r="E56" i="26"/>
  <c r="D56" i="26"/>
  <c r="C56" i="26"/>
  <c r="F56" i="26" s="1"/>
  <c r="F63" i="26" s="1"/>
  <c r="E55" i="26"/>
  <c r="D55" i="26"/>
  <c r="C55" i="26"/>
  <c r="F55" i="26" s="1"/>
  <c r="K45" i="26"/>
  <c r="H45" i="26"/>
  <c r="G45" i="26"/>
  <c r="F45" i="26"/>
  <c r="J45" i="26" s="1"/>
  <c r="K44" i="26"/>
  <c r="H44" i="26"/>
  <c r="G44" i="26"/>
  <c r="F44" i="26"/>
  <c r="J44" i="26" s="1"/>
  <c r="K40" i="26"/>
  <c r="K48" i="26" s="1"/>
  <c r="H40" i="26"/>
  <c r="G40" i="26"/>
  <c r="F40" i="26"/>
  <c r="J40" i="26" s="1"/>
  <c r="J48" i="26" s="1"/>
  <c r="K39" i="26"/>
  <c r="K47" i="26" s="1"/>
  <c r="H39" i="26"/>
  <c r="G39" i="26"/>
  <c r="F39" i="26"/>
  <c r="J39" i="26" s="1"/>
  <c r="J47" i="26" s="1"/>
  <c r="K30" i="26"/>
  <c r="J30" i="26"/>
  <c r="I30" i="26"/>
  <c r="H30" i="26"/>
  <c r="K29" i="26"/>
  <c r="J29" i="26"/>
  <c r="I29" i="26"/>
  <c r="H29" i="26"/>
  <c r="B28" i="26"/>
  <c r="K26" i="26"/>
  <c r="J26" i="26"/>
  <c r="I26" i="26"/>
  <c r="H26" i="26"/>
  <c r="K25" i="26"/>
  <c r="I25" i="26"/>
  <c r="J25" i="26" s="1"/>
  <c r="H25" i="26"/>
  <c r="B24" i="26"/>
  <c r="K22" i="26"/>
  <c r="I22" i="26"/>
  <c r="J22" i="26" s="1"/>
  <c r="H22" i="26"/>
  <c r="K21" i="26"/>
  <c r="I21" i="26"/>
  <c r="J21" i="26" s="1"/>
  <c r="H21" i="26"/>
  <c r="B20" i="26"/>
  <c r="K18" i="26"/>
  <c r="I18" i="26"/>
  <c r="H18" i="26"/>
  <c r="J18" i="26" s="1"/>
  <c r="K17" i="26"/>
  <c r="I17" i="26"/>
  <c r="H17" i="26"/>
  <c r="J17" i="26" s="1"/>
  <c r="B16" i="26"/>
  <c r="B59" i="26" s="1"/>
  <c r="K14" i="26"/>
  <c r="K33" i="26" s="1"/>
  <c r="I14" i="26"/>
  <c r="J14" i="26" s="1"/>
  <c r="J33" i="26" s="1"/>
  <c r="H14" i="26"/>
  <c r="K13" i="26"/>
  <c r="K32" i="26" s="1"/>
  <c r="I13" i="26"/>
  <c r="H13" i="26"/>
  <c r="J13" i="26" s="1"/>
  <c r="J32" i="26" s="1"/>
  <c r="B12" i="26"/>
  <c r="G9" i="26"/>
  <c r="F9" i="26"/>
  <c r="D81" i="25"/>
  <c r="C80" i="25"/>
  <c r="D80" i="25" s="1"/>
  <c r="C79" i="25"/>
  <c r="D79" i="25" s="1"/>
  <c r="C78" i="25"/>
  <c r="D78" i="25" s="1"/>
  <c r="K72" i="25"/>
  <c r="S106" i="23"/>
  <c r="R106" i="23"/>
  <c r="Q106" i="23"/>
  <c r="P106" i="23"/>
  <c r="O106" i="23"/>
  <c r="N106" i="23"/>
  <c r="M106" i="23"/>
  <c r="L106" i="23"/>
  <c r="K106" i="23"/>
  <c r="J106" i="23"/>
  <c r="I106" i="23"/>
  <c r="H106" i="23"/>
  <c r="G106" i="23"/>
  <c r="F106" i="23"/>
  <c r="E106" i="23"/>
  <c r="D106" i="23"/>
  <c r="C106" i="23"/>
  <c r="L12" i="21"/>
  <c r="L13" i="21" s="1"/>
  <c r="L14" i="21" s="1"/>
  <c r="L15" i="21" s="1"/>
  <c r="L16" i="21" s="1"/>
  <c r="L17" i="21" s="1"/>
  <c r="L18" i="21" s="1"/>
  <c r="C9" i="21"/>
  <c r="M7" i="21"/>
  <c r="H116" i="20"/>
  <c r="F116" i="20"/>
  <c r="E116" i="20"/>
  <c r="C116" i="20"/>
  <c r="J115" i="20"/>
  <c r="G115" i="20"/>
  <c r="I115" i="20" s="1"/>
  <c r="K115" i="20" s="1"/>
  <c r="D115" i="20"/>
  <c r="J114" i="20"/>
  <c r="G114" i="20"/>
  <c r="I114" i="20" s="1"/>
  <c r="D114" i="20"/>
  <c r="K114" i="20" s="1"/>
  <c r="J113" i="20"/>
  <c r="G113" i="20"/>
  <c r="I113" i="20" s="1"/>
  <c r="D113" i="20"/>
  <c r="K113" i="20" s="1"/>
  <c r="J112" i="20"/>
  <c r="G112" i="20"/>
  <c r="I112" i="20" s="1"/>
  <c r="D112" i="20"/>
  <c r="K112" i="20" s="1"/>
  <c r="J111" i="20"/>
  <c r="G111" i="20"/>
  <c r="I111" i="20" s="1"/>
  <c r="D111" i="20"/>
  <c r="K111" i="20" s="1"/>
  <c r="J110" i="20"/>
  <c r="G110" i="20"/>
  <c r="I110" i="20" s="1"/>
  <c r="D110" i="20"/>
  <c r="K110" i="20" s="1"/>
  <c r="J109" i="20"/>
  <c r="G109" i="20"/>
  <c r="I109" i="20" s="1"/>
  <c r="D109" i="20"/>
  <c r="K109" i="20" s="1"/>
  <c r="J108" i="20"/>
  <c r="G108" i="20"/>
  <c r="I108" i="20" s="1"/>
  <c r="D108" i="20"/>
  <c r="K108" i="20" s="1"/>
  <c r="J107" i="20"/>
  <c r="G107" i="20"/>
  <c r="I107" i="20" s="1"/>
  <c r="D107" i="20"/>
  <c r="K107" i="20" s="1"/>
  <c r="J106" i="20"/>
  <c r="G106" i="20"/>
  <c r="I106" i="20" s="1"/>
  <c r="D106" i="20"/>
  <c r="K106" i="20" s="1"/>
  <c r="J105" i="20"/>
  <c r="G105" i="20"/>
  <c r="I105" i="20" s="1"/>
  <c r="D105" i="20"/>
  <c r="J104" i="20"/>
  <c r="G104" i="20"/>
  <c r="I104" i="20" s="1"/>
  <c r="D104" i="20"/>
  <c r="K104" i="20" s="1"/>
  <c r="J103" i="20"/>
  <c r="G103" i="20"/>
  <c r="I103" i="20" s="1"/>
  <c r="D103" i="20"/>
  <c r="J102" i="20"/>
  <c r="G102" i="20"/>
  <c r="I102" i="20" s="1"/>
  <c r="D102" i="20"/>
  <c r="K102" i="20" s="1"/>
  <c r="J101" i="20"/>
  <c r="G101" i="20"/>
  <c r="I101" i="20" s="1"/>
  <c r="D101" i="20"/>
  <c r="K101" i="20" s="1"/>
  <c r="J100" i="20"/>
  <c r="G100" i="20"/>
  <c r="I100" i="20" s="1"/>
  <c r="D100" i="20"/>
  <c r="J99" i="20"/>
  <c r="G99" i="20"/>
  <c r="I99" i="20" s="1"/>
  <c r="D99" i="20"/>
  <c r="K99" i="20" s="1"/>
  <c r="J98" i="20"/>
  <c r="G98" i="20"/>
  <c r="I98" i="20" s="1"/>
  <c r="D98" i="20"/>
  <c r="J97" i="20"/>
  <c r="G97" i="20"/>
  <c r="I97" i="20" s="1"/>
  <c r="D97" i="20"/>
  <c r="J96" i="20"/>
  <c r="G96" i="20"/>
  <c r="I96" i="20" s="1"/>
  <c r="D96" i="20"/>
  <c r="K96" i="20" s="1"/>
  <c r="J95" i="20"/>
  <c r="G95" i="20"/>
  <c r="I95" i="20" s="1"/>
  <c r="D95" i="20"/>
  <c r="J94" i="20"/>
  <c r="G94" i="20"/>
  <c r="I94" i="20" s="1"/>
  <c r="D94" i="20"/>
  <c r="K94" i="20" s="1"/>
  <c r="J93" i="20"/>
  <c r="G93" i="20"/>
  <c r="I93" i="20" s="1"/>
  <c r="D93" i="20"/>
  <c r="J92" i="20"/>
  <c r="G92" i="20"/>
  <c r="I92" i="20" s="1"/>
  <c r="D92" i="20"/>
  <c r="K92" i="20" s="1"/>
  <c r="J91" i="20"/>
  <c r="G91" i="20"/>
  <c r="I91" i="20" s="1"/>
  <c r="D91" i="20"/>
  <c r="K91" i="20" s="1"/>
  <c r="J90" i="20"/>
  <c r="G90" i="20"/>
  <c r="I90" i="20" s="1"/>
  <c r="D90" i="20"/>
  <c r="J89" i="20"/>
  <c r="G89" i="20"/>
  <c r="I89" i="20" s="1"/>
  <c r="D89" i="20"/>
  <c r="J88" i="20"/>
  <c r="G88" i="20"/>
  <c r="I88" i="20" s="1"/>
  <c r="D88" i="20"/>
  <c r="J87" i="20"/>
  <c r="G87" i="20"/>
  <c r="I87" i="20" s="1"/>
  <c r="D87" i="20"/>
  <c r="K87" i="20" s="1"/>
  <c r="J86" i="20"/>
  <c r="G86" i="20"/>
  <c r="I86" i="20" s="1"/>
  <c r="D86" i="20"/>
  <c r="J85" i="20"/>
  <c r="G85" i="20"/>
  <c r="I85" i="20" s="1"/>
  <c r="D85" i="20"/>
  <c r="J84" i="20"/>
  <c r="G84" i="20"/>
  <c r="I84" i="20" s="1"/>
  <c r="D84" i="20"/>
  <c r="K84" i="20" s="1"/>
  <c r="J83" i="20"/>
  <c r="G83" i="20"/>
  <c r="I83" i="20" s="1"/>
  <c r="D83" i="20"/>
  <c r="J82" i="20"/>
  <c r="G82" i="20"/>
  <c r="I82" i="20" s="1"/>
  <c r="D82" i="20"/>
  <c r="J81" i="20"/>
  <c r="G81" i="20"/>
  <c r="I81" i="20" s="1"/>
  <c r="D81" i="20"/>
  <c r="J80" i="20"/>
  <c r="G80" i="20"/>
  <c r="I80" i="20" s="1"/>
  <c r="D80" i="20"/>
  <c r="K80" i="20" s="1"/>
  <c r="J79" i="20"/>
  <c r="G79" i="20"/>
  <c r="I79" i="20" s="1"/>
  <c r="D79" i="20"/>
  <c r="K79" i="20" s="1"/>
  <c r="J78" i="20"/>
  <c r="G78" i="20"/>
  <c r="I78" i="20" s="1"/>
  <c r="D78" i="20"/>
  <c r="J77" i="20"/>
  <c r="G77" i="20"/>
  <c r="I77" i="20" s="1"/>
  <c r="D77" i="20"/>
  <c r="J76" i="20"/>
  <c r="G76" i="20"/>
  <c r="I76" i="20" s="1"/>
  <c r="D76" i="20"/>
  <c r="J75" i="20"/>
  <c r="G75" i="20"/>
  <c r="I75" i="20" s="1"/>
  <c r="D75" i="20"/>
  <c r="J74" i="20"/>
  <c r="G74" i="20"/>
  <c r="I74" i="20" s="1"/>
  <c r="D74" i="20"/>
  <c r="J73" i="20"/>
  <c r="G73" i="20"/>
  <c r="I73" i="20" s="1"/>
  <c r="D73" i="20"/>
  <c r="K73" i="20" s="1"/>
  <c r="J72" i="20"/>
  <c r="G72" i="20"/>
  <c r="I72" i="20" s="1"/>
  <c r="D72" i="20"/>
  <c r="K72" i="20" s="1"/>
  <c r="J71" i="20"/>
  <c r="G71" i="20"/>
  <c r="I71" i="20" s="1"/>
  <c r="D71" i="20"/>
  <c r="K71" i="20" s="1"/>
  <c r="J70" i="20"/>
  <c r="G70" i="20"/>
  <c r="I70" i="20" s="1"/>
  <c r="D70" i="20"/>
  <c r="J69" i="20"/>
  <c r="G69" i="20"/>
  <c r="I69" i="20" s="1"/>
  <c r="D69" i="20"/>
  <c r="K69" i="20" s="1"/>
  <c r="J68" i="20"/>
  <c r="G68" i="20"/>
  <c r="I68" i="20" s="1"/>
  <c r="D68" i="20"/>
  <c r="K68" i="20" s="1"/>
  <c r="J67" i="20"/>
  <c r="G67" i="20"/>
  <c r="I67" i="20" s="1"/>
  <c r="D67" i="20"/>
  <c r="J66" i="20"/>
  <c r="G66" i="20"/>
  <c r="I66" i="20" s="1"/>
  <c r="D66" i="20"/>
  <c r="K66" i="20" s="1"/>
  <c r="J65" i="20"/>
  <c r="J116" i="20" s="1"/>
  <c r="G65" i="20"/>
  <c r="D65" i="20"/>
  <c r="D116" i="20" s="1"/>
  <c r="J64" i="20"/>
  <c r="G64" i="20"/>
  <c r="I64" i="20" s="1"/>
  <c r="D64" i="20"/>
  <c r="K64" i="20" s="1"/>
  <c r="J63" i="20"/>
  <c r="G63" i="20"/>
  <c r="I63" i="20" s="1"/>
  <c r="D63" i="20"/>
  <c r="K63" i="20" s="1"/>
  <c r="J62" i="20"/>
  <c r="G62" i="20"/>
  <c r="I62" i="20" s="1"/>
  <c r="D62" i="20"/>
  <c r="J61" i="20"/>
  <c r="G61" i="20"/>
  <c r="I61" i="20" s="1"/>
  <c r="D61" i="20"/>
  <c r="J60" i="20"/>
  <c r="G60" i="20"/>
  <c r="I60" i="20" s="1"/>
  <c r="D60" i="20"/>
  <c r="J59" i="20"/>
  <c r="G59" i="20"/>
  <c r="I59" i="20" s="1"/>
  <c r="D59" i="20"/>
  <c r="J58" i="20"/>
  <c r="G58" i="20"/>
  <c r="I58" i="20" s="1"/>
  <c r="D58" i="20"/>
  <c r="J57" i="20"/>
  <c r="G57" i="20"/>
  <c r="I57" i="20" s="1"/>
  <c r="D57" i="20"/>
  <c r="J56" i="20"/>
  <c r="G56" i="20"/>
  <c r="I56" i="20" s="1"/>
  <c r="D56" i="20"/>
  <c r="J55" i="20"/>
  <c r="G55" i="20"/>
  <c r="I55" i="20" s="1"/>
  <c r="D55" i="20"/>
  <c r="J54" i="20"/>
  <c r="G54" i="20"/>
  <c r="I54" i="20" s="1"/>
  <c r="D54" i="20"/>
  <c r="J53" i="20"/>
  <c r="G53" i="20"/>
  <c r="I53" i="20" s="1"/>
  <c r="D53" i="20"/>
  <c r="J52" i="20"/>
  <c r="G52" i="20"/>
  <c r="I52" i="20" s="1"/>
  <c r="D52" i="20"/>
  <c r="J51" i="20"/>
  <c r="G51" i="20"/>
  <c r="I51" i="20" s="1"/>
  <c r="D51" i="20"/>
  <c r="J50" i="20"/>
  <c r="G50" i="20"/>
  <c r="I50" i="20" s="1"/>
  <c r="D50" i="20"/>
  <c r="J49" i="20"/>
  <c r="G49" i="20"/>
  <c r="I49" i="20" s="1"/>
  <c r="D49" i="20"/>
  <c r="J48" i="20"/>
  <c r="G48" i="20"/>
  <c r="I48" i="20" s="1"/>
  <c r="D48" i="20"/>
  <c r="J47" i="20"/>
  <c r="G47" i="20"/>
  <c r="I47" i="20" s="1"/>
  <c r="D47" i="20"/>
  <c r="J46" i="20"/>
  <c r="G46" i="20"/>
  <c r="I46" i="20" s="1"/>
  <c r="D46" i="20"/>
  <c r="K46" i="20" s="1"/>
  <c r="J45" i="20"/>
  <c r="G45" i="20"/>
  <c r="I45" i="20" s="1"/>
  <c r="D45" i="20"/>
  <c r="J44" i="20"/>
  <c r="G44" i="20"/>
  <c r="I44" i="20" s="1"/>
  <c r="D44" i="20"/>
  <c r="J43" i="20"/>
  <c r="G43" i="20"/>
  <c r="I43" i="20" s="1"/>
  <c r="D43" i="20"/>
  <c r="J42" i="20"/>
  <c r="G42" i="20"/>
  <c r="I42" i="20" s="1"/>
  <c r="D42" i="20"/>
  <c r="J41" i="20"/>
  <c r="G41" i="20"/>
  <c r="I41" i="20" s="1"/>
  <c r="D41" i="20"/>
  <c r="K41" i="20" s="1"/>
  <c r="J40" i="20"/>
  <c r="G40" i="20"/>
  <c r="I40" i="20" s="1"/>
  <c r="D40" i="20"/>
  <c r="K40" i="20" s="1"/>
  <c r="J39" i="20"/>
  <c r="G39" i="20"/>
  <c r="I39" i="20" s="1"/>
  <c r="D39" i="20"/>
  <c r="K39" i="20" s="1"/>
  <c r="J38" i="20"/>
  <c r="G38" i="20"/>
  <c r="I38" i="20" s="1"/>
  <c r="D38" i="20"/>
  <c r="J37" i="20"/>
  <c r="G37" i="20"/>
  <c r="I37" i="20" s="1"/>
  <c r="D37" i="20"/>
  <c r="K37" i="20" s="1"/>
  <c r="J36" i="20"/>
  <c r="G36" i="20"/>
  <c r="I36" i="20" s="1"/>
  <c r="D36" i="20"/>
  <c r="J35" i="20"/>
  <c r="G35" i="20"/>
  <c r="I35" i="20" s="1"/>
  <c r="D35" i="20"/>
  <c r="J34" i="20"/>
  <c r="G34" i="20"/>
  <c r="I34" i="20" s="1"/>
  <c r="D34" i="20"/>
  <c r="K34" i="20" s="1"/>
  <c r="J33" i="20"/>
  <c r="G33" i="20"/>
  <c r="I33" i="20" s="1"/>
  <c r="D33" i="20"/>
  <c r="J32" i="20"/>
  <c r="G32" i="20"/>
  <c r="I32" i="20" s="1"/>
  <c r="D32" i="20"/>
  <c r="K32" i="20" s="1"/>
  <c r="J31" i="20"/>
  <c r="G31" i="20"/>
  <c r="I31" i="20" s="1"/>
  <c r="D31" i="20"/>
  <c r="J30" i="20"/>
  <c r="G30" i="20"/>
  <c r="I30" i="20" s="1"/>
  <c r="D30" i="20"/>
  <c r="J29" i="20"/>
  <c r="G29" i="20"/>
  <c r="I29" i="20" s="1"/>
  <c r="D29" i="20"/>
  <c r="J28" i="20"/>
  <c r="G28" i="20"/>
  <c r="I28" i="20" s="1"/>
  <c r="D28" i="20"/>
  <c r="J27" i="20"/>
  <c r="G27" i="20"/>
  <c r="I27" i="20" s="1"/>
  <c r="D27" i="20"/>
  <c r="J26" i="20"/>
  <c r="G26" i="20"/>
  <c r="I26" i="20" s="1"/>
  <c r="D26" i="20"/>
  <c r="J25" i="20"/>
  <c r="G25" i="20"/>
  <c r="I25" i="20" s="1"/>
  <c r="D25" i="20"/>
  <c r="J24" i="20"/>
  <c r="G24" i="20"/>
  <c r="I24" i="20" s="1"/>
  <c r="D24" i="20"/>
  <c r="J23" i="20"/>
  <c r="G23" i="20"/>
  <c r="I23" i="20" s="1"/>
  <c r="D23" i="20"/>
  <c r="K23" i="20" s="1"/>
  <c r="J22" i="20"/>
  <c r="G22" i="20"/>
  <c r="I22" i="20" s="1"/>
  <c r="D22" i="20"/>
  <c r="J21" i="20"/>
  <c r="G21" i="20"/>
  <c r="I21" i="20" s="1"/>
  <c r="D21" i="20"/>
  <c r="J20" i="20"/>
  <c r="G20" i="20"/>
  <c r="I20" i="20" s="1"/>
  <c r="D20" i="20"/>
  <c r="K20" i="20" s="1"/>
  <c r="E105" i="18"/>
  <c r="D105" i="18"/>
  <c r="C105" i="18"/>
  <c r="G73" i="18"/>
  <c r="D298" i="9"/>
  <c r="E277" i="9"/>
  <c r="E276" i="9"/>
  <c r="D276" i="9"/>
  <c r="E275" i="9"/>
  <c r="D275" i="9"/>
  <c r="C273" i="9"/>
  <c r="E265" i="9"/>
  <c r="D265" i="9"/>
  <c r="E264" i="9"/>
  <c r="D264" i="9"/>
  <c r="E260" i="9"/>
  <c r="D260" i="9"/>
  <c r="D266" i="9" s="1"/>
  <c r="E253" i="9"/>
  <c r="D253" i="9"/>
  <c r="G252" i="9"/>
  <c r="E235" i="9"/>
  <c r="E234" i="9"/>
  <c r="E233" i="9"/>
  <c r="D233" i="9"/>
  <c r="E231" i="9"/>
  <c r="D231" i="9"/>
  <c r="D234" i="9" s="1"/>
  <c r="C231" i="9"/>
  <c r="E221" i="9"/>
  <c r="D221" i="9"/>
  <c r="G216" i="9"/>
  <c r="F216" i="9"/>
  <c r="E216" i="9"/>
  <c r="E222" i="9" s="1"/>
  <c r="G222" i="9" s="1"/>
  <c r="D216" i="9"/>
  <c r="D222" i="9" s="1"/>
  <c r="J208" i="9"/>
  <c r="I208" i="9"/>
  <c r="H208" i="9"/>
  <c r="G208" i="9"/>
  <c r="F208" i="9"/>
  <c r="J206" i="9"/>
  <c r="I206" i="9"/>
  <c r="H206" i="9"/>
  <c r="G206" i="9"/>
  <c r="F206" i="9"/>
  <c r="E206" i="9"/>
  <c r="D206" i="9"/>
  <c r="L197" i="9"/>
  <c r="K195" i="9"/>
  <c r="J193" i="9"/>
  <c r="I193" i="9"/>
  <c r="H193" i="9"/>
  <c r="G193" i="9"/>
  <c r="F193" i="9"/>
  <c r="E193" i="9"/>
  <c r="D193" i="9"/>
  <c r="C184" i="9"/>
  <c r="C197" i="9" s="1"/>
  <c r="C182" i="9"/>
  <c r="C195" i="9" s="1"/>
  <c r="D178" i="9"/>
  <c r="D191" i="9" s="1"/>
  <c r="D204" i="9" s="1"/>
  <c r="D220" i="9" s="1"/>
  <c r="J168" i="9"/>
  <c r="I168" i="9"/>
  <c r="H168" i="9"/>
  <c r="G168" i="9"/>
  <c r="F168" i="9"/>
  <c r="J166" i="9"/>
  <c r="I166" i="9"/>
  <c r="H166" i="9"/>
  <c r="G166" i="9"/>
  <c r="F166" i="9"/>
  <c r="E166" i="9"/>
  <c r="D166" i="9"/>
  <c r="E164" i="9"/>
  <c r="O146" i="9"/>
  <c r="E146" i="9"/>
  <c r="D146" i="9"/>
  <c r="C146" i="9"/>
  <c r="O145" i="9"/>
  <c r="E145" i="9"/>
  <c r="G145" i="9" s="1"/>
  <c r="D145" i="9"/>
  <c r="C145" i="9"/>
  <c r="O144" i="9"/>
  <c r="E144" i="9"/>
  <c r="G144" i="9" s="1"/>
  <c r="D144" i="9"/>
  <c r="C144" i="9"/>
  <c r="A144" i="9"/>
  <c r="O143" i="9"/>
  <c r="E143" i="9"/>
  <c r="G143" i="9" s="1"/>
  <c r="D143" i="9"/>
  <c r="C143" i="9"/>
  <c r="O142" i="9"/>
  <c r="E142" i="9"/>
  <c r="G142" i="9" s="1"/>
  <c r="D142" i="9"/>
  <c r="C142" i="9"/>
  <c r="A142" i="9"/>
  <c r="P141" i="9"/>
  <c r="G141" i="9"/>
  <c r="E141" i="9"/>
  <c r="D141" i="9"/>
  <c r="C141" i="9"/>
  <c r="E138" i="9"/>
  <c r="J135" i="9"/>
  <c r="I135" i="9"/>
  <c r="H135" i="9"/>
  <c r="G135" i="9"/>
  <c r="F135" i="9"/>
  <c r="E135" i="9"/>
  <c r="D125" i="9"/>
  <c r="J119" i="9"/>
  <c r="I119" i="9"/>
  <c r="H119" i="9"/>
  <c r="G119" i="9"/>
  <c r="F119" i="9"/>
  <c r="D119" i="9"/>
  <c r="E104" i="9"/>
  <c r="D104" i="9"/>
  <c r="J102" i="9"/>
  <c r="D102" i="9"/>
  <c r="J97" i="9"/>
  <c r="I97" i="9"/>
  <c r="H97" i="9"/>
  <c r="G97" i="9"/>
  <c r="F97" i="9"/>
  <c r="E97" i="9"/>
  <c r="D97" i="9"/>
  <c r="J83" i="9"/>
  <c r="J95" i="9" s="1"/>
  <c r="I83" i="9"/>
  <c r="I95" i="9" s="1"/>
  <c r="H83" i="9"/>
  <c r="H95" i="9" s="1"/>
  <c r="G83" i="9"/>
  <c r="F83" i="9"/>
  <c r="F95" i="9" s="1"/>
  <c r="E83" i="9"/>
  <c r="D83" i="9"/>
  <c r="H67" i="9"/>
  <c r="H66" i="9"/>
  <c r="I66" i="9" s="1"/>
  <c r="H65" i="9"/>
  <c r="J65" i="9" s="1"/>
  <c r="G64" i="9"/>
  <c r="E64" i="9"/>
  <c r="D64" i="9"/>
  <c r="E44" i="9"/>
  <c r="D44" i="9"/>
  <c r="J42" i="9"/>
  <c r="E42" i="9"/>
  <c r="C39" i="9"/>
  <c r="G36" i="9"/>
  <c r="E36" i="9"/>
  <c r="D36" i="9"/>
  <c r="C36" i="9"/>
  <c r="G35" i="9"/>
  <c r="E35" i="9"/>
  <c r="D35" i="9"/>
  <c r="C35" i="9"/>
  <c r="G34" i="9"/>
  <c r="E34" i="9"/>
  <c r="D34" i="9"/>
  <c r="C34" i="9"/>
  <c r="D33" i="9"/>
  <c r="C33" i="9"/>
  <c r="K29" i="9"/>
  <c r="J29" i="9"/>
  <c r="I29" i="9"/>
  <c r="H29" i="9"/>
  <c r="G29" i="9"/>
  <c r="F29" i="9"/>
  <c r="E29" i="9"/>
  <c r="D29" i="9"/>
  <c r="L28" i="9"/>
  <c r="L27" i="9"/>
  <c r="L26" i="9"/>
  <c r="L25" i="9"/>
  <c r="K24" i="9"/>
  <c r="J24" i="9"/>
  <c r="I24" i="9"/>
  <c r="I170" i="9" s="1"/>
  <c r="H24" i="9"/>
  <c r="H170" i="9" s="1"/>
  <c r="G24" i="9"/>
  <c r="G170" i="9" s="1"/>
  <c r="F24" i="9"/>
  <c r="F170" i="9" s="1"/>
  <c r="E24" i="9"/>
  <c r="E170" i="9" s="1"/>
  <c r="D24" i="9"/>
  <c r="D170" i="9" s="1"/>
  <c r="L23" i="9"/>
  <c r="L22" i="9"/>
  <c r="L21" i="9"/>
  <c r="L20" i="9"/>
  <c r="L18" i="9"/>
  <c r="L17" i="9"/>
  <c r="K17" i="9"/>
  <c r="L16" i="9"/>
  <c r="L15" i="9"/>
  <c r="L14" i="9"/>
  <c r="L13" i="9"/>
  <c r="M12" i="9"/>
  <c r="L12" i="9"/>
  <c r="E12" i="9"/>
  <c r="E208" i="9" s="1"/>
  <c r="E168" i="9" s="1"/>
  <c r="D12" i="9"/>
  <c r="D208" i="9" s="1"/>
  <c r="D168" i="9" s="1"/>
  <c r="L11" i="9"/>
  <c r="L9" i="9"/>
  <c r="J8" i="9"/>
  <c r="I8" i="9"/>
  <c r="H8" i="9"/>
  <c r="G8" i="9"/>
  <c r="F8" i="9"/>
  <c r="E8" i="9"/>
  <c r="D8" i="9"/>
  <c r="L7" i="9"/>
  <c r="L6" i="9"/>
  <c r="K6" i="9"/>
  <c r="E5" i="9"/>
  <c r="K4" i="9"/>
  <c r="I4" i="9"/>
  <c r="H4" i="9"/>
  <c r="G4" i="9"/>
  <c r="L4" i="9" s="1"/>
  <c r="E61" i="7"/>
  <c r="D61" i="7"/>
  <c r="C61" i="7"/>
  <c r="F61" i="7" s="1"/>
  <c r="E60" i="7"/>
  <c r="D60" i="7"/>
  <c r="C60" i="7"/>
  <c r="E56" i="7"/>
  <c r="D56" i="7"/>
  <c r="C56" i="7"/>
  <c r="F56" i="7" s="1"/>
  <c r="F63" i="7" s="1"/>
  <c r="E55" i="7"/>
  <c r="D55" i="7"/>
  <c r="C55" i="7"/>
  <c r="F55" i="7" s="1"/>
  <c r="K45" i="7"/>
  <c r="I45" i="7"/>
  <c r="H45" i="7"/>
  <c r="J45" i="7" s="1"/>
  <c r="K44" i="7"/>
  <c r="I44" i="7"/>
  <c r="H44" i="7"/>
  <c r="J44" i="7" s="1"/>
  <c r="K40" i="7"/>
  <c r="K48" i="7" s="1"/>
  <c r="I40" i="7"/>
  <c r="H40" i="7"/>
  <c r="J40" i="7" s="1"/>
  <c r="J48" i="7" s="1"/>
  <c r="K39" i="7"/>
  <c r="K47" i="7" s="1"/>
  <c r="I39" i="7"/>
  <c r="H39" i="7"/>
  <c r="J39" i="7" s="1"/>
  <c r="J47" i="7" s="1"/>
  <c r="K30" i="7"/>
  <c r="J30" i="7"/>
  <c r="I30" i="7"/>
  <c r="H30" i="7"/>
  <c r="K29" i="7"/>
  <c r="J29" i="7"/>
  <c r="I29" i="7"/>
  <c r="H29" i="7"/>
  <c r="B28" i="7"/>
  <c r="K26" i="7"/>
  <c r="J26" i="7"/>
  <c r="I26" i="7"/>
  <c r="H26" i="7"/>
  <c r="K25" i="7"/>
  <c r="I25" i="7"/>
  <c r="J25" i="7" s="1"/>
  <c r="H25" i="7"/>
  <c r="B24" i="7"/>
  <c r="K18" i="7"/>
  <c r="I18" i="7"/>
  <c r="H18" i="7"/>
  <c r="J18" i="7" s="1"/>
  <c r="K17" i="7"/>
  <c r="I17" i="7"/>
  <c r="H17" i="7"/>
  <c r="J17" i="7" s="1"/>
  <c r="B16" i="7"/>
  <c r="B59" i="7" s="1"/>
  <c r="K14" i="7"/>
  <c r="K33" i="7" s="1"/>
  <c r="H14" i="7"/>
  <c r="J14" i="7" s="1"/>
  <c r="J33" i="7" s="1"/>
  <c r="K13" i="7"/>
  <c r="K32" i="7" s="1"/>
  <c r="H13" i="7"/>
  <c r="J13" i="7" s="1"/>
  <c r="J32" i="7" s="1"/>
  <c r="B12" i="7"/>
  <c r="G9" i="7"/>
  <c r="F9" i="7"/>
  <c r="M6" i="7"/>
  <c r="I117" i="4"/>
  <c r="G114" i="4"/>
  <c r="G112" i="4"/>
  <c r="G110" i="4"/>
  <c r="G108" i="4"/>
  <c r="G107" i="4"/>
  <c r="B11" i="2"/>
  <c r="G25" i="1"/>
  <c r="C25" i="1"/>
  <c r="G24" i="1"/>
  <c r="C24" i="1"/>
  <c r="C22" i="1"/>
  <c r="G3" i="1"/>
  <c r="D9" i="1" s="1"/>
  <c r="G2" i="1"/>
  <c r="D8" i="1" s="1"/>
  <c r="D11" i="1" s="1"/>
  <c r="C23" i="1" s="1"/>
  <c r="BH8" i="16" l="1"/>
  <c r="BG15" i="16"/>
  <c r="BG19" i="16" s="1"/>
  <c r="AS53" i="16"/>
  <c r="AQ18" i="16"/>
  <c r="AQ19" i="16" s="1"/>
  <c r="AQ24" i="16"/>
  <c r="AQ23" i="16" s="1"/>
  <c r="AQ26" i="16" s="1"/>
  <c r="AR15" i="16"/>
  <c r="AR19" i="16" s="1"/>
  <c r="AP38" i="16"/>
  <c r="BF39" i="16"/>
  <c r="AQ59" i="16"/>
  <c r="AS63" i="16" s="1"/>
  <c r="AQ48" i="16"/>
  <c r="AA23" i="16"/>
  <c r="AD23" i="16"/>
  <c r="AF23" i="16"/>
  <c r="AC23" i="16"/>
  <c r="AB23" i="16"/>
  <c r="AE23" i="16"/>
  <c r="BF23" i="16"/>
  <c r="AP40" i="16"/>
  <c r="BH8" i="13"/>
  <c r="BG15" i="13"/>
  <c r="BG19" i="13" s="1"/>
  <c r="X6" i="13"/>
  <c r="AS53" i="13"/>
  <c r="AQ18" i="13"/>
  <c r="AQ19" i="13" s="1"/>
  <c r="AQ24" i="13"/>
  <c r="AR15" i="13"/>
  <c r="AR19" i="13" s="1"/>
  <c r="AQ23" i="13"/>
  <c r="AQ26" i="13" s="1"/>
  <c r="AF23" i="13"/>
  <c r="BF23" i="13"/>
  <c r="AA23" i="13"/>
  <c r="AC23" i="13"/>
  <c r="AD23" i="13"/>
  <c r="AE23" i="13"/>
  <c r="AB23" i="13"/>
  <c r="AR46" i="13"/>
  <c r="AP34" i="13"/>
  <c r="BG15" i="12"/>
  <c r="BG19" i="12" s="1"/>
  <c r="BH8" i="12"/>
  <c r="AN14" i="12"/>
  <c r="AQ18" i="12"/>
  <c r="AA23" i="12"/>
  <c r="AC23" i="12"/>
  <c r="AD23" i="12"/>
  <c r="AF23" i="12"/>
  <c r="BF23" i="12"/>
  <c r="AB23" i="12"/>
  <c r="AE23" i="12"/>
  <c r="AP26" i="12"/>
  <c r="AP28" i="12" s="1"/>
  <c r="AP34" i="12" s="1"/>
  <c r="AP24" i="12"/>
  <c r="H12" i="11"/>
  <c r="G13" i="11"/>
  <c r="E52" i="10"/>
  <c r="F5" i="10"/>
  <c r="N36" i="10"/>
  <c r="E38" i="10"/>
  <c r="N39" i="10" s="1"/>
  <c r="E71" i="10"/>
  <c r="E13" i="5"/>
  <c r="F12" i="5"/>
  <c r="D22" i="5"/>
  <c r="D26" i="5" s="1"/>
  <c r="D33" i="5" s="1"/>
  <c r="C22" i="5"/>
  <c r="G21" i="3"/>
  <c r="K21" i="3"/>
  <c r="G22" i="3"/>
  <c r="K22" i="3"/>
  <c r="K26" i="3" s="1"/>
  <c r="H32" i="3"/>
  <c r="K53" i="20"/>
  <c r="K59" i="20"/>
  <c r="K57" i="20"/>
  <c r="K105" i="20"/>
  <c r="K62" i="20"/>
  <c r="K58" i="20"/>
  <c r="K56" i="20"/>
  <c r="K24" i="20"/>
  <c r="E278" i="9"/>
  <c r="E236" i="9"/>
  <c r="K208" i="9"/>
  <c r="L208" i="9" s="1"/>
  <c r="K206" i="9"/>
  <c r="L206" i="9" s="1"/>
  <c r="K193" i="9"/>
  <c r="L193" i="9" s="1"/>
  <c r="G146" i="9"/>
  <c r="J98" i="9"/>
  <c r="I98" i="9"/>
  <c r="H98" i="9"/>
  <c r="G98" i="9"/>
  <c r="F98" i="9"/>
  <c r="E98" i="9"/>
  <c r="D11" i="30"/>
  <c r="F11" i="30" s="1"/>
  <c r="E11" i="30" s="1"/>
  <c r="D10" i="30"/>
  <c r="F10" i="30" s="1"/>
  <c r="E10" i="30" s="1"/>
  <c r="D88" i="30"/>
  <c r="F88" i="30" s="1"/>
  <c r="E88" i="30" s="1"/>
  <c r="D74" i="30"/>
  <c r="F74" i="30" s="1"/>
  <c r="E74" i="30" s="1"/>
  <c r="D53" i="30"/>
  <c r="F53" i="30" s="1"/>
  <c r="E53" i="30" s="1"/>
  <c r="D107" i="30"/>
  <c r="F107" i="30" s="1"/>
  <c r="E107" i="30" s="1"/>
  <c r="D61" i="30"/>
  <c r="F61" i="30" s="1"/>
  <c r="E61" i="30" s="1"/>
  <c r="D47" i="30"/>
  <c r="F47" i="30" s="1"/>
  <c r="E47" i="30" s="1"/>
  <c r="D42" i="30"/>
  <c r="F42" i="30" s="1"/>
  <c r="E42" i="30" s="1"/>
  <c r="D105" i="30"/>
  <c r="F105" i="30" s="1"/>
  <c r="E105" i="30" s="1"/>
  <c r="D83" i="30"/>
  <c r="F83" i="30" s="1"/>
  <c r="E83" i="30" s="1"/>
  <c r="D127" i="30"/>
  <c r="F127" i="30" s="1"/>
  <c r="E127" i="30" s="1"/>
  <c r="D126" i="30"/>
  <c r="F126" i="30" s="1"/>
  <c r="E126" i="30" s="1"/>
  <c r="D78" i="30"/>
  <c r="F78" i="30" s="1"/>
  <c r="E78" i="30" s="1"/>
  <c r="D72" i="30"/>
  <c r="F72" i="30" s="1"/>
  <c r="E72" i="30" s="1"/>
  <c r="D70" i="30"/>
  <c r="F70" i="30" s="1"/>
  <c r="E70" i="30" s="1"/>
  <c r="D123" i="30"/>
  <c r="F123" i="30" s="1"/>
  <c r="E123" i="30" s="1"/>
  <c r="D40" i="30"/>
  <c r="F40" i="30" s="1"/>
  <c r="E40" i="30" s="1"/>
  <c r="D73" i="30"/>
  <c r="F73" i="30" s="1"/>
  <c r="E73" i="30" s="1"/>
  <c r="D132" i="30"/>
  <c r="F132" i="30" s="1"/>
  <c r="E132" i="30" s="1"/>
  <c r="D121" i="30"/>
  <c r="F121" i="30" s="1"/>
  <c r="E121" i="30" s="1"/>
  <c r="D14" i="30"/>
  <c r="F14" i="30" s="1"/>
  <c r="E14" i="30" s="1"/>
  <c r="D117" i="30"/>
  <c r="F117" i="30" s="1"/>
  <c r="E117" i="30" s="1"/>
  <c r="D52" i="30"/>
  <c r="F52" i="30" s="1"/>
  <c r="E52" i="30" s="1"/>
  <c r="D65" i="30"/>
  <c r="F65" i="30" s="1"/>
  <c r="E65" i="30" s="1"/>
  <c r="D45" i="30"/>
  <c r="F45" i="30" s="1"/>
  <c r="E45" i="30" s="1"/>
  <c r="D58" i="30"/>
  <c r="F58" i="30" s="1"/>
  <c r="E58" i="30" s="1"/>
  <c r="D13" i="30"/>
  <c r="F13" i="30" s="1"/>
  <c r="E13" i="30" s="1"/>
  <c r="D115" i="30"/>
  <c r="F115" i="30" s="1"/>
  <c r="E115" i="30" s="1"/>
  <c r="D108" i="30"/>
  <c r="F108" i="30" s="1"/>
  <c r="E108" i="30" s="1"/>
  <c r="D130" i="30"/>
  <c r="F130" i="30" s="1"/>
  <c r="E130" i="30" s="1"/>
  <c r="D131" i="30"/>
  <c r="F131" i="30" s="1"/>
  <c r="E131" i="30" s="1"/>
  <c r="D30" i="30"/>
  <c r="F30" i="30" s="1"/>
  <c r="E30" i="30" s="1"/>
  <c r="D62" i="30"/>
  <c r="F62" i="30" s="1"/>
  <c r="E62" i="30" s="1"/>
  <c r="D17" i="30"/>
  <c r="F17" i="30" s="1"/>
  <c r="E17" i="30" s="1"/>
  <c r="D49" i="30"/>
  <c r="F49" i="30" s="1"/>
  <c r="E49" i="30" s="1"/>
  <c r="D137" i="30"/>
  <c r="F137" i="30" s="1"/>
  <c r="E137" i="30" s="1"/>
  <c r="D66" i="30"/>
  <c r="F66" i="30" s="1"/>
  <c r="E66" i="30" s="1"/>
  <c r="D119" i="30"/>
  <c r="F119" i="30" s="1"/>
  <c r="E119" i="30" s="1"/>
  <c r="D106" i="30"/>
  <c r="F106" i="30" s="1"/>
  <c r="E106" i="30" s="1"/>
  <c r="D46" i="30"/>
  <c r="F46" i="30" s="1"/>
  <c r="E46" i="30" s="1"/>
  <c r="D136" i="30"/>
  <c r="F136" i="30" s="1"/>
  <c r="E136" i="30" s="1"/>
  <c r="D64" i="30"/>
  <c r="F64" i="30" s="1"/>
  <c r="E64" i="30" s="1"/>
  <c r="D55" i="30"/>
  <c r="F55" i="30" s="1"/>
  <c r="E55" i="30" s="1"/>
  <c r="D116" i="30"/>
  <c r="F116" i="30" s="1"/>
  <c r="E116" i="30" s="1"/>
  <c r="D112" i="30"/>
  <c r="F112" i="30" s="1"/>
  <c r="E112" i="30" s="1"/>
  <c r="D111" i="30"/>
  <c r="F111" i="30" s="1"/>
  <c r="E111" i="30" s="1"/>
  <c r="I65" i="20"/>
  <c r="G116" i="20"/>
  <c r="D41" i="30"/>
  <c r="F41" i="30" s="1"/>
  <c r="E41" i="30" s="1"/>
  <c r="D98" i="30"/>
  <c r="F98" i="30" s="1"/>
  <c r="E98" i="30" s="1"/>
  <c r="D100" i="30"/>
  <c r="F100" i="30" s="1"/>
  <c r="E100" i="30" s="1"/>
  <c r="D101" i="30"/>
  <c r="F101" i="30" s="1"/>
  <c r="E101" i="30" s="1"/>
  <c r="D31" i="30"/>
  <c r="F31" i="30" s="1"/>
  <c r="E31" i="30" s="1"/>
  <c r="D163" i="30"/>
  <c r="F163" i="30" s="1"/>
  <c r="E163" i="30" s="1"/>
  <c r="D95" i="30"/>
  <c r="F95" i="30" s="1"/>
  <c r="E95" i="30" s="1"/>
  <c r="D22" i="30"/>
  <c r="F22" i="30" s="1"/>
  <c r="E22" i="30" s="1"/>
  <c r="D102" i="30"/>
  <c r="F102" i="30" s="1"/>
  <c r="E102" i="30" s="1"/>
  <c r="D103" i="30"/>
  <c r="F103" i="30" s="1"/>
  <c r="E103" i="30" s="1"/>
  <c r="D97" i="30"/>
  <c r="F97" i="30" s="1"/>
  <c r="E97" i="30" s="1"/>
  <c r="D28" i="30"/>
  <c r="F28" i="30" s="1"/>
  <c r="E28" i="30" s="1"/>
  <c r="D87" i="30"/>
  <c r="F87" i="30" s="1"/>
  <c r="E87" i="30" s="1"/>
  <c r="D36" i="30"/>
  <c r="F36" i="30" s="1"/>
  <c r="E36" i="30" s="1"/>
  <c r="D25" i="30"/>
  <c r="F25" i="30" s="1"/>
  <c r="E25" i="30" s="1"/>
  <c r="D27" i="30"/>
  <c r="F27" i="30" s="1"/>
  <c r="E27" i="30" s="1"/>
  <c r="D84" i="30"/>
  <c r="F84" i="30" s="1"/>
  <c r="E84" i="30" s="1"/>
  <c r="D19" i="30"/>
  <c r="F19" i="30" s="1"/>
  <c r="E19" i="30" s="1"/>
  <c r="D32" i="30"/>
  <c r="F32" i="30" s="1"/>
  <c r="E32" i="30" s="1"/>
  <c r="D33" i="30"/>
  <c r="F33" i="30" s="1"/>
  <c r="E33" i="30" s="1"/>
  <c r="D34" i="30"/>
  <c r="F34" i="30" s="1"/>
  <c r="E34" i="30" s="1"/>
  <c r="D82" i="30"/>
  <c r="F82" i="30" s="1"/>
  <c r="E82" i="30" s="1"/>
  <c r="D104" i="30"/>
  <c r="F104" i="30" s="1"/>
  <c r="E104" i="30" s="1"/>
  <c r="D161" i="30"/>
  <c r="F161" i="30" s="1"/>
  <c r="E161" i="30" s="1"/>
  <c r="D159" i="30"/>
  <c r="F159" i="30" s="1"/>
  <c r="E159" i="30" s="1"/>
  <c r="D35" i="30"/>
  <c r="F35" i="30" s="1"/>
  <c r="E35" i="30" s="1"/>
  <c r="D81" i="30"/>
  <c r="F81" i="30" s="1"/>
  <c r="E81" i="30" s="1"/>
  <c r="D91" i="30"/>
  <c r="F91" i="30" s="1"/>
  <c r="E91" i="30" s="1"/>
  <c r="D93" i="30"/>
  <c r="F93" i="30" s="1"/>
  <c r="E93" i="30" s="1"/>
  <c r="D158" i="30"/>
  <c r="F158" i="30" s="1"/>
  <c r="E158" i="30" s="1"/>
  <c r="D37" i="30"/>
  <c r="F37" i="30" s="1"/>
  <c r="E37" i="30" s="1"/>
  <c r="D23" i="30"/>
  <c r="F23" i="30" s="1"/>
  <c r="E23" i="30" s="1"/>
  <c r="D94" i="30"/>
  <c r="F94" i="30" s="1"/>
  <c r="E94" i="30" s="1"/>
  <c r="D157" i="30"/>
  <c r="F157" i="30" s="1"/>
  <c r="E157" i="30" s="1"/>
  <c r="D85" i="30"/>
  <c r="F85" i="30" s="1"/>
  <c r="E85" i="30" s="1"/>
  <c r="D92" i="30"/>
  <c r="F92" i="30" s="1"/>
  <c r="E92" i="30" s="1"/>
  <c r="D89" i="30"/>
  <c r="F89" i="30" s="1"/>
  <c r="E89" i="30" s="1"/>
  <c r="D96" i="30"/>
  <c r="F96" i="30" s="1"/>
  <c r="E96" i="30" s="1"/>
  <c r="D99" i="30"/>
  <c r="F99" i="30" s="1"/>
  <c r="E99" i="30" s="1"/>
  <c r="D75" i="30"/>
  <c r="F75" i="30" s="1"/>
  <c r="E75" i="30" s="1"/>
  <c r="D29" i="30"/>
  <c r="F29" i="30" s="1"/>
  <c r="E29" i="30" s="1"/>
  <c r="D26" i="30"/>
  <c r="F26" i="30" s="1"/>
  <c r="E26" i="30" s="1"/>
  <c r="D86" i="30"/>
  <c r="F86" i="30" s="1"/>
  <c r="E86" i="30" s="1"/>
  <c r="D80" i="30"/>
  <c r="F80" i="30" s="1"/>
  <c r="E80" i="30" s="1"/>
  <c r="D39" i="30"/>
  <c r="F39" i="30" s="1"/>
  <c r="E39" i="30" s="1"/>
  <c r="D38" i="30"/>
  <c r="F38" i="30" s="1"/>
  <c r="E38" i="30" s="1"/>
  <c r="D77" i="30"/>
  <c r="F77" i="30" s="1"/>
  <c r="E77" i="30" s="1"/>
  <c r="B54" i="26"/>
  <c r="B38" i="26"/>
  <c r="N18" i="21"/>
  <c r="C11" i="21"/>
  <c r="E279" i="9"/>
  <c r="E280" i="9" s="1"/>
  <c r="D279" i="9"/>
  <c r="E266" i="9"/>
  <c r="G260" i="9"/>
  <c r="G253" i="9"/>
  <c r="E237" i="9"/>
  <c r="E238" i="9" s="1"/>
  <c r="D237" i="9"/>
  <c r="D235" i="9"/>
  <c r="D236" i="9" s="1"/>
  <c r="D238" i="9" s="1"/>
  <c r="D277" i="9"/>
  <c r="D278" i="9" s="1"/>
  <c r="D280" i="9" s="1"/>
  <c r="E178" i="9"/>
  <c r="E191" i="9" s="1"/>
  <c r="E204" i="9" s="1"/>
  <c r="F164" i="9"/>
  <c r="D135" i="9"/>
  <c r="J123" i="9"/>
  <c r="J137" i="9" s="1"/>
  <c r="J139" i="9" s="1"/>
  <c r="I123" i="9"/>
  <c r="I137" i="9" s="1"/>
  <c r="I139" i="9" s="1"/>
  <c r="H123" i="9"/>
  <c r="H137" i="9" s="1"/>
  <c r="H139" i="9" s="1"/>
  <c r="G123" i="9"/>
  <c r="F123" i="9"/>
  <c r="E123" i="9"/>
  <c r="D123" i="9"/>
  <c r="J138" i="9"/>
  <c r="K96" i="9"/>
  <c r="I138" i="9"/>
  <c r="H138" i="9"/>
  <c r="F138" i="9"/>
  <c r="G95" i="9"/>
  <c r="D95" i="9"/>
  <c r="E102" i="9"/>
  <c r="F42" i="9"/>
  <c r="J170" i="9"/>
  <c r="L24" i="9"/>
  <c r="I197" i="9"/>
  <c r="H197" i="9"/>
  <c r="G197" i="9"/>
  <c r="F197" i="9"/>
  <c r="E197" i="9"/>
  <c r="D197" i="9"/>
  <c r="L8" i="9"/>
  <c r="J10" i="9"/>
  <c r="I165" i="9"/>
  <c r="I184" i="9" s="1"/>
  <c r="I192" i="9"/>
  <c r="I10" i="9"/>
  <c r="H165" i="9"/>
  <c r="H184" i="9" s="1"/>
  <c r="H192" i="9"/>
  <c r="H10" i="9"/>
  <c r="G165" i="9"/>
  <c r="G184" i="9" s="1"/>
  <c r="G10" i="9"/>
  <c r="G192" i="9"/>
  <c r="F165" i="9"/>
  <c r="F184" i="9" s="1"/>
  <c r="F10" i="9"/>
  <c r="F192" i="9"/>
  <c r="E192" i="9"/>
  <c r="E10" i="9"/>
  <c r="E165" i="9"/>
  <c r="E184" i="9" s="1"/>
  <c r="D165" i="9"/>
  <c r="D184" i="9" s="1"/>
  <c r="D10" i="9"/>
  <c r="D192" i="9"/>
  <c r="K8" i="9"/>
  <c r="E33" i="9"/>
  <c r="F5" i="9"/>
  <c r="G5" i="9" s="1"/>
  <c r="B54" i="7"/>
  <c r="B38" i="7"/>
  <c r="K103" i="20"/>
  <c r="K97" i="20"/>
  <c r="K89" i="20"/>
  <c r="K78" i="20"/>
  <c r="K77" i="20"/>
  <c r="K76" i="20"/>
  <c r="K75" i="20"/>
  <c r="K65" i="20"/>
  <c r="K61" i="20"/>
  <c r="K60" i="20"/>
  <c r="K54" i="20"/>
  <c r="K51" i="20"/>
  <c r="K50" i="20"/>
  <c r="K49" i="20"/>
  <c r="K38" i="20"/>
  <c r="K25" i="20"/>
  <c r="D223" i="9"/>
  <c r="G223" i="9" s="1"/>
  <c r="K98" i="20"/>
  <c r="K95" i="20"/>
  <c r="K88" i="20"/>
  <c r="K85" i="20"/>
  <c r="K81" i="20"/>
  <c r="K70" i="20"/>
  <c r="K67" i="20"/>
  <c r="K55" i="20"/>
  <c r="K52" i="20"/>
  <c r="K36" i="20"/>
  <c r="K31" i="20"/>
  <c r="K30" i="20"/>
  <c r="K29" i="20"/>
  <c r="K28" i="20"/>
  <c r="K27" i="20"/>
  <c r="K26" i="20"/>
  <c r="K21" i="20"/>
  <c r="D268" i="9"/>
  <c r="K100" i="20"/>
  <c r="K93" i="20"/>
  <c r="K90" i="20"/>
  <c r="K86" i="20"/>
  <c r="K83" i="20"/>
  <c r="K82" i="20"/>
  <c r="K74" i="20"/>
  <c r="I116" i="20"/>
  <c r="K48" i="20"/>
  <c r="K47" i="20"/>
  <c r="K45" i="20"/>
  <c r="K44" i="20"/>
  <c r="K43" i="20"/>
  <c r="K42" i="20"/>
  <c r="K35" i="20"/>
  <c r="K33" i="20"/>
  <c r="K22" i="20"/>
  <c r="E223" i="9"/>
  <c r="C19" i="1"/>
  <c r="G22" i="1" s="1"/>
  <c r="G26" i="1" s="1"/>
  <c r="BH15" i="16" l="1"/>
  <c r="BH19" i="16" s="1"/>
  <c r="BI8" i="16"/>
  <c r="BG23" i="16"/>
  <c r="AS15" i="16"/>
  <c r="AS19" i="16" s="1"/>
  <c r="AR24" i="16"/>
  <c r="AR23" i="16"/>
  <c r="AR26" i="16" s="1"/>
  <c r="AA26" i="16"/>
  <c r="AA24" i="16"/>
  <c r="AD24" i="16"/>
  <c r="AD26" i="16"/>
  <c r="AF26" i="16"/>
  <c r="AF24" i="16"/>
  <c r="AC26" i="16"/>
  <c r="AC24" i="16"/>
  <c r="AB24" i="16"/>
  <c r="AB26" i="16"/>
  <c r="AE26" i="16"/>
  <c r="AE24" i="16"/>
  <c r="BF26" i="16"/>
  <c r="BF28" i="16" s="1"/>
  <c r="BF32" i="16" s="1"/>
  <c r="BF24" i="16"/>
  <c r="BH15" i="13"/>
  <c r="BH19" i="13" s="1"/>
  <c r="BI8" i="13"/>
  <c r="BG23" i="13"/>
  <c r="BG26" i="13" s="1"/>
  <c r="BG24" i="13"/>
  <c r="AR24" i="13"/>
  <c r="AS15" i="13"/>
  <c r="AS19" i="13" s="1"/>
  <c r="AR23" i="13"/>
  <c r="AR26" i="13" s="1"/>
  <c r="AF24" i="13"/>
  <c r="AF26" i="13"/>
  <c r="BF26" i="13"/>
  <c r="BF28" i="13" s="1"/>
  <c r="BF32" i="13" s="1"/>
  <c r="BF24" i="13"/>
  <c r="AA26" i="13"/>
  <c r="AA24" i="13"/>
  <c r="AC26" i="13"/>
  <c r="AC24" i="13"/>
  <c r="AD24" i="13"/>
  <c r="AD26" i="13"/>
  <c r="AE24" i="13"/>
  <c r="AE26" i="13"/>
  <c r="AB24" i="13"/>
  <c r="AB26" i="13"/>
  <c r="AP40" i="13"/>
  <c r="AP36" i="13"/>
  <c r="BG23" i="12"/>
  <c r="BH15" i="12"/>
  <c r="BH19" i="12" s="1"/>
  <c r="BI8" i="12"/>
  <c r="AQ19" i="12"/>
  <c r="AR18" i="12"/>
  <c r="AS18" i="12" s="1"/>
  <c r="AT18" i="12" s="1"/>
  <c r="AU18" i="12" s="1"/>
  <c r="AA24" i="12"/>
  <c r="AA26" i="12"/>
  <c r="AC24" i="12"/>
  <c r="AC26" i="12"/>
  <c r="AD24" i="12"/>
  <c r="AD26" i="12"/>
  <c r="AF26" i="12"/>
  <c r="AF24" i="12"/>
  <c r="BF26" i="12"/>
  <c r="BF28" i="12" s="1"/>
  <c r="BF32" i="12" s="1"/>
  <c r="BF24" i="12"/>
  <c r="AB26" i="12"/>
  <c r="AB24" i="12"/>
  <c r="AE26" i="12"/>
  <c r="AE24" i="12"/>
  <c r="AP40" i="12"/>
  <c r="AP36" i="12"/>
  <c r="H13" i="11"/>
  <c r="I12" i="11"/>
  <c r="I13" i="11" s="1"/>
  <c r="G14" i="11"/>
  <c r="G16" i="11" s="1"/>
  <c r="F52" i="10"/>
  <c r="G5" i="10"/>
  <c r="E14" i="5"/>
  <c r="E16" i="5" s="1"/>
  <c r="G12" i="5"/>
  <c r="F13" i="5"/>
  <c r="D39" i="5"/>
  <c r="D35" i="5"/>
  <c r="D31" i="5"/>
  <c r="I29" i="3"/>
  <c r="G25" i="3" s="1"/>
  <c r="I28" i="3"/>
  <c r="G24" i="3" s="1"/>
  <c r="G26" i="3" s="1"/>
  <c r="G28" i="3" s="1"/>
  <c r="K116" i="20"/>
  <c r="E268" i="9"/>
  <c r="G266" i="9"/>
  <c r="F178" i="9"/>
  <c r="F191" i="9" s="1"/>
  <c r="F204" i="9" s="1"/>
  <c r="G164" i="9"/>
  <c r="G137" i="9"/>
  <c r="G139" i="9" s="1"/>
  <c r="F137" i="9"/>
  <c r="F139" i="9" s="1"/>
  <c r="E137" i="9"/>
  <c r="E139" i="9" s="1"/>
  <c r="D137" i="9"/>
  <c r="G138" i="9"/>
  <c r="D138" i="9"/>
  <c r="F102" i="9"/>
  <c r="G42" i="9"/>
  <c r="J197" i="9"/>
  <c r="L184" i="9"/>
  <c r="K184" i="9"/>
  <c r="L10" i="9"/>
  <c r="J19" i="9"/>
  <c r="I180" i="9"/>
  <c r="I205" i="9"/>
  <c r="I179" i="9"/>
  <c r="I19" i="9"/>
  <c r="I194" i="9"/>
  <c r="H180" i="9"/>
  <c r="H179" i="9"/>
  <c r="H205" i="9"/>
  <c r="H194" i="9"/>
  <c r="H19" i="9"/>
  <c r="G180" i="9"/>
  <c r="G182" i="9"/>
  <c r="G179" i="9"/>
  <c r="G205" i="9"/>
  <c r="G19" i="9"/>
  <c r="G194" i="9"/>
  <c r="F180" i="9"/>
  <c r="F182" i="9"/>
  <c r="F179" i="9"/>
  <c r="F205" i="9"/>
  <c r="F19" i="9"/>
  <c r="F194" i="9"/>
  <c r="E19" i="9"/>
  <c r="E194" i="9"/>
  <c r="E182" i="9"/>
  <c r="J182" i="9" s="1"/>
  <c r="E180" i="9"/>
  <c r="E205" i="9"/>
  <c r="E179" i="9"/>
  <c r="D180" i="9"/>
  <c r="D179" i="9"/>
  <c r="D205" i="9"/>
  <c r="D19" i="9"/>
  <c r="D194" i="9"/>
  <c r="K10" i="9"/>
  <c r="J165" i="9"/>
  <c r="J184" i="9" s="1"/>
  <c r="J192" i="9"/>
  <c r="K192" i="9" s="1"/>
  <c r="L192" i="9" s="1"/>
  <c r="G33" i="9"/>
  <c r="H5" i="9"/>
  <c r="I5" i="9" s="1"/>
  <c r="G28" i="1"/>
  <c r="BH23" i="16" l="1"/>
  <c r="BI15" i="16"/>
  <c r="BI19" i="16" s="1"/>
  <c r="BJ8" i="16"/>
  <c r="AS24" i="16"/>
  <c r="AT15" i="16"/>
  <c r="AT19" i="16" s="1"/>
  <c r="AS23" i="16"/>
  <c r="AS26" i="16" s="1"/>
  <c r="AA34" i="16"/>
  <c r="AA28" i="16"/>
  <c r="BF37" i="16"/>
  <c r="BF35" i="16"/>
  <c r="BF41" i="16" s="1"/>
  <c r="BG26" i="16"/>
  <c r="BG24" i="16"/>
  <c r="BH23" i="13"/>
  <c r="BJ8" i="13"/>
  <c r="BI15" i="13"/>
  <c r="BI19" i="13" s="1"/>
  <c r="AS24" i="13"/>
  <c r="AS23" i="13" s="1"/>
  <c r="AS26" i="13" s="1"/>
  <c r="AT15" i="13"/>
  <c r="AT19" i="13" s="1"/>
  <c r="BF37" i="13"/>
  <c r="BF35" i="13"/>
  <c r="AA34" i="13"/>
  <c r="AA28" i="13"/>
  <c r="AS63" i="13"/>
  <c r="AQ60" i="13"/>
  <c r="AQ59" i="13"/>
  <c r="AQ48" i="13"/>
  <c r="BF39" i="13"/>
  <c r="AP38" i="13"/>
  <c r="BH23" i="12"/>
  <c r="BI15" i="12"/>
  <c r="BI19" i="12" s="1"/>
  <c r="BJ8" i="12"/>
  <c r="AQ23" i="12"/>
  <c r="AR15" i="12"/>
  <c r="AR19" i="12" s="1"/>
  <c r="AA28" i="12"/>
  <c r="AA34" i="12"/>
  <c r="BF37" i="12"/>
  <c r="BF35" i="12"/>
  <c r="AQ59" i="12"/>
  <c r="AS63" i="12" s="1"/>
  <c r="AQ60" i="12"/>
  <c r="AQ48" i="12"/>
  <c r="BF39" i="12"/>
  <c r="AP38" i="12"/>
  <c r="BG26" i="12"/>
  <c r="BG24" i="12"/>
  <c r="H14" i="11"/>
  <c r="H16" i="11" s="1"/>
  <c r="I14" i="11"/>
  <c r="I16" i="11" s="1"/>
  <c r="I17" i="11" s="1"/>
  <c r="G17" i="11"/>
  <c r="G19" i="11" s="1"/>
  <c r="G22" i="11" s="1"/>
  <c r="E17" i="5"/>
  <c r="E19" i="5" s="1"/>
  <c r="E22" i="5" s="1"/>
  <c r="H12" i="5"/>
  <c r="G13" i="5"/>
  <c r="F14" i="5"/>
  <c r="F16" i="5"/>
  <c r="D139" i="9"/>
  <c r="H164" i="9"/>
  <c r="G178" i="9"/>
  <c r="G191" i="9" s="1"/>
  <c r="G204" i="9" s="1"/>
  <c r="H42" i="9"/>
  <c r="G102" i="9"/>
  <c r="M184" i="9"/>
  <c r="N184" i="9"/>
  <c r="L19" i="9"/>
  <c r="J30" i="9"/>
  <c r="J196" i="9"/>
  <c r="I207" i="9"/>
  <c r="I303" i="9"/>
  <c r="I304" i="9" s="1"/>
  <c r="I306" i="9" s="1"/>
  <c r="I30" i="9"/>
  <c r="I196" i="9"/>
  <c r="H207" i="9"/>
  <c r="H303" i="9"/>
  <c r="H304" i="9" s="1"/>
  <c r="H306" i="9" s="1"/>
  <c r="H30" i="9"/>
  <c r="H196" i="9"/>
  <c r="G207" i="9"/>
  <c r="G303" i="9"/>
  <c r="G304" i="9" s="1"/>
  <c r="G306" i="9" s="1"/>
  <c r="G30" i="9"/>
  <c r="G196" i="9"/>
  <c r="K180" i="9"/>
  <c r="L180" i="9"/>
  <c r="L182" i="9"/>
  <c r="K182" i="9"/>
  <c r="F207" i="9"/>
  <c r="F303" i="9"/>
  <c r="F304" i="9" s="1"/>
  <c r="F306" i="9" s="1"/>
  <c r="F30" i="9"/>
  <c r="F196" i="9"/>
  <c r="E30" i="9"/>
  <c r="E196" i="9"/>
  <c r="E207" i="9"/>
  <c r="E254" i="9"/>
  <c r="E303" i="9"/>
  <c r="E304" i="9" s="1"/>
  <c r="E306" i="9" s="1"/>
  <c r="D207" i="9"/>
  <c r="D254" i="9"/>
  <c r="D303" i="9"/>
  <c r="D304" i="9" s="1"/>
  <c r="D306" i="9" s="1"/>
  <c r="D30" i="9"/>
  <c r="D196" i="9"/>
  <c r="K19" i="9"/>
  <c r="J194" i="9"/>
  <c r="J180" i="9"/>
  <c r="J205" i="9"/>
  <c r="J179" i="9"/>
  <c r="C7" i="21"/>
  <c r="B4" i="2"/>
  <c r="BI23" i="16" l="1"/>
  <c r="BJ15" i="16"/>
  <c r="BJ19" i="16" s="1"/>
  <c r="BK8" i="16"/>
  <c r="BK15" i="16" s="1"/>
  <c r="BK19" i="16" s="1"/>
  <c r="AU15" i="16"/>
  <c r="AU19" i="16" s="1"/>
  <c r="AT24" i="16"/>
  <c r="AT23" i="16"/>
  <c r="AT26" i="16" s="1"/>
  <c r="BH26" i="16"/>
  <c r="BH24" i="16"/>
  <c r="BK8" i="13"/>
  <c r="BK15" i="13" s="1"/>
  <c r="BK19" i="13" s="1"/>
  <c r="BJ15" i="13"/>
  <c r="BJ19" i="13" s="1"/>
  <c r="BI23" i="13"/>
  <c r="AT24" i="13"/>
  <c r="AT23" i="13" s="1"/>
  <c r="AT26" i="13" s="1"/>
  <c r="AU15" i="13"/>
  <c r="AU19" i="13" s="1"/>
  <c r="BF41" i="13"/>
  <c r="BH26" i="13"/>
  <c r="BH24" i="13"/>
  <c r="BI23" i="12"/>
  <c r="BJ15" i="12"/>
  <c r="BJ19" i="12" s="1"/>
  <c r="BK8" i="12"/>
  <c r="BK15" i="12" s="1"/>
  <c r="BK19" i="12" s="1"/>
  <c r="AS15" i="12"/>
  <c r="AS19" i="12" s="1"/>
  <c r="AR23" i="12"/>
  <c r="AR26" i="12" s="1"/>
  <c r="AR24" i="12"/>
  <c r="BF41" i="12"/>
  <c r="BH26" i="12"/>
  <c r="BH24" i="12"/>
  <c r="AQ26" i="12"/>
  <c r="AQ24" i="12"/>
  <c r="H17" i="11"/>
  <c r="H19" i="11" s="1"/>
  <c r="I12" i="5"/>
  <c r="I13" i="5" s="1"/>
  <c r="H13" i="5"/>
  <c r="G14" i="5"/>
  <c r="G16" i="5"/>
  <c r="F17" i="5"/>
  <c r="F19" i="5"/>
  <c r="F22" i="5" s="1"/>
  <c r="I164" i="9"/>
  <c r="H178" i="9"/>
  <c r="H191" i="9" s="1"/>
  <c r="H204" i="9" s="1"/>
  <c r="B6" i="2"/>
  <c r="I209" i="9"/>
  <c r="I167" i="9"/>
  <c r="I181" i="9" s="1"/>
  <c r="H209" i="9"/>
  <c r="H167" i="9"/>
  <c r="H181" i="9" s="1"/>
  <c r="G209" i="9"/>
  <c r="G167" i="9"/>
  <c r="G181" i="9" s="1"/>
  <c r="M180" i="9"/>
  <c r="N180" i="9"/>
  <c r="M182" i="9"/>
  <c r="N182" i="9"/>
  <c r="F209" i="9"/>
  <c r="F167" i="9"/>
  <c r="F181" i="9" s="1"/>
  <c r="E209" i="9"/>
  <c r="E167" i="9"/>
  <c r="E181" i="9" s="1"/>
  <c r="G254" i="9"/>
  <c r="E255" i="9"/>
  <c r="G255" i="9" s="1"/>
  <c r="E256" i="9"/>
  <c r="D209" i="9"/>
  <c r="D167" i="9"/>
  <c r="D181" i="9" s="1"/>
  <c r="D255" i="9"/>
  <c r="D256" i="9"/>
  <c r="D257" i="9" s="1"/>
  <c r="K30" i="9"/>
  <c r="K194" i="9"/>
  <c r="L194" i="9" s="1"/>
  <c r="M194" i="9"/>
  <c r="N194" i="9" s="1"/>
  <c r="K205" i="9"/>
  <c r="L205" i="9" s="1"/>
  <c r="J207" i="9"/>
  <c r="C10" i="21"/>
  <c r="C12" i="21" s="1"/>
  <c r="M6" i="21"/>
  <c r="K196" i="9"/>
  <c r="L196" i="9" s="1"/>
  <c r="BJ23" i="16" l="1"/>
  <c r="BF21" i="16"/>
  <c r="BK23" i="16"/>
  <c r="AU24" i="16"/>
  <c r="AP21" i="16"/>
  <c r="AU23" i="16"/>
  <c r="AU26" i="16" s="1"/>
  <c r="BI26" i="16"/>
  <c r="BI24" i="16"/>
  <c r="BK23" i="13"/>
  <c r="BK26" i="13" s="1"/>
  <c r="BK24" i="13"/>
  <c r="BF21" i="13"/>
  <c r="BJ23" i="13"/>
  <c r="BJ26" i="13" s="1"/>
  <c r="BJ24" i="13"/>
  <c r="AU24" i="13"/>
  <c r="AU23" i="13" s="1"/>
  <c r="AU26" i="13" s="1"/>
  <c r="AP21" i="13"/>
  <c r="BI26" i="13"/>
  <c r="BI24" i="13"/>
  <c r="BJ23" i="12"/>
  <c r="BK23" i="12"/>
  <c r="BF21" i="12"/>
  <c r="AS23" i="12"/>
  <c r="AS26" i="12" s="1"/>
  <c r="AT15" i="12"/>
  <c r="AT19" i="12" s="1"/>
  <c r="AS24" i="12"/>
  <c r="BI26" i="12"/>
  <c r="BI24" i="12"/>
  <c r="H22" i="11"/>
  <c r="I19" i="11"/>
  <c r="I22" i="11" s="1"/>
  <c r="I14" i="5"/>
  <c r="I16" i="5" s="1"/>
  <c r="H14" i="5"/>
  <c r="H16" i="5"/>
  <c r="G17" i="5"/>
  <c r="G19" i="5" s="1"/>
  <c r="G22" i="5" s="1"/>
  <c r="I178" i="9"/>
  <c r="I191" i="9" s="1"/>
  <c r="I204" i="9" s="1"/>
  <c r="J164" i="9"/>
  <c r="J178" i="9" s="1"/>
  <c r="J191" i="9" s="1"/>
  <c r="J204" i="9" s="1"/>
  <c r="B13" i="2"/>
  <c r="B12" i="2"/>
  <c r="I210" i="9"/>
  <c r="I169" i="9"/>
  <c r="H210" i="9"/>
  <c r="H169" i="9"/>
  <c r="G210" i="9"/>
  <c r="G169" i="9"/>
  <c r="F210" i="9"/>
  <c r="F169" i="9"/>
  <c r="L181" i="9"/>
  <c r="K181" i="9"/>
  <c r="E210" i="9"/>
  <c r="E169" i="9"/>
  <c r="E257" i="9"/>
  <c r="G256" i="9"/>
  <c r="D210" i="9"/>
  <c r="D211" i="9" s="1"/>
  <c r="D213" i="9"/>
  <c r="D169" i="9"/>
  <c r="D259" i="9"/>
  <c r="D261" i="9" s="1"/>
  <c r="K207" i="9"/>
  <c r="L207" i="9" s="1"/>
  <c r="J209" i="9"/>
  <c r="J167" i="9"/>
  <c r="J181" i="9" s="1"/>
  <c r="O12" i="21"/>
  <c r="O13" i="21"/>
  <c r="O14" i="21"/>
  <c r="O15" i="21"/>
  <c r="O16" i="21"/>
  <c r="O17" i="21"/>
  <c r="O18" i="21"/>
  <c r="BJ26" i="16" l="1"/>
  <c r="BJ24" i="16"/>
  <c r="BK26" i="16"/>
  <c r="BK24" i="16"/>
  <c r="D26" i="11"/>
  <c r="D31" i="11" s="1"/>
  <c r="D29" i="11" s="1"/>
  <c r="AT23" i="12"/>
  <c r="AT26" i="12" s="1"/>
  <c r="AU15" i="12"/>
  <c r="AU19" i="12" s="1"/>
  <c r="AT24" i="12"/>
  <c r="BJ26" i="12"/>
  <c r="BJ24" i="12"/>
  <c r="BK26" i="12"/>
  <c r="BK24" i="12"/>
  <c r="I17" i="5"/>
  <c r="I19" i="5"/>
  <c r="I20" i="5" s="1"/>
  <c r="I22" i="5" s="1"/>
  <c r="H17" i="5"/>
  <c r="H19" i="5" s="1"/>
  <c r="H22" i="5" s="1"/>
  <c r="I211" i="9"/>
  <c r="I212" i="9"/>
  <c r="I213" i="9" s="1"/>
  <c r="I171" i="9"/>
  <c r="I185" i="9" s="1"/>
  <c r="I183" i="9"/>
  <c r="H211" i="9"/>
  <c r="H212" i="9"/>
  <c r="H213" i="9" s="1"/>
  <c r="H183" i="9"/>
  <c r="H171" i="9"/>
  <c r="H185" i="9" s="1"/>
  <c r="G211" i="9"/>
  <c r="G212" i="9"/>
  <c r="G213" i="9" s="1"/>
  <c r="G171" i="9"/>
  <c r="G185" i="9" s="1"/>
  <c r="G183" i="9"/>
  <c r="F211" i="9"/>
  <c r="F212" i="9" s="1"/>
  <c r="F213" i="9" s="1"/>
  <c r="F171" i="9"/>
  <c r="F185" i="9" s="1"/>
  <c r="F183" i="9"/>
  <c r="N181" i="9"/>
  <c r="M181" i="9"/>
  <c r="E211" i="9"/>
  <c r="E212" i="9"/>
  <c r="E213" i="9" s="1"/>
  <c r="E215" i="9"/>
  <c r="E171" i="9"/>
  <c r="E185" i="9" s="1"/>
  <c r="E183" i="9"/>
  <c r="E259" i="9"/>
  <c r="E261" i="9" s="1"/>
  <c r="G257" i="9"/>
  <c r="D215" i="9"/>
  <c r="D217" i="9"/>
  <c r="D225" i="9"/>
  <c r="D183" i="9"/>
  <c r="D171" i="9"/>
  <c r="D185" i="9" s="1"/>
  <c r="K209" i="9"/>
  <c r="L209" i="9" s="1"/>
  <c r="J210" i="9"/>
  <c r="J169" i="9"/>
  <c r="AP21" i="12" l="1"/>
  <c r="AU23" i="12"/>
  <c r="F215" i="9"/>
  <c r="F217" i="9" s="1"/>
  <c r="K185" i="9"/>
  <c r="L185" i="9"/>
  <c r="K183" i="9"/>
  <c r="L183" i="9"/>
  <c r="K210" i="9"/>
  <c r="L210" i="9" s="1"/>
  <c r="J211" i="9"/>
  <c r="J171" i="9"/>
  <c r="J185" i="9" s="1"/>
  <c r="J183" i="9"/>
  <c r="G215" i="9"/>
  <c r="G217" i="9" s="1"/>
  <c r="E217" i="9"/>
  <c r="E225" i="9"/>
  <c r="G225" i="9" s="1"/>
  <c r="AU26" i="12" l="1"/>
  <c r="AU24" i="12"/>
  <c r="K211" i="9"/>
  <c r="L211" i="9" s="1"/>
  <c r="J212" i="9"/>
  <c r="M185" i="9"/>
  <c r="N185" i="9"/>
  <c r="N183" i="9"/>
  <c r="M183" i="9"/>
  <c r="J213" i="9" l="1"/>
  <c r="K213" i="9" s="1"/>
  <c r="L213" i="9" s="1"/>
  <c r="K212" i="9"/>
  <c r="C6" i="21"/>
  <c r="C1" i="21" l="1"/>
  <c r="M5" i="21" s="1"/>
  <c r="B7" i="2" l="1"/>
  <c r="B8" i="2" s="1"/>
  <c r="I12" i="21"/>
  <c r="O26" i="21"/>
  <c r="J12" i="21" l="1"/>
  <c r="K12" i="21" s="1"/>
  <c r="I13" i="21" s="1"/>
  <c r="J18" i="21"/>
  <c r="M18" i="21" s="1"/>
  <c r="P18" i="21" s="1"/>
  <c r="M12" i="21" l="1"/>
  <c r="J13" i="21"/>
  <c r="P12" i="21" l="1"/>
  <c r="P24" i="21" s="1"/>
  <c r="O27" i="21" s="1"/>
  <c r="O28" i="21" s="1"/>
  <c r="O30" i="21" s="1"/>
  <c r="D33" i="11" s="1"/>
  <c r="D35" i="11" s="1"/>
  <c r="K13" i="21"/>
  <c r="I14" i="21" s="1"/>
  <c r="K14" i="21" s="1"/>
  <c r="I15" i="21" s="1"/>
  <c r="M13" i="21"/>
  <c r="P13" i="21" s="1"/>
  <c r="J14" i="21"/>
  <c r="M14" i="21" l="1"/>
  <c r="J15" i="21"/>
  <c r="P14" i="21" l="1"/>
  <c r="K15" i="21"/>
  <c r="I16" i="21" s="1"/>
  <c r="M15" i="21"/>
  <c r="J16" i="21"/>
  <c r="M16" i="21" l="1"/>
  <c r="J17" i="21"/>
  <c r="K16" i="21"/>
  <c r="I17" i="21" s="1"/>
  <c r="P15" i="21"/>
  <c r="K17" i="21" l="1"/>
  <c r="I18" i="21" s="1"/>
  <c r="K18" i="21" s="1"/>
  <c r="P16" i="21"/>
  <c r="M17" i="21"/>
  <c r="J24" i="21"/>
  <c r="P17" i="21" l="1"/>
  <c r="M24"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1" authorId="0" shapeId="0" xr:uid="{00000000-0006-0000-0400-000001000000}">
      <text>
        <r>
          <rPr>
            <sz val="11"/>
            <color theme="1"/>
            <rFont val="Calibri"/>
            <scheme val="minor"/>
          </rPr>
          <t>======
ID#AAABdABHTpI
Proyectos ANEPSA    (2021-06-14 22:30:00)
+ 1 % riesgo por activo intangible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21" authorId="0" shapeId="0" xr:uid="{00000000-0006-0000-0A00-000001000000}">
      <text>
        <r>
          <rPr>
            <sz val="11"/>
            <color theme="1"/>
            <rFont val="Calibri"/>
            <scheme val="minor"/>
          </rPr>
          <t>======
ID#AAABdABHGW4
Proyectos ANEPSA    (2021-06-14 22:30:00)
+ 1 % riesgo por activo intangible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U19" authorId="0" shapeId="0" xr:uid="{00000000-0006-0000-0B00-000001000000}">
      <text>
        <r>
          <rPr>
            <sz val="11"/>
            <color theme="1"/>
            <rFont val="Calibri"/>
            <scheme val="minor"/>
          </rPr>
          <t>======
ID#AAABdABHTpM
Proyectos ANEPSA    (2023-02-27 18:36:28)
Valor Terminal, Valor a Perpetuidad, Valor Residual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U19" authorId="0" shapeId="0" xr:uid="{00000000-0006-0000-0F00-000001000000}">
      <text>
        <r>
          <rPr>
            <sz val="11"/>
            <color theme="1"/>
            <rFont val="Calibri"/>
            <scheme val="minor"/>
          </rPr>
          <t>======
ID#AAABdABHGW8
Proyectos ANEPSA    (2023-02-27 18:36:28)
Valor Terminal, Valor a Perpetuidad, Valor Residual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19" authorId="0" shapeId="0" xr:uid="{00000000-0006-0000-1200-000001000000}">
      <text>
        <r>
          <rPr>
            <sz val="11"/>
            <color theme="1"/>
            <rFont val="Calibri"/>
            <scheme val="minor"/>
          </rPr>
          <t>======
ID#AAABdABHTpk
Proyectos ANEPSA    (2023-02-27 18:36:28)
NO es determinante. YA que no presentan desglose de costo de ventas mas que en el año 2018.</t>
        </r>
      </text>
    </comment>
    <comment ref="B23" authorId="0" shapeId="0" xr:uid="{00000000-0006-0000-1200-000002000000}">
      <text>
        <r>
          <rPr>
            <sz val="11"/>
            <color theme="1"/>
            <rFont val="Calibri"/>
            <scheme val="minor"/>
          </rPr>
          <t>======
ID#AAABdABHTpo
Proyectos ANEPSA    (2023-02-27 18:36:28)
Intereses pagados</t>
        </r>
      </text>
    </comment>
    <comment ref="B26" authorId="0" shapeId="0" xr:uid="{00000000-0006-0000-1200-000003000000}">
      <text>
        <r>
          <rPr>
            <sz val="11"/>
            <color theme="1"/>
            <rFont val="Calibri"/>
            <scheme val="minor"/>
          </rPr>
          <t>======
ID#AAABdABHGXQ
Proyectos ANEPSA    (2023-02-27 18:36:28)
UT NETA / CAPITAL CONTABLE</t>
        </r>
      </text>
    </comment>
    <comment ref="B27" authorId="0" shapeId="0" xr:uid="{00000000-0006-0000-1200-000004000000}">
      <text>
        <r>
          <rPr>
            <sz val="11"/>
            <color theme="1"/>
            <rFont val="Calibri"/>
            <scheme val="minor"/>
          </rPr>
          <t>======
ID#AAABdABHTo8
Proyectos ANEPSA    (2023-02-27 18:36:28)
UTILIDAD NETA/ ACTIVO TOTAL</t>
        </r>
      </text>
    </comment>
    <comment ref="B31" authorId="0" shapeId="0" xr:uid="{00000000-0006-0000-1200-000005000000}">
      <text>
        <r>
          <rPr>
            <sz val="11"/>
            <color theme="1"/>
            <rFont val="Calibri"/>
            <scheme val="minor"/>
          </rPr>
          <t>======
ID#AAABdABHGXE
Proyectos ANEPSA    (2023-02-27 18:36:28)
Ut Neta / Ventas  Netas</t>
        </r>
      </text>
    </comment>
    <comment ref="B32" authorId="0" shapeId="0" xr:uid="{00000000-0006-0000-1200-000006000000}">
      <text>
        <r>
          <rPr>
            <sz val="11"/>
            <color theme="1"/>
            <rFont val="Calibri"/>
            <scheme val="minor"/>
          </rPr>
          <t>======
ID#AAABdABHTpA
Proyectos ANEPSA    (2023-02-27 18:36:28)
Activo Total/Ventas Netas</t>
        </r>
      </text>
    </comment>
    <comment ref="B33" authorId="0" shapeId="0" xr:uid="{00000000-0006-0000-1200-000007000000}">
      <text>
        <r>
          <rPr>
            <sz val="11"/>
            <color theme="1"/>
            <rFont val="Calibri"/>
            <scheme val="minor"/>
          </rPr>
          <t>======
ID#AAABdABHGXI
Proyectos ANEPSA    (2023-02-27 18:36:28)
Activo Total/ Capital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1400-000001000000}">
      <text>
        <r>
          <rPr>
            <sz val="11"/>
            <color theme="1"/>
            <rFont val="Calibri"/>
            <scheme val="minor"/>
          </rPr>
          <t>======
ID#AAABdABHTpY
Proyectos ANEPSA    (2023-02-27 18:36:28)
Para activos de vida indeterminada como marcas, recomiendan usar la tasa del 15% anual para amortizar. Artículo 32 ISR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16" authorId="0" shapeId="0" xr:uid="{00000000-0006-0000-1C00-000001000000}">
      <text>
        <r>
          <rPr>
            <sz val="11"/>
            <color theme="1"/>
            <rFont val="Calibri"/>
            <scheme val="minor"/>
          </rPr>
          <t>======
ID#AAABdABHTpU
Proyectos ANEPSA    (2023-02-27 18:36:28)
UT NETA / CAPITAL CONTABLE</t>
        </r>
      </text>
    </comment>
    <comment ref="B17" authorId="0" shapeId="0" xr:uid="{00000000-0006-0000-1C00-000002000000}">
      <text>
        <r>
          <rPr>
            <sz val="11"/>
            <color theme="1"/>
            <rFont val="Calibri"/>
            <scheme val="minor"/>
          </rPr>
          <t>======
ID#AAABdABHTpE
Proyectos ANEPSA    (2023-02-27 18:36:28)
UTILIDAD NETA/ ACTIVO TOTAL</t>
        </r>
      </text>
    </comment>
    <comment ref="B21" authorId="0" shapeId="0" xr:uid="{00000000-0006-0000-1C00-000003000000}">
      <text>
        <r>
          <rPr>
            <sz val="11"/>
            <color theme="1"/>
            <rFont val="Calibri"/>
            <scheme val="minor"/>
          </rPr>
          <t>======
ID#AAABdABHTpg
Proyectos ANEPSA    (2023-02-27 18:36:28)
Ut Neta / Ventas  Netas</t>
        </r>
      </text>
    </comment>
    <comment ref="B23" authorId="0" shapeId="0" xr:uid="{00000000-0006-0000-1C00-000004000000}">
      <text>
        <r>
          <rPr>
            <sz val="11"/>
            <color theme="1"/>
            <rFont val="Calibri"/>
            <scheme val="minor"/>
          </rPr>
          <t>======
ID#AAABdABHTo4
Proyectos ANEPSA    (2023-02-27 18:36:28)
Activo Total/ Capital</t>
        </r>
      </text>
    </comment>
    <comment ref="B30" authorId="0" shapeId="0" xr:uid="{00000000-0006-0000-1C00-000005000000}">
      <text>
        <r>
          <rPr>
            <sz val="11"/>
            <color theme="1"/>
            <rFont val="Calibri"/>
            <scheme val="minor"/>
          </rPr>
          <t>======
ID#AAABdABHGXA
Proyectos ANEPSA    (2023-02-27 18:36:28)
Ut Neta / Ventas  Netas</t>
        </r>
      </text>
    </comment>
    <comment ref="B35" authorId="0" shapeId="0" xr:uid="{00000000-0006-0000-1C00-000006000000}">
      <text>
        <r>
          <rPr>
            <sz val="11"/>
            <color theme="1"/>
            <rFont val="Calibri"/>
            <scheme val="minor"/>
          </rPr>
          <t>======
ID#AAABdABHGXU
Proyectos ANEPSA    (2023-02-27 18:36:28)
Activo Total/Ventas Netas</t>
        </r>
      </text>
    </comment>
    <comment ref="B39" authorId="0" shapeId="0" xr:uid="{00000000-0006-0000-1C00-000007000000}">
      <text>
        <r>
          <rPr>
            <sz val="11"/>
            <color theme="1"/>
            <rFont val="Calibri"/>
            <scheme val="minor"/>
          </rPr>
          <t>======
ID#AAABdABHTpQ
Proyectos ANEPSA    (2023-02-27 18:36:28)
Activo Total/ Capital</t>
        </r>
      </text>
    </comment>
    <comment ref="B44" authorId="0" shapeId="0" xr:uid="{00000000-0006-0000-1C00-000008000000}">
      <text>
        <r>
          <rPr>
            <sz val="11"/>
            <color theme="1"/>
            <rFont val="Calibri"/>
            <scheme val="minor"/>
          </rPr>
          <t>======
ID#AAABdABHGXM
Proyectos ANEPSA    (2023-02-27 18:36:28)
UTILIDAD NETA/ ACTIVO TOTAL</t>
        </r>
      </text>
    </comment>
    <comment ref="B48" authorId="0" shapeId="0" xr:uid="{00000000-0006-0000-1C00-000009000000}">
      <text>
        <r>
          <rPr>
            <sz val="11"/>
            <color theme="1"/>
            <rFont val="Calibri"/>
            <scheme val="minor"/>
          </rPr>
          <t>======
ID#AAABdABHTpw
Proyectos ANEPSA    (2023-02-27 18:36:28)
UT NETA / CAPITAL CONTABLE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E5" authorId="0" shapeId="0" xr:uid="{00000000-0006-0000-1D00-000001000000}">
      <text>
        <r>
          <rPr>
            <sz val="11"/>
            <color theme="1"/>
            <rFont val="Calibri"/>
            <scheme val="minor"/>
          </rPr>
          <t>======
ID#AAABdABHTps
Aswath Damodaran    (2023-02-27 18:36:28)
See worksheet on relative equity market volatility.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E5" authorId="0" shapeId="0" xr:uid="{00000000-0006-0000-1E00-000001000000}">
      <text>
        <r>
          <rPr>
            <sz val="11"/>
            <color theme="1"/>
            <rFont val="Calibri"/>
            <scheme val="minor"/>
          </rPr>
          <t>======
ID#AAABdABHTpc
Aswath Damodaran    (2025-02-12 14:52:40)
See worksheet on relative equity market volatility.</t>
        </r>
      </text>
    </comment>
  </commentList>
</comments>
</file>

<file path=xl/sharedStrings.xml><?xml version="1.0" encoding="utf-8"?>
<sst xmlns="http://schemas.openxmlformats.org/spreadsheetml/2006/main" count="4102" uniqueCount="1028">
  <si>
    <t>DATOS</t>
  </si>
  <si>
    <t>FUENTE</t>
  </si>
  <si>
    <t>VALORES</t>
  </si>
  <si>
    <t>OBSERVACIÓN</t>
  </si>
  <si>
    <t>BETA DESAPALANCADA DE LA IND.</t>
  </si>
  <si>
    <t>http://pages.stern.nyu.edu/~adamodar/New_Home_Page/datafile/Betas.html</t>
  </si>
  <si>
    <t>D/E = APALANCAMIENTO</t>
  </si>
  <si>
    <t>TASA LIBRE DE RIESGO</t>
  </si>
  <si>
    <t>Tbon 10 años (últimos 20 años)</t>
  </si>
  <si>
    <t xml:space="preserve">PREMIO POR RIESGO </t>
  </si>
  <si>
    <t>http://pages.stern.nyu.edu/~adamodar/New_Home_Page/datafile/ctryprem.html</t>
  </si>
  <si>
    <t xml:space="preserve">RIESGO PAÍS </t>
  </si>
  <si>
    <t>https://estadisticas.bcrp.gob.pe/estadisticas/series/diarias/resultados/PD04713XD/html</t>
  </si>
  <si>
    <r>
      <rPr>
        <sz val="11"/>
        <color theme="1"/>
        <rFont val="Calibri"/>
      </rPr>
      <t>B</t>
    </r>
    <r>
      <rPr>
        <vertAlign val="subscript"/>
        <sz val="11"/>
        <color theme="1"/>
        <rFont val="Calibri"/>
      </rPr>
      <t>u</t>
    </r>
  </si>
  <si>
    <t>D/P</t>
  </si>
  <si>
    <t>TASA DE IMPUESTOS</t>
  </si>
  <si>
    <t>t</t>
  </si>
  <si>
    <t>BETA APALANCADA DE LA EMPRESA</t>
  </si>
  <si>
    <r>
      <rPr>
        <sz val="11"/>
        <color theme="0"/>
        <rFont val="Calibri"/>
      </rPr>
      <t>B</t>
    </r>
    <r>
      <rPr>
        <vertAlign val="subscript"/>
        <sz val="11"/>
        <color theme="0"/>
        <rFont val="Calibri"/>
      </rPr>
      <t>L</t>
    </r>
  </si>
  <si>
    <t>CÁLCULO DE TASA DE DESCUENTO (ke)</t>
  </si>
  <si>
    <t>CÁLCULO DE TASA DE DESCUENTO (WACC)</t>
  </si>
  <si>
    <t>fórmula a utilizar    (1)</t>
  </si>
  <si>
    <t>fórmula a utilizar   (2)</t>
  </si>
  <si>
    <t>Ke= Rf + (Rm-Rf)B + Rp + SCP</t>
  </si>
  <si>
    <t>Ke=</t>
  </si>
  <si>
    <t>Kd=</t>
  </si>
  <si>
    <t>TASA LIBRE DE RIESGO         (RF)</t>
  </si>
  <si>
    <t>ke=</t>
  </si>
  <si>
    <t>BETA DE LA EMPRESA             (B)</t>
  </si>
  <si>
    <t>T=</t>
  </si>
  <si>
    <t>PREMIO POR RIESGO       ( RM - RF )</t>
  </si>
  <si>
    <t>D=</t>
  </si>
  <si>
    <t>RIESGO PAÍS (URUGUAY)           (RP)</t>
  </si>
  <si>
    <t>C=</t>
  </si>
  <si>
    <t>PRIMA TAMAÑO EMPRESA  (SCP)</t>
  </si>
  <si>
    <t>wacc=</t>
  </si>
  <si>
    <t>Wacc=</t>
  </si>
  <si>
    <t>DLP</t>
  </si>
  <si>
    <t>C</t>
  </si>
  <si>
    <t>% DLP</t>
  </si>
  <si>
    <t>% C</t>
  </si>
  <si>
    <t>Valoracion Negocio En Marcha Grupo OVANDO</t>
  </si>
  <si>
    <t>CONCEPTO</t>
  </si>
  <si>
    <t>Valor</t>
  </si>
  <si>
    <t>Comentario</t>
  </si>
  <si>
    <t>WACC</t>
  </si>
  <si>
    <t>Considero adecuada la WACC, se deefinió un nivel de riesgo medio y se tomaron los datos de damodaran para modelar, se sensibilizó con la falta de deuda a largo plazo</t>
  </si>
  <si>
    <t>Valor Neto Contable</t>
  </si>
  <si>
    <t>Tomado de cruce contable</t>
  </si>
  <si>
    <t>EBITDA 2025</t>
  </si>
  <si>
    <t>Tomado a cierre del 25</t>
  </si>
  <si>
    <t>Valor compañía por flujos</t>
  </si>
  <si>
    <t>No es muy alta porque la compañía venia presentamndo flujos bajos, hasta el 2025 el EBITDA es relativamente bueno, tuvo un crecimiento exponencial de más del 70% en comparación con los años anteriores</t>
  </si>
  <si>
    <t>Veces EBITDA</t>
  </si>
  <si>
    <t>Si se compara con la media estamos sobre la cota baja, pero dado el tamaño de la compañía y el comportamiento de valor considero adecuado el valor</t>
  </si>
  <si>
    <t>Multiplos de EBITDA para venta</t>
  </si>
  <si>
    <t>Media del rango definido por segmento de negocio en Atlas KPMG</t>
  </si>
  <si>
    <t>https://atlas.kpmg.com/de/en/deal-advisory-services/cost-of-capital-and-multiples/industry-specific-multiples?utm_source=chatgpt.com</t>
  </si>
  <si>
    <t>EBITDA ULTIMO AÑO</t>
  </si>
  <si>
    <t>Valor por EBITDA</t>
  </si>
  <si>
    <t>Se toma como techo</t>
  </si>
  <si>
    <t xml:space="preserve">PROYECCIONES </t>
  </si>
  <si>
    <t>PORCENTAJE</t>
  </si>
  <si>
    <t>Barregio, 2025</t>
  </si>
  <si>
    <t>Banorte, 2025</t>
  </si>
  <si>
    <t>HSBC, 2025</t>
  </si>
  <si>
    <t>SECTOR</t>
  </si>
  <si>
    <t>RIESGO PAÍS (   (RP)</t>
  </si>
  <si>
    <t>TOTAL</t>
  </si>
  <si>
    <t>Date updated:</t>
  </si>
  <si>
    <t>YouTube Video explaining estimation choices and process.</t>
  </si>
  <si>
    <t>Notes</t>
  </si>
  <si>
    <t>Created by:</t>
  </si>
  <si>
    <t>Aswath Damodaran, adamodar@stern.nyu.edu</t>
  </si>
  <si>
    <t>if you are looking for a pure-play beta, i.e., a beta for a  business, the unlevered beta corrected for cash is your best bet. Since even sector betas can move over time, I have also reported the average of the this sector beta across time in the last column. This number, for obvious reasons, is less likely to be volatile over time.</t>
  </si>
  <si>
    <t>What is this data?</t>
  </si>
  <si>
    <t>Beta, Unlevered beta and other risk measures</t>
  </si>
  <si>
    <t>US companies</t>
  </si>
  <si>
    <t>Home Page:</t>
  </si>
  <si>
    <t>http://www.damodaran.com</t>
  </si>
  <si>
    <t>Data website:</t>
  </si>
  <si>
    <t>https://pages.stern.nyu.edu/~adamodar/New_Home_Page/datafile/Betas.html</t>
  </si>
  <si>
    <t>Companies in each industry:</t>
  </si>
  <si>
    <t>https://pages.stern.nyu.edu/~adamodar/pc/datasets/indname.xls</t>
  </si>
  <si>
    <t>Variable definitions:</t>
  </si>
  <si>
    <t>https://pages.stern.nyu.edu/~adamodar/New_Home_Page/datafile/variable.htm</t>
  </si>
  <si>
    <t>Do you want to use marginal or effective tax rates in unlevering betas?</t>
  </si>
  <si>
    <t>Marginal</t>
  </si>
  <si>
    <t>If marginal tax rate, enter the marginal tax rate to use</t>
  </si>
  <si>
    <t>Unlevered beta corrected for cash - Over time</t>
  </si>
  <si>
    <t>Industry name</t>
  </si>
  <si>
    <t>Number of firms</t>
  </si>
  <si>
    <t xml:space="preserve">Beta </t>
  </si>
  <si>
    <t>D/E Ratio</t>
  </si>
  <si>
    <t>Effective Tax rate</t>
  </si>
  <si>
    <t>Unlevered beta</t>
  </si>
  <si>
    <t>Cash/Firm value</t>
  </si>
  <si>
    <t>Unlevered beta corrected for cash</t>
  </si>
  <si>
    <t>HiLo Risk</t>
  </si>
  <si>
    <t>Standard deviation of equity</t>
  </si>
  <si>
    <t>Standard deviation in operating income (last 10 years)</t>
  </si>
  <si>
    <t>2019</t>
  </si>
  <si>
    <t>2020</t>
  </si>
  <si>
    <t>2021</t>
  </si>
  <si>
    <t>2022</t>
  </si>
  <si>
    <t>Average (2019-23)</t>
  </si>
  <si>
    <t>Advertising</t>
  </si>
  <si>
    <t>Aerospace/Defense</t>
  </si>
  <si>
    <t>Air Transport</t>
  </si>
  <si>
    <t>Apparel</t>
  </si>
  <si>
    <t>Auto &amp; Truck</t>
  </si>
  <si>
    <t>Auto Parts</t>
  </si>
  <si>
    <t>Bank (Money Center)</t>
  </si>
  <si>
    <t>NA</t>
  </si>
  <si>
    <t>Banks (Regional)</t>
  </si>
  <si>
    <t>Beverage (Alcoholic)</t>
  </si>
  <si>
    <t>Beverage (Soft)</t>
  </si>
  <si>
    <t>Broadcasting</t>
  </si>
  <si>
    <t>Brokerage &amp; Investment Banking</t>
  </si>
  <si>
    <t>Building Materials</t>
  </si>
  <si>
    <t>Business &amp; Consumer Services</t>
  </si>
  <si>
    <t>Cable TV</t>
  </si>
  <si>
    <t>Chemical (Basic)</t>
  </si>
  <si>
    <t>Chemical (Diversified)</t>
  </si>
  <si>
    <t>Chemical (Specialty)</t>
  </si>
  <si>
    <t>Coal &amp; Related Energy</t>
  </si>
  <si>
    <t>Computer Services</t>
  </si>
  <si>
    <t>Computers/Peripherals</t>
  </si>
  <si>
    <t>Construction Supplies</t>
  </si>
  <si>
    <t>Diversified</t>
  </si>
  <si>
    <t>Drugs (Biotechnology)</t>
  </si>
  <si>
    <t>Drugs (Pharmaceutical)</t>
  </si>
  <si>
    <t>Education</t>
  </si>
  <si>
    <t>Electrical Equipment</t>
  </si>
  <si>
    <t>Electronics (Consumer &amp; Office)</t>
  </si>
  <si>
    <t>Electronics (General)</t>
  </si>
  <si>
    <t>Engineering/Construction</t>
  </si>
  <si>
    <t>Entertainment</t>
  </si>
  <si>
    <t>Environmental &amp; Waste Services</t>
  </si>
  <si>
    <t>Farming/Agriculture</t>
  </si>
  <si>
    <t>Financial Svcs. (Non-bank &amp; Insur</t>
  </si>
  <si>
    <t>Food Processing</t>
  </si>
  <si>
    <t>Food Wholesalers</t>
  </si>
  <si>
    <t>Furn/Home Furnishings</t>
  </si>
  <si>
    <t>Green &amp; Renewable Energy</t>
  </si>
  <si>
    <t>Healthcare Products</t>
  </si>
  <si>
    <t>Healthcare Support Services</t>
  </si>
  <si>
    <t>Heathcare Information and Techno</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</si>
  <si>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</si>
  <si>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</si>
  <si>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</si>
  <si>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</si>
  <si>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</si>
  <si>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</si>
  <si>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</si>
  <si>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</si>
  <si>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</si>
  <si>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</si>
  <si>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</si>
  <si>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</si>
  <si>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</si>
  <si>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t>
  </si>
  <si>
    <t>Oil/Gas Distribution</t>
  </si>
  <si>
    <t>Oilfield Svcs/Equip.</t>
  </si>
  <si>
    <t>Packaging &amp; Container</t>
  </si>
  <si>
    <t>Paper/Forest Products</t>
  </si>
  <si>
    <t>Power</t>
  </si>
  <si>
    <t>Precious Metals</t>
  </si>
  <si>
    <t>Publishing &amp; Newspapers</t>
  </si>
  <si>
    <t>R.E.I.T.</t>
  </si>
  <si>
    <t>Real Estate (Development)</t>
  </si>
  <si>
    <t>Real Estate (General/Diversified)</t>
  </si>
  <si>
    <t>Real Estate (Operations &amp; Service</t>
  </si>
  <si>
    <t>Recreation</t>
  </si>
  <si>
    <t>Reinsurance</t>
  </si>
  <si>
    <t>Restaurant/Dining</t>
  </si>
  <si>
    <t>Retail (Automotive)</t>
  </si>
  <si>
    <t>Retail (Building Supply)</t>
  </si>
  <si>
    <t>Retail (Distributors)</t>
  </si>
  <si>
    <t>Retail (General)</t>
  </si>
  <si>
    <t>Retail (Grocery and Food)</t>
  </si>
  <si>
    <t>Retail (REITs)</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</si>
  <si>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</si>
  <si>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</si>
  <si>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</si>
  <si>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</si>
  <si>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</si>
  <si>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</si>
  <si>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</si>
  <si>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</si>
  <si>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</si>
  <si>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</si>
  <si>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</si>
  <si>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</si>
  <si>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</si>
  <si>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</si>
  <si>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t>
  </si>
  <si>
    <t>Transportation (Railroads)</t>
  </si>
  <si>
    <t>Trucking</t>
  </si>
  <si>
    <t>Utility (General)</t>
  </si>
  <si>
    <t>Utility (Water)</t>
  </si>
  <si>
    <t>Total Market</t>
  </si>
  <si>
    <t>Total Market (without financial</t>
  </si>
  <si>
    <t>BETAS</t>
  </si>
  <si>
    <t>Industry Name</t>
  </si>
  <si>
    <t>SOURCE</t>
  </si>
  <si>
    <t>Tasa
Impuestos MXN</t>
  </si>
  <si>
    <t>Beta Apalancada
al Sector</t>
  </si>
  <si>
    <t>US</t>
  </si>
  <si>
    <t xml:space="preserve"> VALOR DE MARCA</t>
  </si>
  <si>
    <t>RANGO DE REGALIAS</t>
  </si>
  <si>
    <t xml:space="preserve">INGRESOS REALES </t>
  </si>
  <si>
    <t>MIN</t>
  </si>
  <si>
    <t>MAX</t>
  </si>
  <si>
    <t>**Se puede evaluar la parte cualitativa de la marca.</t>
  </si>
  <si>
    <t>2022**</t>
  </si>
  <si>
    <t>CAGR</t>
  </si>
  <si>
    <t>Sector</t>
  </si>
  <si>
    <t>MEDIA</t>
  </si>
  <si>
    <t>INGRESOS HISTORICOS PESOS CORRIENTES</t>
  </si>
  <si>
    <t>INCREMENTOS</t>
  </si>
  <si>
    <t>Tasa de Regalía</t>
  </si>
  <si>
    <t>Homologación</t>
  </si>
  <si>
    <t>PROYECCIÓN</t>
  </si>
  <si>
    <t>PARAMETROS</t>
  </si>
  <si>
    <t>VT</t>
  </si>
  <si>
    <t>AÑOS</t>
  </si>
  <si>
    <t>Eficiencia Operativa</t>
  </si>
  <si>
    <t>CRECIMIENTO SECTOR</t>
  </si>
  <si>
    <t xml:space="preserve">INGRESOS </t>
  </si>
  <si>
    <t>AHORRO EN REGALÍAS</t>
  </si>
  <si>
    <t>GASTO POR MANTENIMIENTO</t>
  </si>
  <si>
    <t>INGRESOS NETOS DE MARCA</t>
  </si>
  <si>
    <t xml:space="preserve"> </t>
  </si>
  <si>
    <t>AHORRO EN REGALÍAS NETO</t>
  </si>
  <si>
    <t>Tasa de Descuento Wacc</t>
  </si>
  <si>
    <t>Van de los flujos de Royalty</t>
  </si>
  <si>
    <t>G de largo plazo (expec. Inflaciíón)</t>
  </si>
  <si>
    <t xml:space="preserve">Estimación del Valor de Marca </t>
  </si>
  <si>
    <t>Margen Superior Valor Marca</t>
  </si>
  <si>
    <t>Estimación del Valor de Marca</t>
  </si>
  <si>
    <t>Margen Inferior Valor Marca</t>
  </si>
  <si>
    <t xml:space="preserve">Beneficio Fiscal </t>
  </si>
  <si>
    <t xml:space="preserve">VALOR DE MARCA TOTAL 
</t>
  </si>
  <si>
    <t>Historical (compounded annual) growth rate in net income and revenues - last 5 years</t>
  </si>
  <si>
    <t>Global</t>
  </si>
  <si>
    <t>https://pages.stern.nyu.edu/~adamodar/pc/datasets/histgr.xls</t>
  </si>
  <si>
    <t>Number of Firms</t>
  </si>
  <si>
    <t>CAGR in Net Income- Last 5 years</t>
  </si>
  <si>
    <t>CAGR in Revenues- Last 5 years</t>
  </si>
  <si>
    <t>Expected Growth in Revenues - Next 2 years</t>
  </si>
  <si>
    <t>Expected Growth in Revenues - Next 5 years</t>
  </si>
  <si>
    <t>Expected Growth in EPS - Next 5 years</t>
  </si>
  <si>
    <t>#DIV/0!</t>
  </si>
  <si>
    <t>Financial Svcs. (Non-bank &amp; Insurance)</t>
  </si>
  <si>
    <t>Heathcare Information and Technology</t>
  </si>
  <si>
    <t>Oil/Gas (Production and Exploration)</t>
  </si>
  <si>
    <t>Real Estate (Operations &amp; Services)</t>
  </si>
  <si>
    <t>Total Market (without financials)</t>
  </si>
  <si>
    <t>Growth(%)</t>
  </si>
  <si>
    <t>Crecimiento (%)</t>
  </si>
  <si>
    <t>EMPRESA</t>
  </si>
  <si>
    <t>Fuente</t>
  </si>
  <si>
    <t>Revenue Growth Rate (5Y)</t>
  </si>
  <si>
    <t>Revenue Growth Rate (3Y)*</t>
  </si>
  <si>
    <t>PayPal Holdings Inc</t>
  </si>
  <si>
    <t>https://www.reuters.com/markets/companies/pypl.o/financials/income-annual</t>
  </si>
  <si>
    <t>FORGUL, S.A.</t>
  </si>
  <si>
    <t>Promedio</t>
  </si>
  <si>
    <t>En miles</t>
  </si>
  <si>
    <t>Crecimiento por Año</t>
  </si>
  <si>
    <t xml:space="preserve">Ingresos Totales </t>
  </si>
  <si>
    <t>Utilidad Operativa</t>
  </si>
  <si>
    <t xml:space="preserve">PLATAFORMA INMOBILIARIA CIEN LADRILLOS, S.A.P.I. DE C.V. </t>
  </si>
  <si>
    <t>S/D</t>
  </si>
  <si>
    <t>**Últimos 3 años.</t>
  </si>
  <si>
    <t>Crecimiento Promedio</t>
  </si>
  <si>
    <t>Total Revenue</t>
  </si>
  <si>
    <t>Operating Income</t>
  </si>
  <si>
    <t>Análisis Vertical</t>
  </si>
  <si>
    <t>Media</t>
  </si>
  <si>
    <t>Promedio*</t>
  </si>
  <si>
    <t>Promedio Sector</t>
  </si>
  <si>
    <t>VALOR CONTABLE</t>
  </si>
  <si>
    <t>ACTIVOS</t>
  </si>
  <si>
    <t>Efectivo y bancos</t>
  </si>
  <si>
    <t>Clientes</t>
  </si>
  <si>
    <t>Inventarios</t>
  </si>
  <si>
    <t>Deudores Diversos</t>
  </si>
  <si>
    <t>Inversiones</t>
  </si>
  <si>
    <t>Impuestos a Favor</t>
  </si>
  <si>
    <t>Mobiliario y Equipo Neto</t>
  </si>
  <si>
    <t>Otros activos</t>
  </si>
  <si>
    <t>Bienes inmobiliarios</t>
  </si>
  <si>
    <t>Dep. En Garantia</t>
  </si>
  <si>
    <t>TOTAL DE ACTIVOS</t>
  </si>
  <si>
    <t>PASIVOS</t>
  </si>
  <si>
    <t>Acreedores Diversos</t>
  </si>
  <si>
    <t>Proveedores</t>
  </si>
  <si>
    <t>Impuestos y Derechos por pagar</t>
  </si>
  <si>
    <t>Acreedores a corto plazo</t>
  </si>
  <si>
    <t>Otros pasivos</t>
  </si>
  <si>
    <t>Impuestos por pagar</t>
  </si>
  <si>
    <t>Documentos por pagar</t>
  </si>
  <si>
    <t>Otros Pasivos</t>
  </si>
  <si>
    <t>TOTAL DE PASIVOS</t>
  </si>
  <si>
    <t>VALOR NETO CONTABLE</t>
  </si>
  <si>
    <t>GRUPO OVANDO CONTRUCCIÓN- IMOBILIARIA- TRANSPORTES S.A. de C.V.</t>
  </si>
  <si>
    <t>Estado de Resultados</t>
  </si>
  <si>
    <t>2025 proyecctado</t>
  </si>
  <si>
    <t>Ventas</t>
  </si>
  <si>
    <t>VENTAS NETAS</t>
  </si>
  <si>
    <t>Costo de Ventas</t>
  </si>
  <si>
    <t>UTILIDAD BRUTA</t>
  </si>
  <si>
    <t xml:space="preserve">COSTOS Y GASTOS </t>
  </si>
  <si>
    <t>Gastos de operación</t>
  </si>
  <si>
    <t>Gastos generales</t>
  </si>
  <si>
    <t>Gastos de administracion</t>
  </si>
  <si>
    <t>UITILIDAD DE LA OPERACIÓN</t>
  </si>
  <si>
    <t>Otros Gastos</t>
  </si>
  <si>
    <t>Otros Ingresos</t>
  </si>
  <si>
    <t>RESULTADO INTEGRAL DE FINANCIAMIENTO</t>
  </si>
  <si>
    <t>ISR diferido</t>
  </si>
  <si>
    <t>ISR</t>
  </si>
  <si>
    <t>Provision de PTU</t>
  </si>
  <si>
    <t>Total Impts</t>
  </si>
  <si>
    <t xml:space="preserve"> UTILDIDAD O PERDIDA NETA DEL AÑO </t>
  </si>
  <si>
    <t>ACTIVO</t>
  </si>
  <si>
    <t>Activo Circulante</t>
  </si>
  <si>
    <t>Efectivo y equivalentes de efectivo</t>
  </si>
  <si>
    <t>Cuentas por cobrar</t>
  </si>
  <si>
    <t>Impuestos a favor</t>
  </si>
  <si>
    <t>otros activos circulantes</t>
  </si>
  <si>
    <t>Deudores diversos</t>
  </si>
  <si>
    <t>Pagos anticipados</t>
  </si>
  <si>
    <t>Activo No Circulante (Largo Plazo)</t>
  </si>
  <si>
    <t>Equipo de transporte</t>
  </si>
  <si>
    <t>Equipo de Computo</t>
  </si>
  <si>
    <t>Mobiliario y equipo de oficina</t>
  </si>
  <si>
    <t>Depreciación acumulada</t>
  </si>
  <si>
    <t>Activos Diferidos</t>
  </si>
  <si>
    <t>Activo Total</t>
  </si>
  <si>
    <t>DEPRECIACION ACUMULADA</t>
  </si>
  <si>
    <t>DEPRECIACION POR PERIODO</t>
  </si>
  <si>
    <t>PASIVO</t>
  </si>
  <si>
    <t>Pasivo Circulante</t>
  </si>
  <si>
    <t>Cuentas y documentos por pagar</t>
  </si>
  <si>
    <t>Acreedores diversos</t>
  </si>
  <si>
    <t>Provisiones</t>
  </si>
  <si>
    <t>Pasivo a largo plazo</t>
  </si>
  <si>
    <t>Dividendos decretados</t>
  </si>
  <si>
    <t>Pasivo por arrendamiento</t>
  </si>
  <si>
    <t>Pasivo Total</t>
  </si>
  <si>
    <t xml:space="preserve">Capital </t>
  </si>
  <si>
    <t>Capital social</t>
  </si>
  <si>
    <t>Resultados acumulados</t>
  </si>
  <si>
    <t>Resultado del ejercicio</t>
  </si>
  <si>
    <t>Capital Total</t>
  </si>
  <si>
    <t>Total Pasivo + Capital</t>
  </si>
  <si>
    <t>%</t>
  </si>
  <si>
    <t>EDO DE RESULTADOS</t>
  </si>
  <si>
    <r>
      <rPr>
        <sz val="11"/>
        <color theme="1"/>
        <rFont val="Calibri"/>
      </rPr>
      <t xml:space="preserve">VENTAS NETAS </t>
    </r>
    <r>
      <rPr>
        <sz val="10"/>
        <color theme="1"/>
        <rFont val="Calibri"/>
      </rPr>
      <t>(1)</t>
    </r>
  </si>
  <si>
    <r>
      <rPr>
        <sz val="11"/>
        <color theme="1"/>
        <rFont val="Calibri"/>
      </rPr>
      <t xml:space="preserve">COSTOS DE VENTAS </t>
    </r>
    <r>
      <rPr>
        <sz val="9"/>
        <color theme="1"/>
        <rFont val="Calibri"/>
      </rPr>
      <t>(2)</t>
    </r>
  </si>
  <si>
    <t>GASTOS DE VENTAS (2)</t>
  </si>
  <si>
    <t>EBIT (UT OPERATIVA)</t>
  </si>
  <si>
    <t>UTILIDAD ANTES DE IMPUESTOS (UAI)</t>
  </si>
  <si>
    <t>(1) INFORMACION PROPORCIONADA DE VENTAS NETAS REALES. INFORMACIÓN PROPORCIONADA POR CLINICA FUTURA.</t>
  </si>
  <si>
    <t xml:space="preserve">(2) INFORMACION DE ESTADOS FINANCIEROS PROPORCIONADOS POR LA EMPRESA CLINICA FUTURA. </t>
  </si>
  <si>
    <t>ANÁLISIS VERTICAL RESULTADOS</t>
  </si>
  <si>
    <t>PROMEDIO</t>
  </si>
  <si>
    <t>DESVEST</t>
  </si>
  <si>
    <t>Max</t>
  </si>
  <si>
    <t>Min</t>
  </si>
  <si>
    <t>Ventas Netas</t>
  </si>
  <si>
    <t>UB</t>
  </si>
  <si>
    <t>EBIT</t>
  </si>
  <si>
    <t>UAI</t>
  </si>
  <si>
    <t>ANÁLISIS HORIZONTAL RESULTADOS</t>
  </si>
  <si>
    <t>(Crecimiento)</t>
  </si>
  <si>
    <t>( % )</t>
  </si>
  <si>
    <t>TASA CRECIMIENTO INTERNA</t>
  </si>
  <si>
    <t>NORMALIZACIÓN</t>
  </si>
  <si>
    <t>COSTOS DE VENTAS</t>
  </si>
  <si>
    <t>GASTOS DE VENTAS</t>
  </si>
  <si>
    <t>EBIT (ESTRUCTURA SECTOR)</t>
  </si>
  <si>
    <t>UTILIDAD NETA</t>
  </si>
  <si>
    <t>TASA FISCAL CORPORATIVA</t>
  </si>
  <si>
    <t>NOPLAT</t>
  </si>
  <si>
    <t>REINVERSIONES</t>
  </si>
  <si>
    <t>REINVERSIONES EN % noplat</t>
  </si>
  <si>
    <t>FCFF</t>
  </si>
  <si>
    <t>"g" CRECIMIENTO</t>
  </si>
  <si>
    <t>ROIC (Sector Damodaran**)</t>
  </si>
  <si>
    <t>REINVERSIONES (Sector Damodaran**)</t>
  </si>
  <si>
    <t>Gdamodaran</t>
  </si>
  <si>
    <t>REINVERSIONES PROM</t>
  </si>
  <si>
    <t>G Nopat</t>
  </si>
  <si>
    <t>g  DAMODARAN</t>
  </si>
  <si>
    <t>g EBIT PROMEDIO</t>
  </si>
  <si>
    <t>g Lplazo</t>
  </si>
  <si>
    <t>VALUACIÓN</t>
  </si>
  <si>
    <t>Item</t>
  </si>
  <si>
    <t>Factor Pv</t>
  </si>
  <si>
    <t>Pv</t>
  </si>
  <si>
    <t>Npv descuento</t>
  </si>
  <si>
    <t>Npv directo</t>
  </si>
  <si>
    <t>VALOR DE LA FIRMA</t>
  </si>
  <si>
    <t>PASIVOS (Dlp)</t>
  </si>
  <si>
    <t>**Reportado al 30 de diciembre de 2019. Información Adjunta de los créditos a largo plazo.</t>
  </si>
  <si>
    <t>CAPITAL MINORITARIO</t>
  </si>
  <si>
    <t>VALOR DEL NEGOCIO</t>
  </si>
  <si>
    <t>VENTAS</t>
  </si>
  <si>
    <t>ROIC</t>
  </si>
  <si>
    <t xml:space="preserve">g </t>
  </si>
  <si>
    <t>g PROMEDIO</t>
  </si>
  <si>
    <t>INGRESOS NETOS</t>
  </si>
  <si>
    <t>TASA FISCAL</t>
  </si>
  <si>
    <t>Utilidad Neta</t>
  </si>
  <si>
    <t>ROE</t>
  </si>
  <si>
    <t>Promedio de reinversión</t>
  </si>
  <si>
    <t>Dividendos</t>
  </si>
  <si>
    <t>% de Dividendos</t>
  </si>
  <si>
    <t>Tasa de Reinversión</t>
  </si>
  <si>
    <t>Crecimiento (g)                            Promedio</t>
  </si>
  <si>
    <t>Crecimiento (g)</t>
  </si>
  <si>
    <t>CAMBIO NETO EN CAPITAL DE TRABAJO OPERATIVO</t>
  </si>
  <si>
    <t>mediageom</t>
  </si>
  <si>
    <t>ROE=</t>
  </si>
  <si>
    <t>Capital de Trabajo (AC-PC)</t>
  </si>
  <si>
    <t>Δ Capital de Trabajo</t>
  </si>
  <si>
    <t>Utilidad de Operación (EBIT)</t>
  </si>
  <si>
    <t>Impuestos (Tax)</t>
  </si>
  <si>
    <t>Utilidad Antes de Impuestos</t>
  </si>
  <si>
    <t>Tasa Impositiva (t)</t>
  </si>
  <si>
    <t>EBIT*(1-t)</t>
  </si>
  <si>
    <t>Depreciación</t>
  </si>
  <si>
    <t>Flujo Bruto de Efectivo (FBE)</t>
  </si>
  <si>
    <t>Capex</t>
  </si>
  <si>
    <t>Incremento Otros Activos</t>
  </si>
  <si>
    <t>Inversión Bruta</t>
  </si>
  <si>
    <t>Flujo de Caja Libre (FCF)</t>
  </si>
  <si>
    <t>Promedio de FCF%</t>
  </si>
  <si>
    <t>FCF% = FCF / EBIT(1-t)</t>
  </si>
  <si>
    <t>Reinversión (1-FCF%)</t>
  </si>
  <si>
    <t>Promedio de Reinversión%</t>
  </si>
  <si>
    <t>Rentabilidad = EBIT / CAPITAL</t>
  </si>
  <si>
    <t>NO SE OCUPA</t>
  </si>
  <si>
    <t>#REF!</t>
  </si>
  <si>
    <t>(Incremento) de efectivo operativo</t>
  </si>
  <si>
    <t>(Incremento) de cuentas por cobrar</t>
  </si>
  <si>
    <t>(Incremento) de inventarios</t>
  </si>
  <si>
    <t>Otros activos circulantes</t>
  </si>
  <si>
    <t>(Incremento) de otros activos circulantes</t>
  </si>
  <si>
    <t>Δ En Activo Circulante</t>
  </si>
  <si>
    <t>Cuentas por pagar</t>
  </si>
  <si>
    <t>(Incremento) de cuentas por pagar</t>
  </si>
  <si>
    <t>(Incremento) de otros pasivos circulantes</t>
  </si>
  <si>
    <t>Δ En  PasivoCirculante</t>
  </si>
  <si>
    <t>CAMBIO NETO EN CAPITAL DE TRABAJO</t>
  </si>
  <si>
    <t>CAPEX</t>
  </si>
  <si>
    <t>Inmuebles, planta y equipo (Neto)</t>
  </si>
  <si>
    <t>Δ Inmuebles, planta y Equipo</t>
  </si>
  <si>
    <t>Capex en % de la Depreciación</t>
  </si>
  <si>
    <t>SE PODRÍA ANALIZAR Y MEJORAR EL CALCULO DEL ROIC</t>
  </si>
  <si>
    <t>Pasivo Circulante (Corto Plazo)</t>
  </si>
  <si>
    <t>Capital Invertido (Ic)</t>
  </si>
  <si>
    <t>Si ROIC&gt; WACC hay excedente de utilidades, lo que genera valor intangible.</t>
  </si>
  <si>
    <t>CAGR Empresa</t>
  </si>
  <si>
    <t>-</t>
  </si>
  <si>
    <t xml:space="preserve">Tasa Crecimiento ROE/Dividendos </t>
  </si>
  <si>
    <t>FLUJOS DE EFECTIVO</t>
  </si>
  <si>
    <t>Modelo a Perpetuidad (Conservador)</t>
  </si>
  <si>
    <t>Modelo de Ventaja Competitiva</t>
  </si>
  <si>
    <t>DIRECCION Y CONTROL DE FRANQUICIAS S.A DE C.V</t>
  </si>
  <si>
    <t>HISTÓRICO</t>
  </si>
  <si>
    <t xml:space="preserve">    G SECTOR 2 YEARS</t>
  </si>
  <si>
    <t xml:space="preserve">PROYECCIÓN </t>
  </si>
  <si>
    <t>Tasa de Crecimiento para Perpetuidad**</t>
  </si>
  <si>
    <t>**Variación Anual Promedio INPC útlimos 9 años</t>
  </si>
  <si>
    <t xml:space="preserve">Inflacion </t>
  </si>
  <si>
    <t>Reinversion=</t>
  </si>
  <si>
    <t xml:space="preserve">Se tomo en consideracion la tasa inflacionaria de 3.65% de acuerdo con las perspectivas de inflacion de Banco Mexico </t>
  </si>
  <si>
    <t xml:space="preserve">    G</t>
  </si>
  <si>
    <t>NOPAT = EBIT (1-t)</t>
  </si>
  <si>
    <t>EBIT (1-t)</t>
  </si>
  <si>
    <t>DEPRECIACIÓN</t>
  </si>
  <si>
    <t>FLUJO BRUTO DE 
EFECTIVO (FBE)</t>
  </si>
  <si>
    <t>FLUJO PROYECTADO =                      EBIT(1-T)* (1+g)</t>
  </si>
  <si>
    <t xml:space="preserve">        WACC -g</t>
  </si>
  <si>
    <t>VALOR TERMINAL</t>
  </si>
  <si>
    <t>FCF</t>
  </si>
  <si>
    <t>INVERSION BRUTA</t>
  </si>
  <si>
    <t>REINVERSION</t>
  </si>
  <si>
    <t>FLUJO DE CAJA LIBRE (FCF)</t>
  </si>
  <si>
    <t>VALOR PRESENTE</t>
  </si>
  <si>
    <t>REINVERSIÓN</t>
  </si>
  <si>
    <t>FCF %</t>
  </si>
  <si>
    <t>∑ VP</t>
  </si>
  <si>
    <t>MEDIA  FCF %</t>
  </si>
  <si>
    <t>DEUDA</t>
  </si>
  <si>
    <t>DEUDA LARGO PLAZO</t>
  </si>
  <si>
    <t>PROMEDIO FCF %</t>
  </si>
  <si>
    <t>VALOR DE CAPITAL ACCIONARIO CAP</t>
  </si>
  <si>
    <t>PARA EL FCF%</t>
  </si>
  <si>
    <t>VALOR NEGOCIO</t>
  </si>
  <si>
    <t>VALOR NEG REDONDEADO</t>
  </si>
  <si>
    <t>REINVERSIÓN [Damodaran]</t>
  </si>
  <si>
    <t>VALOR FIRMA</t>
  </si>
  <si>
    <t>Articulo sexto</t>
  </si>
  <si>
    <t>NÚMERO DE ACCIONES</t>
  </si>
  <si>
    <t>VALOR TOTAL DE LA ENTIDAD</t>
  </si>
  <si>
    <t>VALOR POR ACCIÓN</t>
  </si>
  <si>
    <t>Valor Empresa</t>
  </si>
  <si>
    <t>Valor Marca</t>
  </si>
  <si>
    <t>VENTAS ANUALES POR EL MULTIPLO DE LAS VENTAS</t>
  </si>
  <si>
    <t>%Valor sobre Neg.</t>
  </si>
  <si>
    <t>PROPIO</t>
  </si>
  <si>
    <t xml:space="preserve">FACTOR DE HOMOLOGACION </t>
  </si>
  <si>
    <t xml:space="preserve">Factor Homologacion Operacion + Crecimiento </t>
  </si>
  <si>
    <t xml:space="preserve">Factor Homologacion (Rentabilidad) </t>
  </si>
  <si>
    <t xml:space="preserve">f.h. </t>
  </si>
  <si>
    <t>EBIT / EV (FCFF )</t>
  </si>
  <si>
    <t>EBIT SECTOR</t>
  </si>
  <si>
    <t>EBT HOMOLOGADO</t>
  </si>
  <si>
    <t>EBIT/ EV</t>
  </si>
  <si>
    <t>SALES/EV</t>
  </si>
  <si>
    <t>Corporativo González Vergara S.A de C.V</t>
  </si>
  <si>
    <t>52 ACCIONES</t>
  </si>
  <si>
    <t>Vidal Julián Elías Murillo</t>
  </si>
  <si>
    <t>24 ACCIONES</t>
  </si>
  <si>
    <t>EV/EBIT (FCFF)</t>
  </si>
  <si>
    <t>Juan Alberto Nacíf Figueroa</t>
  </si>
  <si>
    <t>EV/EBIT (SECTOR HOMOLOGADO)</t>
  </si>
  <si>
    <t>VALOR MINIMO DE LA EMPRESA (FCFF)</t>
  </si>
  <si>
    <t>VALOR MAXIMO DE LA EMPRESA (SECTOR HOMOLOGADO)</t>
  </si>
  <si>
    <t>VALOR PROMEDIO DE CONCLUSIÒN (MULTIPLO SECTOR HOMOLOGADO)</t>
  </si>
  <si>
    <t xml:space="preserve">FLUJOS DE EFECTIVO </t>
  </si>
  <si>
    <t xml:space="preserve">40%(APROXIM.) </t>
  </si>
  <si>
    <t>EBIT HOMOLOGADO</t>
  </si>
  <si>
    <t>VALOR DE MERCADO</t>
  </si>
  <si>
    <t>https://medicalcentertecamac.com/especialidades-1</t>
  </si>
  <si>
    <t>Enterprise value multiples by sector</t>
  </si>
  <si>
    <t>https://pages.stern.nyu.edu/~adamodar/pc/datasets/vebitdaGlobal.xls</t>
  </si>
  <si>
    <t>Only positive EBITDA firms</t>
  </si>
  <si>
    <t>All firms</t>
  </si>
  <si>
    <t>EV/EBITDAR&amp;D</t>
  </si>
  <si>
    <t>EV/EBITDA</t>
  </si>
  <si>
    <t>EV/EBIT</t>
  </si>
  <si>
    <t>EV/EBIT (1-t)</t>
  </si>
  <si>
    <t>Tiotal Market</t>
  </si>
  <si>
    <t>MEDICAL CENTER TECAMAC</t>
  </si>
  <si>
    <t xml:space="preserve">NO HAY DATOS </t>
  </si>
  <si>
    <t>Revenue Multiples by Sector (US)</t>
  </si>
  <si>
    <t>Data Used: Multiple data services</t>
  </si>
  <si>
    <t>Date of Analysis: Data used is as of January 2025</t>
  </si>
  <si>
    <t>Download as an excel file instead: https://www.stern.nyu.edu/~adamodar/pc/datasets/psdata.xls</t>
  </si>
  <si>
    <t>For global datasets: https://www.stern.nyu.edu/~adamodar/New_Home_Page/data.html</t>
  </si>
  <si>
    <t>Indusry Name</t>
  </si>
  <si>
    <t>Price/Sales</t>
  </si>
  <si>
    <t>Net Margin</t>
  </si>
  <si>
    <t>EV/Sales</t>
  </si>
  <si>
    <t>Pre-tax Operating Margin</t>
  </si>
  <si>
    <t>Fundamental (Sustainable) growth rate in operating income</t>
  </si>
  <si>
    <t>https://pages.stern.nyu.edu/adamodar/pc/datasets/fundgrEB.xls</t>
  </si>
  <si>
    <t>ROC</t>
  </si>
  <si>
    <t>Reinvestment Rate</t>
  </si>
  <si>
    <t>Expected Growth in EBIT</t>
  </si>
  <si>
    <t>RAZONES FINANCIERAS</t>
  </si>
  <si>
    <t>Pesos Constantes</t>
  </si>
  <si>
    <t>2015</t>
  </si>
  <si>
    <t>UN (Utilidad Neta)</t>
  </si>
  <si>
    <t>Capital Contable</t>
  </si>
  <si>
    <t>AC (Activo Circulante)</t>
  </si>
  <si>
    <t>PC (Pasivo Circulante)</t>
  </si>
  <si>
    <t>AT (Activo Total)</t>
  </si>
  <si>
    <t>PLP (Pasivo de Largo Plazo)</t>
  </si>
  <si>
    <t>PT (Pasivo Total)</t>
  </si>
  <si>
    <t>CC (Capital Contable)</t>
  </si>
  <si>
    <t>CV (Costo de Ventas)</t>
  </si>
  <si>
    <t>CxC Cuentas por Cobrar</t>
  </si>
  <si>
    <t>CxP Cuentas por Pagar</t>
  </si>
  <si>
    <t>UB (Utilidad Bruta)</t>
  </si>
  <si>
    <t>UO (Utilidad Operativa)</t>
  </si>
  <si>
    <t>AFn Activo Fijo Neto</t>
  </si>
  <si>
    <t>Gastos Financieros (Intereses)</t>
  </si>
  <si>
    <t>Rentabilidad Patrimonial</t>
  </si>
  <si>
    <t>ROA</t>
  </si>
  <si>
    <t>ROA (Rentabilidad de Activos)</t>
  </si>
  <si>
    <t>Palanqueo Operativo</t>
  </si>
  <si>
    <t>AF</t>
  </si>
  <si>
    <t>Apalancamiento Financiero</t>
  </si>
  <si>
    <t>Palanqueo Financiero</t>
  </si>
  <si>
    <t>Margen Neto</t>
  </si>
  <si>
    <t>Rotación de Activo Total</t>
  </si>
  <si>
    <t xml:space="preserve">  ROE  [ROA*Apalanca. Fin]</t>
  </si>
  <si>
    <t>Prueba</t>
  </si>
  <si>
    <t>Razón Financiera</t>
  </si>
  <si>
    <t>Expresión</t>
  </si>
  <si>
    <t>Circulante</t>
  </si>
  <si>
    <t>AC/PC</t>
  </si>
  <si>
    <t xml:space="preserve">Esta razón muestra la liquidez de la empresa. La empresa en los últimos 5  años ha cubierto su deuda de Corto Plazo a razon de 11.34 veces. </t>
  </si>
  <si>
    <t>Ácido</t>
  </si>
  <si>
    <t>(AC-Inv)/PC</t>
  </si>
  <si>
    <t>Esta razón muestra la liquidez de la empresa sin contar con los inventarios. La empresa muestra capacidad de liquidez sobre la deuda a corto plazo.</t>
  </si>
  <si>
    <t>Rotación cuentas por cobrar (días)</t>
  </si>
  <si>
    <t>(CxC*365) /Ventas</t>
  </si>
  <si>
    <t>Esto se refiere al número de días que se tarda la empresa en cobrar sus CxC. En promedio la empresa tarda 72 días en cobrar sus Cuentas por Cobrar.</t>
  </si>
  <si>
    <t>Rotación del inventario (días)</t>
  </si>
  <si>
    <t>(Inv*365)/CV</t>
  </si>
  <si>
    <t>Esta relación se refiere al número de días que tarda la empresa en vender sus inventarios. En promedio la empresa tarda 162 días en vender sus inventarios.</t>
  </si>
  <si>
    <t>Rotación del activo fijo</t>
  </si>
  <si>
    <t>Ventas netas/ AFn</t>
  </si>
  <si>
    <t>Esta razón financiera no es posible analizarla, ya que la empresa no reporta activo fijo en las declaraciones fiscales.</t>
  </si>
  <si>
    <t>Apalancamiento</t>
  </si>
  <si>
    <t>PT/CC</t>
  </si>
  <si>
    <t>Esta razón se refiere a la proporcion que representa el Pasivo Total del Capital Contable.  Esta razón muestra un eudentadmiento elevado.</t>
  </si>
  <si>
    <t>Capitalización</t>
  </si>
  <si>
    <t>PLP/CC</t>
  </si>
  <si>
    <t>Esta relación muestra la proporción que representa el Pasivo de Largo Plazo del Capital Contable.  En los últimos 3 años se tiene un 33% de relación de la deuda de largo plazo con el capital contable.</t>
  </si>
  <si>
    <t>NA Sin suficiente información</t>
  </si>
  <si>
    <t>Cobertura de Intereses</t>
  </si>
  <si>
    <t>EBIT/Gastos Financieros(Intereses)</t>
  </si>
  <si>
    <t>No se analiza esta razón financiera.</t>
  </si>
  <si>
    <t>Margen Bruto de Venta</t>
  </si>
  <si>
    <t>UB/Ventas</t>
  </si>
  <si>
    <t>Se refiere a la proporción que representa la Utilidad Bruta de las Ventas.  La empresa presenta un margen bruto del 89%. Esto representa el beneficio que se obtiene de  la diferencia de un producto y su coste de producción.</t>
  </si>
  <si>
    <t>Margen Operativo de Venta</t>
  </si>
  <si>
    <t>UO/Ventas</t>
  </si>
  <si>
    <t>Se refiere a la proporción que representa la Utilidad Operativa de las ventas. Como se aprecia, el promedio de los últimos 4 años corresponde al 5%.</t>
  </si>
  <si>
    <t>YouTube Video Guide</t>
  </si>
  <si>
    <t>Cost of equity and capital (updateable)</t>
  </si>
  <si>
    <t>https://pages.stern.nyu.edu/adamodar/pc/datasets/waccGlobal.xls</t>
  </si>
  <si>
    <t>https://www.stern.nyu.edu/~adamodar/pc/datasets/indname.xls</t>
  </si>
  <si>
    <t>https://www.stern.nyu.edu/~adamodar/New_Home_Page/datafile/variable.htm</t>
  </si>
  <si>
    <t>To update this spreadsheet, enter the following</t>
  </si>
  <si>
    <t>Cost of Debt Lookup Table (based on std dev in stock prices)</t>
  </si>
  <si>
    <t>Long Term Treasury bond rate =</t>
  </si>
  <si>
    <t>Standard Deviation</t>
  </si>
  <si>
    <t>Basis Spread</t>
  </si>
  <si>
    <t>Risk Premium to Use for Equity =</t>
  </si>
  <si>
    <t>Global Default Spread to add to cost of debt =</t>
  </si>
  <si>
    <t>Do you want to use the marginal tax rate for cost of debt?</t>
  </si>
  <si>
    <t>Yes</t>
  </si>
  <si>
    <t>If yes, enter the marginal tax rate to use</t>
  </si>
  <si>
    <t>These costs of capital are in US$. To convert to a different currency, please enter</t>
  </si>
  <si>
    <t>Expected inflation rate in local currency =</t>
  </si>
  <si>
    <t>Expected inflation rate in US $ =</t>
  </si>
  <si>
    <t>Beta</t>
  </si>
  <si>
    <t>Cost of Equity</t>
  </si>
  <si>
    <t>E/(D+E)</t>
  </si>
  <si>
    <t>Std Dev in Stock</t>
  </si>
  <si>
    <t>Cost of Debt</t>
  </si>
  <si>
    <t>Tax Rate</t>
  </si>
  <si>
    <t>After-tax Cost of Debt</t>
  </si>
  <si>
    <t>D/(D+E)</t>
  </si>
  <si>
    <t>Cost of Capital</t>
  </si>
  <si>
    <t>Valor de Marca</t>
  </si>
  <si>
    <t>TABLA DE AMORTIZACION  MARCA (B2E BLUE ENERGY AND ELECTRICITY)</t>
  </si>
  <si>
    <t>Cálculo de Beneficio Fiscal por Deducción de Activo Intangible</t>
  </si>
  <si>
    <t>TAX AMORTIZATION BENEFIT (TAB)</t>
  </si>
  <si>
    <t>Valor de Activo Intangible</t>
  </si>
  <si>
    <t>VALOR DEL ACTIVO</t>
  </si>
  <si>
    <t>Tasa Descuento (Marca)</t>
  </si>
  <si>
    <t>TASA DE CAPITAL</t>
  </si>
  <si>
    <t>Años de Deducción</t>
  </si>
  <si>
    <t>Tasa Fiscal</t>
  </si>
  <si>
    <t>PERIODO (AMORTIZACION)</t>
  </si>
  <si>
    <t>FACTOR DE CAPITALIZACIÓN</t>
  </si>
  <si>
    <t xml:space="preserve">Año </t>
  </si>
  <si>
    <t>Saldo Inicial</t>
  </si>
  <si>
    <t>Monto a Deducir</t>
  </si>
  <si>
    <t>Saldo Final</t>
  </si>
  <si>
    <t>Tasa por Año</t>
  </si>
  <si>
    <t>Beneficio Fiscal</t>
  </si>
  <si>
    <t>Periodo Desc.</t>
  </si>
  <si>
    <t>Factor Desc</t>
  </si>
  <si>
    <t>VP Beneficio Fiscal</t>
  </si>
  <si>
    <t>TASA FISCAL / PERIODO</t>
  </si>
  <si>
    <t>A</t>
  </si>
  <si>
    <t>B</t>
  </si>
  <si>
    <t>C = A - B</t>
  </si>
  <si>
    <t>D</t>
  </si>
  <si>
    <t>E = D * B</t>
  </si>
  <si>
    <t>F</t>
  </si>
  <si>
    <t>G = 1/(1+TASA DESC)^(F)</t>
  </si>
  <si>
    <t>H = G * E</t>
  </si>
  <si>
    <t>TAB</t>
  </si>
  <si>
    <t>Valor de Intangible incluyendo Beneficio Fiscal</t>
  </si>
  <si>
    <t>Efecto por Beneficio Fiscal</t>
  </si>
  <si>
    <t>D = C / A</t>
  </si>
  <si>
    <t xml:space="preserve">Revenue multiples </t>
  </si>
  <si>
    <t> https://www.stern.nyu.edu/~adamodar/pc/datasets/psdata.xls</t>
  </si>
  <si>
    <t>Profit margins (net, operating and EBITDA)</t>
  </si>
  <si>
    <t>https://pages.stern.nyu.edu/~adamodar/pc/datasets/margin.xls</t>
  </si>
  <si>
    <t>Gross Income Based</t>
  </si>
  <si>
    <t>Net Income Based</t>
  </si>
  <si>
    <t>Operating Income Based</t>
  </si>
  <si>
    <t>EBITDA Based</t>
  </si>
  <si>
    <t>Expense Ratios</t>
  </si>
  <si>
    <t>Gross Margin</t>
  </si>
  <si>
    <t>Pre-tax, Pre-stock compensation Operating Margin</t>
  </si>
  <si>
    <t>Pre-tax Unadjusted Operating Margin</t>
  </si>
  <si>
    <t>After-tax Unadjusted Operating Margin</t>
  </si>
  <si>
    <t>Pre-tax Lease adjusted Margin</t>
  </si>
  <si>
    <t>After-tax Lease Adjusted Margin</t>
  </si>
  <si>
    <t>Pre-tax Lease &amp; R&amp;D adj Margin</t>
  </si>
  <si>
    <t>After-tax Lease &amp; R&amp;D adj Margin</t>
  </si>
  <si>
    <t>EBITDA/Sales</t>
  </si>
  <si>
    <t>EBITDASG&amp;A/Sales</t>
  </si>
  <si>
    <t>EBITDAR&amp;D/Sales</t>
  </si>
  <si>
    <t>COGS/Sales</t>
  </si>
  <si>
    <t>R&amp;D/Sales</t>
  </si>
  <si>
    <t>SG&amp;A/ Sales</t>
  </si>
  <si>
    <t>Stock-Based Compensation/Sales</t>
  </si>
  <si>
    <t>Lease Expense/Sales</t>
  </si>
  <si>
    <t>https://pages.stern.nyu.edu/~adamodar/New_Home_Page/datafile/fundgrEB.html</t>
  </si>
  <si>
    <t>Implied Equity Risk Premiums (by year)</t>
  </si>
  <si>
    <t>S&amp;P 500</t>
  </si>
  <si>
    <t>https://pages.stern.nyu.edu/~adamodar/New_Home_Page/data.html</t>
  </si>
  <si>
    <t>Year</t>
  </si>
  <si>
    <t>Earnings Yield</t>
  </si>
  <si>
    <t>Dividend Yield</t>
  </si>
  <si>
    <t>Earnings*</t>
  </si>
  <si>
    <t>Dividends*</t>
  </si>
  <si>
    <t>Dividends + Buybacks</t>
  </si>
  <si>
    <t>Change in Earnings</t>
  </si>
  <si>
    <t>Change in Dividends</t>
  </si>
  <si>
    <t>T.Bill Rate</t>
  </si>
  <si>
    <t>T.Bond Rate</t>
  </si>
  <si>
    <t>Bond-Bill</t>
  </si>
  <si>
    <t>Smoothed Growth</t>
  </si>
  <si>
    <t>Implied Premium (DDM)</t>
  </si>
  <si>
    <t>Analyst Growth Estimate</t>
  </si>
  <si>
    <t>Implied Premium (FCFE)</t>
  </si>
  <si>
    <t>Implied Premium (FCFE with sustainable Payout)</t>
  </si>
  <si>
    <t>ERP/Riskfree Rate</t>
  </si>
  <si>
    <t>* Earnings and dividends numbers each year reflect the estimated numbers as of the end of the year. These numbers get updated later in the year but I do not update the numbers in this spreadsheet, since I would not have had access to them at the end of the year.</t>
  </si>
  <si>
    <t>Period</t>
  </si>
  <si>
    <t>ERP</t>
  </si>
  <si>
    <t>ERP + Riskfree Rate</t>
  </si>
  <si>
    <t>1960-2021</t>
  </si>
  <si>
    <t>2002-2021</t>
  </si>
  <si>
    <t>2012-2021</t>
  </si>
  <si>
    <t>End of 2023</t>
  </si>
  <si>
    <t>M2CROWD, S.A. DE C.V.</t>
  </si>
  <si>
    <t xml:space="preserve">MONIFI, S.A. DE C.V. </t>
  </si>
  <si>
    <t>29/092019</t>
  </si>
  <si>
    <t>29/092020</t>
  </si>
  <si>
    <t>29/092021</t>
  </si>
  <si>
    <t>https://www.stern.nyu.edu/~adamodar/New_Home_Page/data.html</t>
  </si>
  <si>
    <t>Retail (Online)</t>
  </si>
  <si>
    <t>Capital Expenditures, Acquisitions and R&amp;D and Sales/Invested Capital Ratios ($ values in millions)</t>
  </si>
  <si>
    <t>https://pages.stern.nyu.edu/~adamodar/pc/datasets/capex.xls</t>
  </si>
  <si>
    <t>Capital Expenditures (US $ millions)</t>
  </si>
  <si>
    <t>Depreciation &amp; Amort ((US $ millions)</t>
  </si>
  <si>
    <t>Cap Ex/Deprecn</t>
  </si>
  <si>
    <t>Acquisitions (US $ millions)</t>
  </si>
  <si>
    <t>Net R&amp;D (US $ millions)</t>
  </si>
  <si>
    <t>Net Cap Ex/Sales</t>
  </si>
  <si>
    <t>Net Cap Ex/ EBIT (1-t)</t>
  </si>
  <si>
    <t>Sales/ Invested Capital (LTM)</t>
  </si>
  <si>
    <t>Dupont = (Margen de Utilidad X Rotación de Activo Total X Palanca Financiera)</t>
  </si>
  <si>
    <t>•(1) El primer componente de la ecuación nos dice que % de ganancias obtenemos sobre las ventas netas.</t>
  </si>
  <si>
    <t>•(2) El segundo indica, los recursos mínimos requeridos ($)para soportar las ventas netas.</t>
  </si>
  <si>
    <t>•( 3) El tercer componente indica, el importe de capital accionario invertido($) para financiar los recursos mínimos requeridos.</t>
  </si>
  <si>
    <t>• Si en la ecuación Dupont, simplificamos las Ventas Netas, los dos primeros
términos nos dan el ROA, y si posteriormente simplificamos el Activo Total,
obtenemos el ROE.</t>
  </si>
  <si>
    <t>Pesos Corrientes</t>
  </si>
  <si>
    <t>Concepto</t>
  </si>
  <si>
    <t>2016</t>
  </si>
  <si>
    <t>2017</t>
  </si>
  <si>
    <t>2018</t>
  </si>
  <si>
    <t>ANALISIS</t>
  </si>
  <si>
    <t>El margen Neto en el ejercicio 2016 muestra un descenso considerable en comparativa con los demás ejercicios;  el  margen oscila en 19.64% en promedio considerando los últimos 5 años.  La empresa actualmente genera beneficios económicos, sobre la actividad que desempeña.</t>
  </si>
  <si>
    <t>ok</t>
  </si>
  <si>
    <t>La empresa ha mostrado un rendimiento negativo respeto con el activo. La rotación de activo total promedio es de -10.45%. Esta relación se ha mantenido negativo durante los  en los últimos 5 años, obteniendo el mayor rendiemiento de 46.17% en el año 2017.</t>
  </si>
  <si>
    <t xml:space="preserve">Se puede observar que el rendimiento más importante viene del apalancamiento financiero. Durante los últimos 6 años la empresa ha manifestado resultados negativos. </t>
  </si>
  <si>
    <t xml:space="preserve">Esta razón indica la rentabilidad de la empresa en relación con sus activos. Demuestra la efectividad con la que los activos son utilizados para poder generar los ingresos de la compañía. Durante los ultimos 6 años, la empresa no cuentan con rentabilidad suficiente para ser frende su actividad. </t>
  </si>
  <si>
    <t>Indica la efectividad con la que la administración está utilizando las aportaciones realizadas por los accionistas para la generación de ingresos en la compañía. Indica a los accionistas la eficiencia del dinero invertido. Se muestra que para el año 2016 se tuvieron rendimientos por arriba del 100% del capital. Para el año 2018, 2019 y 2020 se manifiesta  un rendimiento sobre el capital, excediendo el 50%. En promedio se ha tenido un rendimiento de 103.69%.</t>
  </si>
  <si>
    <t>http://web.uqroo.mx/archivos/jlesparza/acpef140/Razones%20fins.pdf</t>
  </si>
  <si>
    <t>Country and Equity Risk Premiums</t>
  </si>
  <si>
    <t>Date of update:</t>
  </si>
  <si>
    <t>Enter the current risk premium for a mature equity market</t>
  </si>
  <si>
    <t>Updated January 1, 2021</t>
  </si>
  <si>
    <t>Do you want to adjust the country default spread for the additional volatility of the equity market to get to a country premium?</t>
  </si>
  <si>
    <t>If yes, enter the multiplier to use on the default spread (See worksheet for volatility numbers for selected emerging markets)</t>
  </si>
  <si>
    <t>Country</t>
  </si>
  <si>
    <t>Africa</t>
  </si>
  <si>
    <t>Moody's rating</t>
  </si>
  <si>
    <t>Rating-based Default Spread</t>
  </si>
  <si>
    <t>Total Equity Risk Premium</t>
  </si>
  <si>
    <t>Country Risk Premium</t>
  </si>
  <si>
    <t>Sovereign CDS, net of US</t>
  </si>
  <si>
    <t>Total Equity Risk Premium2</t>
  </si>
  <si>
    <t>Country Risk Premium3</t>
  </si>
  <si>
    <t>Has to be sorted in ascending order</t>
  </si>
  <si>
    <t>Abu Dhabi</t>
  </si>
  <si>
    <t>Middle East</t>
  </si>
  <si>
    <t>Aa2</t>
  </si>
  <si>
    <t>Rating</t>
  </si>
  <si>
    <t>Default spread in basis points</t>
  </si>
  <si>
    <t>Albania</t>
  </si>
  <si>
    <t>Eastern Europe &amp; Russia</t>
  </si>
  <si>
    <t>B1</t>
  </si>
  <si>
    <t>A1</t>
  </si>
  <si>
    <t>Andorra (Principality of)</t>
  </si>
  <si>
    <t>Western Europe</t>
  </si>
  <si>
    <t>Caa1</t>
  </si>
  <si>
    <t>A2</t>
  </si>
  <si>
    <t>Angola</t>
  </si>
  <si>
    <t>A3</t>
  </si>
  <si>
    <t>Argentina</t>
  </si>
  <si>
    <t>Central and South America</t>
  </si>
  <si>
    <t>Ca</t>
  </si>
  <si>
    <t>Aa1</t>
  </si>
  <si>
    <t>Armenia</t>
  </si>
  <si>
    <t>Ba3</t>
  </si>
  <si>
    <t>Aruba</t>
  </si>
  <si>
    <t>Caribbean</t>
  </si>
  <si>
    <t>Baa1</t>
  </si>
  <si>
    <t>Aa3</t>
  </si>
  <si>
    <t>Australia</t>
  </si>
  <si>
    <t>Australia &amp; New Zealand</t>
  </si>
  <si>
    <t>Aaa</t>
  </si>
  <si>
    <t>Austria</t>
  </si>
  <si>
    <t>Azerbaijan</t>
  </si>
  <si>
    <t>Ba2</t>
  </si>
  <si>
    <t>B2</t>
  </si>
  <si>
    <t>Bahamas</t>
  </si>
  <si>
    <t>B3</t>
  </si>
  <si>
    <t>Bahrain</t>
  </si>
  <si>
    <t>Ba1</t>
  </si>
  <si>
    <t>Bangladesh</t>
  </si>
  <si>
    <t>Asia</t>
  </si>
  <si>
    <t>Barbados</t>
  </si>
  <si>
    <t>Belarus</t>
  </si>
  <si>
    <t>Belgium</t>
  </si>
  <si>
    <t>Baa2</t>
  </si>
  <si>
    <t>Belize</t>
  </si>
  <si>
    <t>Caa3</t>
  </si>
  <si>
    <t>Baa3</t>
  </si>
  <si>
    <t>Benin</t>
  </si>
  <si>
    <t>Bermuda</t>
  </si>
  <si>
    <t>Bolivia</t>
  </si>
  <si>
    <t>Bosnia and Herzegovina</t>
  </si>
  <si>
    <t>Botswana</t>
  </si>
  <si>
    <t>Brazil</t>
  </si>
  <si>
    <t>NR</t>
  </si>
  <si>
    <t>Bulgaria</t>
  </si>
  <si>
    <t>Burkina Faso</t>
  </si>
  <si>
    <t>Cambodia</t>
  </si>
  <si>
    <t>Cameroon</t>
  </si>
  <si>
    <t>Canada</t>
  </si>
  <si>
    <t>North America</t>
  </si>
  <si>
    <t>Cape Verde</t>
  </si>
  <si>
    <t>Cayman Islands</t>
  </si>
  <si>
    <t>Chile</t>
  </si>
  <si>
    <t>China</t>
  </si>
  <si>
    <t>Colombia</t>
  </si>
  <si>
    <t>Congo (Democratic Republic of)</t>
  </si>
  <si>
    <t>Congo (Republic of)</t>
  </si>
  <si>
    <t>Caa2</t>
  </si>
  <si>
    <t>Cook Islands</t>
  </si>
  <si>
    <t>Costa Rica</t>
  </si>
  <si>
    <t>Côte d'Ivoire</t>
  </si>
  <si>
    <t>Croatia</t>
  </si>
  <si>
    <t>Cuba</t>
  </si>
  <si>
    <t>Curacao</t>
  </si>
  <si>
    <t>Cyprus</t>
  </si>
  <si>
    <t>Czech Republic</t>
  </si>
  <si>
    <t>Denmark</t>
  </si>
  <si>
    <t>Dominican Republic</t>
  </si>
  <si>
    <t>Ecuador</t>
  </si>
  <si>
    <t>Egypt</t>
  </si>
  <si>
    <t>El Salvador</t>
  </si>
  <si>
    <t>Estonia</t>
  </si>
  <si>
    <t>Ethiopia</t>
  </si>
  <si>
    <t>Fiji</t>
  </si>
  <si>
    <t>Finland</t>
  </si>
  <si>
    <t>France</t>
  </si>
  <si>
    <t>Gabon</t>
  </si>
  <si>
    <t>Georgia</t>
  </si>
  <si>
    <t>Germany</t>
  </si>
  <si>
    <t>Ghana</t>
  </si>
  <si>
    <t>Greece</t>
  </si>
  <si>
    <t>Guatemala</t>
  </si>
  <si>
    <t>Guernsey (States of)</t>
  </si>
  <si>
    <t>Honduras</t>
  </si>
  <si>
    <t>Hong Kong</t>
  </si>
  <si>
    <t>Hungary</t>
  </si>
  <si>
    <t>Iceland</t>
  </si>
  <si>
    <t>India</t>
  </si>
  <si>
    <t>Indonesia</t>
  </si>
  <si>
    <t>Iraq</t>
  </si>
  <si>
    <t>Ireland</t>
  </si>
  <si>
    <t>Isle of Man</t>
  </si>
  <si>
    <t>Israel</t>
  </si>
  <si>
    <t>Italy</t>
  </si>
  <si>
    <t>Jamaica</t>
  </si>
  <si>
    <t>Japan</t>
  </si>
  <si>
    <t>Jersey (States of)</t>
  </si>
  <si>
    <t>Jordan</t>
  </si>
  <si>
    <t>Kazakhstan</t>
  </si>
  <si>
    <t>Kenya</t>
  </si>
  <si>
    <t>Korea</t>
  </si>
  <si>
    <t>Kuwait</t>
  </si>
  <si>
    <t>Kyrgyzstan</t>
  </si>
  <si>
    <t>Laos</t>
  </si>
  <si>
    <t>Latvia</t>
  </si>
  <si>
    <t>Lebanon</t>
  </si>
  <si>
    <t>Liechtenstein</t>
  </si>
  <si>
    <t>Lithuania</t>
  </si>
  <si>
    <t>Luxembourg</t>
  </si>
  <si>
    <t>Macao</t>
  </si>
  <si>
    <t>Macedonia</t>
  </si>
  <si>
    <t>Malaysia</t>
  </si>
  <si>
    <t>Maldives</t>
  </si>
  <si>
    <t>Mali</t>
  </si>
  <si>
    <t>Malta</t>
  </si>
  <si>
    <t>Mauritius</t>
  </si>
  <si>
    <t>Mexico</t>
  </si>
  <si>
    <t>Moldova</t>
  </si>
  <si>
    <t>Mongolia</t>
  </si>
  <si>
    <t>Montenegro</t>
  </si>
  <si>
    <t>Montserrat</t>
  </si>
  <si>
    <t>Morocco</t>
  </si>
  <si>
    <t>Mozambique</t>
  </si>
  <si>
    <t>Namibia</t>
  </si>
  <si>
    <t>Netherlands</t>
  </si>
  <si>
    <t>New Zealand</t>
  </si>
  <si>
    <t>Nicaragua</t>
  </si>
  <si>
    <t>Niger</t>
  </si>
  <si>
    <t>Nigeria</t>
  </si>
  <si>
    <t>Norway</t>
  </si>
  <si>
    <t>Oman</t>
  </si>
  <si>
    <t>Pakistan</t>
  </si>
  <si>
    <t>Panama</t>
  </si>
  <si>
    <t>Papua New Guinea</t>
  </si>
  <si>
    <t>Paraguay</t>
  </si>
  <si>
    <t>Peru</t>
  </si>
  <si>
    <t>Philippines</t>
  </si>
  <si>
    <t>Poland</t>
  </si>
  <si>
    <t>Portugal</t>
  </si>
  <si>
    <t>Qatar</t>
  </si>
  <si>
    <t>Ras Al Khaimah (Emirate of)</t>
  </si>
  <si>
    <t>Romania</t>
  </si>
  <si>
    <t>Russia</t>
  </si>
  <si>
    <t>Rwanda</t>
  </si>
  <si>
    <t>Saudi Arabia</t>
  </si>
  <si>
    <t>Senegal</t>
  </si>
  <si>
    <t>Serbia</t>
  </si>
  <si>
    <t>Sharjah</t>
  </si>
  <si>
    <t>Singapore</t>
  </si>
  <si>
    <t>Slovakia</t>
  </si>
  <si>
    <t>Slovenia</t>
  </si>
  <si>
    <t>Solomon Islands</t>
  </si>
  <si>
    <t>South Africa</t>
  </si>
  <si>
    <t>Spain</t>
  </si>
  <si>
    <t>Sri Lanka</t>
  </si>
  <si>
    <t>St. Maarten</t>
  </si>
  <si>
    <t>St. Vincent &amp; the Grenadines</t>
  </si>
  <si>
    <t>Suriname</t>
  </si>
  <si>
    <t>Swaziland</t>
  </si>
  <si>
    <t>Sweden</t>
  </si>
  <si>
    <t>Switzerland</t>
  </si>
  <si>
    <t>Taiwan</t>
  </si>
  <si>
    <t>Tajikistan</t>
  </si>
  <si>
    <t>Tanzania</t>
  </si>
  <si>
    <t>Thailand</t>
  </si>
  <si>
    <t>Togo</t>
  </si>
  <si>
    <t>Trinidad and Tobago</t>
  </si>
  <si>
    <t>Tunisia</t>
  </si>
  <si>
    <t>Turkey</t>
  </si>
  <si>
    <t>Turks and Caicos Islands</t>
  </si>
  <si>
    <t>Uganda</t>
  </si>
  <si>
    <t>Ukraine</t>
  </si>
  <si>
    <t>United Arab Emirates</t>
  </si>
  <si>
    <t>United Kingdom</t>
  </si>
  <si>
    <t>United States</t>
  </si>
  <si>
    <t>Uruguay</t>
  </si>
  <si>
    <t>Uzbekistan</t>
  </si>
  <si>
    <t>Venezuela</t>
  </si>
  <si>
    <t>Vietnam</t>
  </si>
  <si>
    <t>Zambia</t>
  </si>
  <si>
    <t>Frontier Markets (no sovereign ratings)</t>
  </si>
  <si>
    <t>PRS Composite Risk Score</t>
  </si>
  <si>
    <t>CRP</t>
  </si>
  <si>
    <t>Default Spread</t>
  </si>
  <si>
    <t>Algeria</t>
  </si>
  <si>
    <t>Brunei</t>
  </si>
  <si>
    <t>Gambia</t>
  </si>
  <si>
    <t>Guinea</t>
  </si>
  <si>
    <t>Guinea-Bissau</t>
  </si>
  <si>
    <t>Guyana</t>
  </si>
  <si>
    <t>Haiti</t>
  </si>
  <si>
    <t>Iran</t>
  </si>
  <si>
    <t>Korea, D.P.R.</t>
  </si>
  <si>
    <t>Liberia</t>
  </si>
  <si>
    <t>Libya</t>
  </si>
  <si>
    <t>Madagascar</t>
  </si>
  <si>
    <t>Malawi</t>
  </si>
  <si>
    <t>Myanmar</t>
  </si>
  <si>
    <t>Sierra Leone</t>
  </si>
  <si>
    <t>Somalia</t>
  </si>
  <si>
    <t>Sudan</t>
  </si>
  <si>
    <t>Syria</t>
  </si>
  <si>
    <t>Yemen, Republic</t>
  </si>
  <si>
    <t>Zimbabwe</t>
  </si>
  <si>
    <t>Updated January 1, 2025</t>
  </si>
  <si>
    <t>Nepal</t>
  </si>
  <si>
    <t>https://www.ambito.com/contenidos/riesgo-pais-mexico-historico.html</t>
  </si>
  <si>
    <t>Riesgo país México histórico</t>
  </si>
  <si>
    <t>https://lopezdoriga.com/economia-y-finanzas/economia/riesgo-pais-de-mexico-cierra-semana-sin-cambios/</t>
  </si>
  <si>
    <t>https://www.elfinanciero.com.mx/economia/cae-riesgo-pais-y-crece-apetito-por-deuda-mexicana#:~:text=El%20%C3%ADndice%20riesgo%20pa%C3%ADs%20se,nivel%20desde%20finales%20de%20febrero.&amp;text=A%20la%20par%20que%20se,inversionistas%20extranjeros%20por%20valores%20gubernamentales.</t>
  </si>
  <si>
    <t>Fecha</t>
  </si>
  <si>
    <t>Puntos</t>
  </si>
  <si>
    <t>#ERROR!</t>
  </si>
  <si>
    <t>Bu</t>
  </si>
  <si>
    <t>BL</t>
  </si>
  <si>
    <t>G crecimiento</t>
  </si>
  <si>
    <t>Valor Terminal = NOPLAT (1+g)</t>
  </si>
  <si>
    <t>VALOR DEL NEGOCIO
Números redondos</t>
  </si>
  <si>
    <t>=+D4</t>
  </si>
  <si>
    <t>=+E4</t>
  </si>
  <si>
    <t>=+F4</t>
  </si>
  <si>
    <t>=+G4</t>
  </si>
  <si>
    <t>=+H4</t>
  </si>
  <si>
    <t>=+I4</t>
  </si>
  <si>
    <t>=+J4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</si>
</sst>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8">
    <numFmt numFmtId="164" formatCode="0.000%"/>
    <numFmt numFmtId="165" formatCode="0.000"/>
    <numFmt numFmtId="166" formatCode="_-* #,##0.00_-;\-* #,##0.00_-;_-* &quot;-&quot;??_-;_-@"/>
    <numFmt numFmtId="167" formatCode="_-&quot;$&quot;* #,##0.00_-;\-&quot;$&quot;* #,##0.00_-;_-&quot;$&quot;* &quot;-&quot;??_-;_-@"/>
    <numFmt numFmtId="168" formatCode="_-&quot;$&quot;* #,##0_-;_-&quot;$&quot;* \-#,##0_-;_-&quot;$&quot;* &quot;-&quot;??_-;_-@"/>
    <numFmt numFmtId="169" formatCode="0.0%"/>
    <numFmt numFmtId="170" formatCode="&quot;$&quot;#,##0.00"/>
    <numFmt numFmtId="171" formatCode="&quot;$&quot;#,##0;\-&quot;$&quot;#,##0"/>
    <numFmt numFmtId="172" formatCode="&quot;$&quot;#,##0;[Red]\-&quot;$&quot;#,##0"/>
    <numFmt numFmtId="173" formatCode="0.0000%"/>
    <numFmt numFmtId="174" formatCode="&quot;$&quot;#,##0"/>
    <numFmt numFmtId="175" formatCode="_-&quot;$&quot;* #,##0_-;\-&quot;$&quot;* #,##0_-;_-&quot;$&quot;* &quot;-&quot;??_-;_-@"/>
    <numFmt numFmtId="176" formatCode="0.0000"/>
    <numFmt numFmtId="177" formatCode="&quot;$&quot;#,##0.00;\-&quot;$&quot;#,##0.00"/>
    <numFmt numFmtId="178" formatCode="\ #,##0\ ;[Black]\(#,##0\);\-\ ;"/>
    <numFmt numFmtId="179" formatCode="_-* #,##0_-;\-* #,##0_-;_-* &quot;-&quot;??_-;_-@"/>
    <numFmt numFmtId="180" formatCode="\ #,##0\ ;[Red]\(#,##0\);\-\ ;"/>
    <numFmt numFmtId="181" formatCode="#,##0.0000_ ;\-#,##0.0000\ "/>
    <numFmt numFmtId="182" formatCode="&quot;Wacc = &quot;\ 0.00%"/>
    <numFmt numFmtId="183" formatCode="_-* #,##0.0000_-;\-* #,##0.0000_-;_-* &quot;-&quot;??_-;_-@"/>
    <numFmt numFmtId="184" formatCode="#,##0.00;[Red]\(#,##0.00\);\-\ ;"/>
    <numFmt numFmtId="185" formatCode="[$£-809]#,##0.00"/>
    <numFmt numFmtId="186" formatCode="&quot;$&quot;#,##0.00;[Red]\-&quot;$&quot;#,##0.00"/>
    <numFmt numFmtId="187" formatCode="_-&quot;$&quot;* #,##0.0_-;\-&quot;$&quot;* #,##0.0_-;_-&quot;$&quot;* &quot;-&quot;??_-;_-@"/>
    <numFmt numFmtId="188" formatCode="_-* #,##0.0_-;\-* #,##0.0_-;_-* &quot;-&quot;??_-;_-@"/>
    <numFmt numFmtId="189" formatCode="0.0000000"/>
    <numFmt numFmtId="190" formatCode="[$-409]d\-mmm\-yy"/>
    <numFmt numFmtId="191" formatCode="0.0"/>
  </numFmts>
  <fonts count="183">
    <font>
      <sz val="11"/>
      <color theme="1"/>
      <name val="Calibri"/>
      <scheme val="minor"/>
    </font>
    <font>
      <sz val="11"/>
      <color theme="1"/>
      <name val="Calibri"/>
    </font>
    <font>
      <b/>
      <sz val="9"/>
      <color theme="0"/>
      <name val="Calibri"/>
    </font>
    <font>
      <sz val="11"/>
      <name val="Calibri"/>
    </font>
    <font>
      <sz val="9"/>
      <color theme="1"/>
      <name val="Arial"/>
    </font>
    <font>
      <u/>
      <sz val="10"/>
      <color theme="10"/>
      <name val="Calibri"/>
    </font>
    <font>
      <sz val="10"/>
      <color theme="1"/>
      <name val="Calibri"/>
    </font>
    <font>
      <u/>
      <sz val="10"/>
      <color theme="10"/>
      <name val="Calibri"/>
    </font>
    <font>
      <u/>
      <sz val="11"/>
      <color rgb="FF0000FF"/>
      <name val="Calibri"/>
    </font>
    <font>
      <u/>
      <sz val="10"/>
      <color rgb="FF0000FF"/>
      <name val="Calibri"/>
    </font>
    <font>
      <i/>
      <sz val="10"/>
      <color theme="1"/>
      <name val="Calibri"/>
    </font>
    <font>
      <u/>
      <sz val="11"/>
      <color theme="10"/>
      <name val="Calibri"/>
    </font>
    <font>
      <sz val="8"/>
      <color theme="1"/>
      <name val="Arial"/>
    </font>
    <font>
      <b/>
      <sz val="8"/>
      <color theme="0"/>
      <name val="Arial"/>
    </font>
    <font>
      <sz val="11"/>
      <color theme="0"/>
      <name val="Calibri"/>
    </font>
    <font>
      <b/>
      <sz val="9"/>
      <color theme="0"/>
      <name val="Arial"/>
    </font>
    <font>
      <b/>
      <sz val="11"/>
      <color rgb="FFBFBFBF"/>
      <name val="Arial Narrow"/>
    </font>
    <font>
      <b/>
      <sz val="9"/>
      <color rgb="FFBFBFBF"/>
      <name val="Arial Narrow"/>
    </font>
    <font>
      <b/>
      <sz val="9"/>
      <color theme="1"/>
      <name val="Arial Narrow"/>
    </font>
    <font>
      <sz val="9"/>
      <color theme="1"/>
      <name val="Arial Narrow"/>
    </font>
    <font>
      <b/>
      <sz val="9"/>
      <color theme="0"/>
      <name val="Arial Narrow"/>
    </font>
    <font>
      <sz val="8"/>
      <color theme="0"/>
      <name val="Arial"/>
    </font>
    <font>
      <b/>
      <sz val="8"/>
      <color theme="1"/>
      <name val="Arial"/>
    </font>
    <font>
      <b/>
      <sz val="9"/>
      <color theme="1"/>
      <name val="Arial"/>
    </font>
    <font>
      <b/>
      <u/>
      <sz val="11"/>
      <color theme="1"/>
      <name val="Calibri"/>
    </font>
    <font>
      <b/>
      <sz val="11"/>
      <color theme="1"/>
      <name val="Arial"/>
    </font>
    <font>
      <b/>
      <i/>
      <sz val="11"/>
      <color theme="1"/>
      <name val="Calibri"/>
    </font>
    <font>
      <b/>
      <sz val="13"/>
      <color theme="1"/>
      <name val="Calibri"/>
    </font>
    <font>
      <sz val="14"/>
      <color theme="1"/>
      <name val="Calibri"/>
    </font>
    <font>
      <sz val="12"/>
      <color theme="1"/>
      <name val="Calibri"/>
    </font>
    <font>
      <u/>
      <sz val="11"/>
      <color rgb="FF0000FF"/>
      <name val="Calibri"/>
    </font>
    <font>
      <sz val="11"/>
      <color theme="1"/>
      <name val="Calibri"/>
    </font>
    <font>
      <u/>
      <sz val="11"/>
      <color theme="10"/>
      <name val="Calibri"/>
    </font>
    <font>
      <u/>
      <sz val="11"/>
      <color theme="10"/>
      <name val="Calibri"/>
    </font>
    <font>
      <u/>
      <sz val="11"/>
      <color theme="10"/>
      <name val="Calibri"/>
    </font>
    <font>
      <sz val="11"/>
      <color rgb="FF000000"/>
      <name val="Calibri"/>
    </font>
    <font>
      <b/>
      <sz val="8"/>
      <color rgb="FF000000"/>
      <name val="Arial"/>
    </font>
    <font>
      <b/>
      <sz val="11"/>
      <color theme="1"/>
      <name val="Calibri"/>
    </font>
    <font>
      <sz val="9"/>
      <color rgb="FFFF0000"/>
      <name val="Arial Narrow"/>
    </font>
    <font>
      <b/>
      <sz val="12"/>
      <color rgb="FF000000"/>
      <name val="Arial Narrow"/>
    </font>
    <font>
      <sz val="12"/>
      <color rgb="FF000000"/>
      <name val="Arial"/>
    </font>
    <font>
      <sz val="12"/>
      <color rgb="FF000000"/>
      <name val="Calibri"/>
    </font>
    <font>
      <b/>
      <sz val="12"/>
      <color rgb="FF000000"/>
      <name val="Arial"/>
    </font>
    <font>
      <b/>
      <sz val="15"/>
      <color rgb="FF000000"/>
      <name val="Arial"/>
    </font>
    <font>
      <b/>
      <sz val="12"/>
      <color rgb="FF000000"/>
      <name val="Calibri"/>
    </font>
    <font>
      <i/>
      <sz val="12"/>
      <color rgb="FF000000"/>
      <name val="Calibri"/>
    </font>
    <font>
      <u/>
      <sz val="14"/>
      <color rgb="FF0000FF"/>
      <name val="Calibri"/>
    </font>
    <font>
      <b/>
      <sz val="12"/>
      <color theme="1"/>
      <name val="Calibri"/>
    </font>
    <font>
      <u/>
      <sz val="12"/>
      <color theme="10"/>
      <name val="Calibri"/>
    </font>
    <font>
      <u/>
      <sz val="12"/>
      <color theme="10"/>
      <name val="Calibri"/>
    </font>
    <font>
      <u/>
      <sz val="12"/>
      <color theme="10"/>
      <name val="Calibri"/>
    </font>
    <font>
      <b/>
      <sz val="12"/>
      <color rgb="FFFF0000"/>
      <name val="Calibri"/>
    </font>
    <font>
      <b/>
      <i/>
      <sz val="12"/>
      <color theme="1"/>
      <name val="Calibri"/>
    </font>
    <font>
      <i/>
      <sz val="10"/>
      <color theme="1"/>
      <name val="Verdana"/>
    </font>
    <font>
      <b/>
      <sz val="12"/>
      <color theme="0"/>
      <name val="Calibri"/>
    </font>
    <font>
      <b/>
      <i/>
      <sz val="10"/>
      <color theme="1"/>
      <name val="Verdana"/>
    </font>
    <font>
      <b/>
      <i/>
      <sz val="8"/>
      <color theme="1"/>
      <name val="Verdana"/>
    </font>
    <font>
      <b/>
      <sz val="18"/>
      <color rgb="FFFFFFFF"/>
      <name val="Calibri"/>
    </font>
    <font>
      <sz val="11"/>
      <color theme="1"/>
      <name val="Arial"/>
    </font>
    <font>
      <b/>
      <sz val="11"/>
      <color theme="0"/>
      <name val="Calibri"/>
    </font>
    <font>
      <sz val="11"/>
      <color theme="0"/>
      <name val="Arial"/>
    </font>
    <font>
      <b/>
      <sz val="11"/>
      <color rgb="FFFF0000"/>
      <name val="Calibri"/>
    </font>
    <font>
      <b/>
      <sz val="14"/>
      <color theme="0"/>
      <name val="Calibri"/>
    </font>
    <font>
      <b/>
      <sz val="11"/>
      <color rgb="FFBFBFBF"/>
      <name val="Calibri"/>
    </font>
    <font>
      <u/>
      <sz val="12"/>
      <color theme="10"/>
      <name val="Calibri"/>
    </font>
    <font>
      <i/>
      <sz val="9"/>
      <color theme="1"/>
      <name val="Arimo"/>
    </font>
    <font>
      <i/>
      <sz val="12"/>
      <color theme="1"/>
      <name val="Calibri"/>
    </font>
    <font>
      <sz val="10"/>
      <color theme="1"/>
      <name val="Arial"/>
    </font>
    <font>
      <b/>
      <sz val="9"/>
      <color rgb="FFC00000"/>
      <name val="Arial"/>
    </font>
    <font>
      <sz val="10"/>
      <color theme="0"/>
      <name val="Arial"/>
    </font>
    <font>
      <b/>
      <sz val="8"/>
      <color rgb="FF3F3F3F"/>
      <name val="Knowledge-medium"/>
    </font>
    <font>
      <sz val="9"/>
      <color theme="1"/>
      <name val="Knowledge-medium"/>
    </font>
    <font>
      <sz val="9"/>
      <color theme="0"/>
      <name val="Arial"/>
    </font>
    <font>
      <b/>
      <sz val="7"/>
      <color theme="0"/>
      <name val="Arial"/>
    </font>
    <font>
      <sz val="8"/>
      <color rgb="FF313132"/>
      <name val="Knowledge"/>
    </font>
    <font>
      <sz val="8"/>
      <color theme="1"/>
      <name val="Knowledge"/>
    </font>
    <font>
      <sz val="8"/>
      <color rgb="FF000000"/>
      <name val="Knowledge"/>
    </font>
    <font>
      <sz val="7"/>
      <color rgb="FF000000"/>
      <name val="Arial"/>
    </font>
    <font>
      <b/>
      <sz val="12"/>
      <color theme="0"/>
      <name val="Arial"/>
    </font>
    <font>
      <b/>
      <sz val="10"/>
      <color theme="1"/>
      <name val="Arial"/>
    </font>
    <font>
      <b/>
      <sz val="10"/>
      <color rgb="FFFFFFFF"/>
      <name val="Calibri"/>
    </font>
    <font>
      <b/>
      <sz val="11"/>
      <color rgb="FFFFFFFF"/>
      <name val="Calibri"/>
    </font>
    <font>
      <b/>
      <sz val="16"/>
      <color rgb="FFFFFFFF"/>
      <name val="Arial"/>
    </font>
    <font>
      <b/>
      <sz val="20"/>
      <color theme="1"/>
      <name val="Arial"/>
    </font>
    <font>
      <b/>
      <sz val="12"/>
      <color theme="1"/>
      <name val="Arial"/>
    </font>
    <font>
      <b/>
      <sz val="12"/>
      <color rgb="FFFFFFFF"/>
      <name val="Arial"/>
    </font>
    <font>
      <b/>
      <sz val="11"/>
      <color rgb="FFFFFFFF"/>
      <name val="Arial"/>
    </font>
    <font>
      <sz val="11"/>
      <color rgb="FF000000"/>
      <name val="Arial"/>
    </font>
    <font>
      <b/>
      <sz val="11"/>
      <color rgb="FF0000CC"/>
      <name val="Arial"/>
    </font>
    <font>
      <b/>
      <sz val="11"/>
      <color rgb="FF2A2EA0"/>
      <name val="Arial"/>
    </font>
    <font>
      <sz val="11"/>
      <color rgb="FF2A2EA0"/>
      <name val="Arial"/>
    </font>
    <font>
      <b/>
      <sz val="11"/>
      <color rgb="FF3333CC"/>
      <name val="Arial"/>
    </font>
    <font>
      <b/>
      <sz val="11"/>
      <color rgb="FF0000FF"/>
      <name val="Arial"/>
    </font>
    <font>
      <b/>
      <sz val="11"/>
      <color theme="0"/>
      <name val="Arial"/>
    </font>
    <font>
      <b/>
      <sz val="14"/>
      <color rgb="FFFFFFFF"/>
      <name val="Arial"/>
    </font>
    <font>
      <b/>
      <sz val="14"/>
      <color theme="1"/>
      <name val="Arial"/>
    </font>
    <font>
      <sz val="10"/>
      <color rgb="FF000000"/>
      <name val="Arial"/>
    </font>
    <font>
      <b/>
      <i/>
      <sz val="11"/>
      <color theme="1"/>
      <name val="Arial"/>
    </font>
    <font>
      <i/>
      <sz val="11"/>
      <color theme="1"/>
      <name val="Arial"/>
    </font>
    <font>
      <sz val="11"/>
      <color rgb="FF006100"/>
      <name val="Calibri"/>
    </font>
    <font>
      <sz val="18"/>
      <color rgb="FF0070C0"/>
      <name val="Calibri"/>
    </font>
    <font>
      <b/>
      <sz val="14"/>
      <color theme="1"/>
      <name val="Calibri"/>
    </font>
    <font>
      <b/>
      <sz val="16"/>
      <color theme="0"/>
      <name val="Arial"/>
    </font>
    <font>
      <sz val="18"/>
      <color rgb="FFFFFFFF"/>
      <name val="Calibri"/>
    </font>
    <font>
      <b/>
      <sz val="14"/>
      <color rgb="FFFFFFFF"/>
      <name val="Calibri"/>
    </font>
    <font>
      <sz val="14"/>
      <color rgb="FF0070C0"/>
      <name val="Calibri"/>
    </font>
    <font>
      <sz val="12"/>
      <color rgb="FF0070C0"/>
      <name val="Calibri"/>
    </font>
    <font>
      <sz val="14"/>
      <color theme="0"/>
      <name val="Calibri"/>
    </font>
    <font>
      <sz val="12"/>
      <color theme="1"/>
      <name val="Arial"/>
    </font>
    <font>
      <sz val="18"/>
      <color rgb="FF0070C0"/>
      <name val="Arial"/>
    </font>
    <font>
      <b/>
      <sz val="12"/>
      <color rgb="FF800000"/>
      <name val="Arial"/>
    </font>
    <font>
      <b/>
      <sz val="12"/>
      <color rgb="FF0000CC"/>
      <name val="Arial"/>
    </font>
    <font>
      <b/>
      <sz val="18"/>
      <color theme="1"/>
      <name val="Arial"/>
    </font>
    <font>
      <b/>
      <sz val="11"/>
      <color rgb="FF000000"/>
      <name val="Arial"/>
    </font>
    <font>
      <sz val="11"/>
      <color rgb="FF0000CC"/>
      <name val="Arial"/>
    </font>
    <font>
      <b/>
      <sz val="11"/>
      <color rgb="FF0070C0"/>
      <name val="Arial"/>
    </font>
    <font>
      <sz val="11"/>
      <color rgb="FFFFFFFF"/>
      <name val="Arial"/>
    </font>
    <font>
      <b/>
      <sz val="14"/>
      <color rgb="FF003366"/>
      <name val="Arial"/>
    </font>
    <font>
      <b/>
      <sz val="11"/>
      <color rgb="FF003366"/>
      <name val="Arial"/>
    </font>
    <font>
      <b/>
      <i/>
      <sz val="14"/>
      <color rgb="FF003366"/>
      <name val="Arial"/>
    </font>
    <font>
      <b/>
      <sz val="10"/>
      <color rgb="FF800000"/>
      <name val="Arial"/>
    </font>
    <font>
      <sz val="11"/>
      <color rgb="FFD8D8D8"/>
      <name val="Arial"/>
    </font>
    <font>
      <b/>
      <sz val="12"/>
      <color rgb="FF800000"/>
      <name val="Calibri"/>
    </font>
    <font>
      <b/>
      <sz val="9"/>
      <color rgb="FF800000"/>
      <name val="Arial"/>
    </font>
    <font>
      <b/>
      <sz val="11"/>
      <color rgb="FF800000"/>
      <name val="Arial"/>
    </font>
    <font>
      <b/>
      <sz val="15"/>
      <color rgb="FF800000"/>
      <name val="Arial"/>
    </font>
    <font>
      <b/>
      <sz val="15"/>
      <color theme="1"/>
      <name val="Arial"/>
    </font>
    <font>
      <b/>
      <sz val="10"/>
      <color rgb="FF800000"/>
      <name val="Calibri"/>
    </font>
    <font>
      <b/>
      <sz val="14"/>
      <color rgb="FF800000"/>
      <name val="Times New Roman"/>
    </font>
    <font>
      <b/>
      <sz val="12"/>
      <color rgb="FF800000"/>
      <name val="Times New Roman"/>
    </font>
    <font>
      <sz val="12"/>
      <color rgb="FFFFFFFF"/>
      <name val="Arial"/>
    </font>
    <font>
      <b/>
      <sz val="15"/>
      <color rgb="FFFFFFFF"/>
      <name val="Arial"/>
    </font>
    <font>
      <b/>
      <sz val="13"/>
      <color rgb="FFFFFFFF"/>
      <name val="Arial"/>
    </font>
    <font>
      <sz val="11"/>
      <color rgb="FFFF0000"/>
      <name val="Arial"/>
    </font>
    <font>
      <u/>
      <sz val="11"/>
      <color theme="1"/>
      <name val="Arial"/>
    </font>
    <font>
      <u/>
      <sz val="11"/>
      <color theme="10"/>
      <name val="Calibri"/>
    </font>
    <font>
      <b/>
      <sz val="11"/>
      <color rgb="FF3366FF"/>
      <name val="Calibri"/>
    </font>
    <font>
      <b/>
      <sz val="8"/>
      <color rgb="FF3F3F3F"/>
      <name val="Arial"/>
    </font>
    <font>
      <sz val="11"/>
      <color rgb="FF3F3F3F"/>
      <name val="Calibri"/>
    </font>
    <font>
      <sz val="11"/>
      <color rgb="FF006100"/>
      <name val="Arial"/>
    </font>
    <font>
      <sz val="9"/>
      <color rgb="FFC00000"/>
      <name val="Arial"/>
    </font>
    <font>
      <u/>
      <sz val="12"/>
      <color theme="10"/>
      <name val="Calibri"/>
    </font>
    <font>
      <b/>
      <i/>
      <sz val="9"/>
      <color theme="1"/>
      <name val="Arimo"/>
    </font>
    <font>
      <sz val="9"/>
      <color theme="1"/>
      <name val="Arimo"/>
    </font>
    <font>
      <b/>
      <sz val="9"/>
      <color theme="1"/>
      <name val="Arimo"/>
    </font>
    <font>
      <b/>
      <sz val="10"/>
      <color theme="1"/>
      <name val="Verdana"/>
    </font>
    <font>
      <b/>
      <sz val="16"/>
      <color rgb="FF0C0C0C"/>
      <name val="Arial"/>
    </font>
    <font>
      <sz val="8"/>
      <color rgb="FF0C0C0C"/>
      <name val="Calibri"/>
    </font>
    <font>
      <sz val="12"/>
      <color rgb="FF0C0C0C"/>
      <name val="Arial"/>
    </font>
    <font>
      <b/>
      <i/>
      <sz val="12"/>
      <color rgb="FF0C0C0C"/>
      <name val="Arial"/>
    </font>
    <font>
      <b/>
      <i/>
      <sz val="11"/>
      <color rgb="FF0C0C0C"/>
      <name val="Arial"/>
    </font>
    <font>
      <u/>
      <sz val="15"/>
      <color rgb="FF002060"/>
      <name val="Calibri"/>
    </font>
    <font>
      <sz val="11"/>
      <color rgb="FF00B0F0"/>
      <name val="Calibri"/>
    </font>
    <font>
      <sz val="12"/>
      <color rgb="FFFF0000"/>
      <name val="Calibri"/>
    </font>
    <font>
      <sz val="11"/>
      <color rgb="FF002060"/>
      <name val="Calibri"/>
    </font>
    <font>
      <sz val="15"/>
      <color theme="1"/>
      <name val="Calibri"/>
    </font>
    <font>
      <u/>
      <sz val="12"/>
      <color theme="10"/>
      <name val="Calibri"/>
    </font>
    <font>
      <b/>
      <i/>
      <sz val="12"/>
      <color rgb="FF000000"/>
      <name val="Calibri"/>
    </font>
    <font>
      <sz val="10"/>
      <color theme="1"/>
      <name val="Arimo"/>
    </font>
    <font>
      <u/>
      <sz val="10"/>
      <color rgb="FF0000FF"/>
      <name val="Arimo"/>
    </font>
    <font>
      <u/>
      <sz val="10"/>
      <color rgb="FF0000FF"/>
      <name val="Arimo"/>
    </font>
    <font>
      <u/>
      <sz val="10"/>
      <color rgb="FF0000FF"/>
      <name val="Arimo"/>
    </font>
    <font>
      <i/>
      <sz val="10"/>
      <color theme="1"/>
      <name val="Times"/>
    </font>
    <font>
      <sz val="10"/>
      <color theme="1"/>
      <name val="Times"/>
    </font>
    <font>
      <b/>
      <sz val="10"/>
      <color theme="1"/>
      <name val="Calibri"/>
    </font>
    <font>
      <i/>
      <sz val="10"/>
      <color theme="1"/>
      <name val="Arimo"/>
    </font>
    <font>
      <b/>
      <sz val="16"/>
      <color theme="1"/>
      <name val="Calibri"/>
    </font>
    <font>
      <sz val="14"/>
      <color rgb="FF000000"/>
      <name val="Calibri"/>
    </font>
    <font>
      <u/>
      <sz val="11"/>
      <color theme="1"/>
      <name val="Calibri"/>
    </font>
    <font>
      <sz val="9"/>
      <color theme="1"/>
      <name val="Calibri"/>
    </font>
    <font>
      <b/>
      <sz val="9"/>
      <color theme="1"/>
      <name val="Calibri"/>
    </font>
    <font>
      <sz val="9"/>
      <color rgb="FF000000"/>
      <name val="Arial"/>
    </font>
    <font>
      <b/>
      <sz val="9"/>
      <color rgb="FF3366FF"/>
      <name val="Calibri"/>
    </font>
    <font>
      <b/>
      <sz val="11"/>
      <color rgb="FF006100"/>
      <name val="Arial"/>
    </font>
    <font>
      <b/>
      <sz val="12"/>
      <color theme="1"/>
      <name val="Times"/>
    </font>
    <font>
      <sz val="12"/>
      <color theme="1"/>
      <name val="Times"/>
    </font>
    <font>
      <b/>
      <i/>
      <sz val="12"/>
      <color theme="1"/>
      <name val="Times"/>
    </font>
    <font>
      <i/>
      <sz val="12"/>
      <color theme="1"/>
      <name val="Times"/>
    </font>
    <font>
      <u/>
      <sz val="8"/>
      <color theme="10"/>
      <name val="Calibri"/>
    </font>
    <font>
      <b/>
      <sz val="8"/>
      <color rgb="FFFFFFFF"/>
      <name val="Arial"/>
    </font>
    <font>
      <sz val="8"/>
      <color rgb="FF666666"/>
      <name val="Inherit"/>
    </font>
    <font>
      <vertAlign val="subscript"/>
      <sz val="11"/>
      <color theme="1"/>
      <name val="Calibri"/>
    </font>
    <font>
      <vertAlign val="subscript"/>
      <sz val="11"/>
      <color theme="0"/>
      <name val="Calibri"/>
    </font>
  </fonts>
  <fills count="48">
    <fill>
      <patternFill patternType="none"/>
    </fill>
    <fill>
      <patternFill patternType="gray125"/>
    </fill>
    <fill>
      <patternFill patternType="solid">
        <fgColor rgb="FF656565"/>
        <bgColor rgb="FF656565"/>
      </patternFill>
    </fill>
    <fill>
      <patternFill patternType="solid">
        <fgColor rgb="FF000000"/>
        <bgColor rgb="FF000000"/>
      </patternFill>
    </fill>
    <fill>
      <patternFill patternType="solid">
        <fgColor rgb="FFD9EAD3"/>
        <bgColor rgb="FFD9EAD3"/>
      </patternFill>
    </fill>
    <fill>
      <patternFill patternType="solid">
        <fgColor rgb="FFFFFF00"/>
        <bgColor rgb="FFFFFF00"/>
      </patternFill>
    </fill>
    <fill>
      <patternFill patternType="solid">
        <fgColor rgb="FF548DD4"/>
        <bgColor rgb="FF548DD4"/>
      </patternFill>
    </fill>
    <fill>
      <patternFill patternType="solid">
        <fgColor rgb="FF1F497D"/>
        <bgColor rgb="FF1F497D"/>
      </patternFill>
    </fill>
    <fill>
      <patternFill patternType="solid">
        <fgColor rgb="FFD8D8D8"/>
        <bgColor rgb="FFD8D8D8"/>
      </patternFill>
    </fill>
    <fill>
      <patternFill patternType="solid">
        <fgColor rgb="FFBFBFBF"/>
        <bgColor rgb="FFBFBFBF"/>
      </patternFill>
    </fill>
    <fill>
      <patternFill patternType="solid">
        <fgColor theme="0"/>
        <bgColor theme="0"/>
      </patternFill>
    </fill>
    <fill>
      <patternFill patternType="solid">
        <fgColor rgb="FFDBE5F1"/>
        <bgColor rgb="FFDBE5F1"/>
      </patternFill>
    </fill>
    <fill>
      <patternFill patternType="solid">
        <fgColor rgb="FF0000FF"/>
        <bgColor rgb="FF0000FF"/>
      </patternFill>
    </fill>
    <fill>
      <patternFill patternType="solid">
        <fgColor rgb="FF00B0F0"/>
        <bgColor rgb="FF00B0F0"/>
      </patternFill>
    </fill>
    <fill>
      <patternFill patternType="solid">
        <fgColor rgb="FF244061"/>
        <bgColor rgb="FF244061"/>
      </patternFill>
    </fill>
    <fill>
      <patternFill patternType="solid">
        <fgColor rgb="FF92D050"/>
        <bgColor rgb="FF92D050"/>
      </patternFill>
    </fill>
    <fill>
      <patternFill patternType="solid">
        <fgColor rgb="FF101351"/>
        <bgColor rgb="FF101351"/>
      </patternFill>
    </fill>
    <fill>
      <patternFill patternType="solid">
        <fgColor rgb="FFB8CCE4"/>
        <bgColor rgb="FFB8CCE4"/>
      </patternFill>
    </fill>
    <fill>
      <patternFill patternType="solid">
        <fgColor rgb="FFECECEC"/>
        <bgColor rgb="FFECECEC"/>
      </patternFill>
    </fill>
    <fill>
      <patternFill patternType="solid">
        <fgColor rgb="FF002060"/>
        <bgColor rgb="FF002060"/>
      </patternFill>
    </fill>
    <fill>
      <patternFill patternType="solid">
        <fgColor rgb="FFC6D9F0"/>
        <bgColor rgb="FFC6D9F0"/>
      </patternFill>
    </fill>
    <fill>
      <patternFill patternType="solid">
        <fgColor rgb="FF1C4587"/>
        <bgColor rgb="FF1C4587"/>
      </patternFill>
    </fill>
    <fill>
      <patternFill patternType="solid">
        <fgColor rgb="FFFFFFFF"/>
        <bgColor rgb="FFFFFFFF"/>
      </patternFill>
    </fill>
    <fill>
      <patternFill patternType="solid">
        <fgColor rgb="FFC6EFCE"/>
        <bgColor rgb="FFC6EFCE"/>
      </patternFill>
    </fill>
    <fill>
      <patternFill patternType="solid">
        <fgColor rgb="FFB6DDE8"/>
        <bgColor rgb="FFB6DDE8"/>
      </patternFill>
    </fill>
    <fill>
      <patternFill patternType="solid">
        <fgColor rgb="FF4F6128"/>
        <bgColor rgb="FF4F6128"/>
      </patternFill>
    </fill>
    <fill>
      <patternFill patternType="solid">
        <fgColor rgb="FFD6E3BC"/>
        <bgColor rgb="FFD6E3BC"/>
      </patternFill>
    </fill>
    <fill>
      <patternFill patternType="solid">
        <fgColor rgb="FFEAF1DD"/>
        <bgColor rgb="FFEAF1DD"/>
      </patternFill>
    </fill>
    <fill>
      <patternFill patternType="solid">
        <fgColor rgb="FF2A2EA0"/>
        <bgColor rgb="FF2A2EA0"/>
      </patternFill>
    </fill>
    <fill>
      <patternFill patternType="solid">
        <fgColor rgb="FF95B3D7"/>
        <bgColor rgb="FF95B3D7"/>
      </patternFill>
    </fill>
    <fill>
      <patternFill patternType="solid">
        <fgColor rgb="FF00B050"/>
        <bgColor rgb="FF00B050"/>
      </patternFill>
    </fill>
    <fill>
      <patternFill patternType="solid">
        <fgColor rgb="FF99FF99"/>
        <bgColor rgb="FF99FF99"/>
      </patternFill>
    </fill>
    <fill>
      <patternFill patternType="solid">
        <fgColor rgb="FFFF0000"/>
        <bgColor rgb="FFFF0000"/>
      </patternFill>
    </fill>
    <fill>
      <patternFill patternType="solid">
        <fgColor theme="4"/>
        <bgColor theme="4"/>
      </patternFill>
    </fill>
    <fill>
      <patternFill patternType="solid">
        <fgColor rgb="FFA5A5A5"/>
        <bgColor rgb="FFA5A5A5"/>
      </patternFill>
    </fill>
    <fill>
      <patternFill patternType="solid">
        <fgColor rgb="FFB6D7A8"/>
        <bgColor rgb="FFB6D7A8"/>
      </patternFill>
    </fill>
    <fill>
      <patternFill patternType="solid">
        <fgColor rgb="FF93C47D"/>
        <bgColor rgb="FF93C47D"/>
      </patternFill>
    </fill>
    <fill>
      <patternFill patternType="solid">
        <fgColor rgb="FF20124D"/>
        <bgColor rgb="FF20124D"/>
      </patternFill>
    </fill>
    <fill>
      <patternFill patternType="solid">
        <fgColor rgb="FFD9D9D9"/>
        <bgColor rgb="FFD9D9D9"/>
      </patternFill>
    </fill>
    <fill>
      <patternFill patternType="solid">
        <fgColor rgb="FFF2F2F2"/>
        <bgColor rgb="FFF2F2F2"/>
      </patternFill>
    </fill>
    <fill>
      <patternFill patternType="solid">
        <fgColor rgb="FFFCE5CD"/>
        <bgColor rgb="FFFCE5CD"/>
      </patternFill>
    </fill>
    <fill>
      <patternFill patternType="solid">
        <fgColor rgb="FFFCF305"/>
        <bgColor rgb="FFFCF305"/>
      </patternFill>
    </fill>
    <fill>
      <patternFill patternType="solid">
        <fgColor rgb="FFDAEEF3"/>
        <bgColor rgb="FFDAEEF3"/>
      </patternFill>
    </fill>
    <fill>
      <patternFill patternType="solid">
        <fgColor theme="1"/>
        <bgColor theme="1"/>
      </patternFill>
    </fill>
    <fill>
      <patternFill patternType="solid">
        <fgColor rgb="FFEEECE1"/>
        <bgColor rgb="FFEEECE1"/>
      </patternFill>
    </fill>
    <fill>
      <patternFill patternType="solid">
        <fgColor rgb="FF002040"/>
        <bgColor rgb="FF002040"/>
      </patternFill>
    </fill>
    <fill>
      <patternFill patternType="solid">
        <fgColor rgb="FF0289CB"/>
        <bgColor rgb="FF0289CB"/>
      </patternFill>
    </fill>
    <fill>
      <patternFill patternType="solid">
        <fgColor rgb="FFF9F9F9"/>
        <bgColor rgb="FFF9F9F9"/>
      </patternFill>
    </fill>
  </fills>
  <borders count="13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thin">
        <color rgb="FF595959"/>
      </left>
      <right style="thin">
        <color rgb="FF595959"/>
      </right>
      <top style="thin">
        <color rgb="FF595959"/>
      </top>
      <bottom style="thin">
        <color rgb="FF595959"/>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style="thin">
        <color rgb="FF000000"/>
      </right>
      <top style="thin">
        <color rgb="FF000000"/>
      </top>
      <bottom/>
      <diagonal/>
    </border>
    <border>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diagonal/>
    </border>
    <border>
      <left/>
      <right style="medium">
        <color rgb="FF000000"/>
      </right>
      <top style="thin">
        <color rgb="FF000000"/>
      </top>
      <bottom/>
      <diagonal/>
    </border>
    <border>
      <left style="medium">
        <color rgb="FF000000"/>
      </left>
      <right style="thin">
        <color rgb="FF000000"/>
      </right>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thin">
        <color rgb="FF000000"/>
      </top>
      <bottom style="double">
        <color rgb="FF000000"/>
      </bottom>
      <diagonal/>
    </border>
    <border>
      <left/>
      <right style="medium">
        <color rgb="FF000000"/>
      </right>
      <top style="thin">
        <color rgb="FF000000"/>
      </top>
      <bottom style="double">
        <color rgb="FF000000"/>
      </bottom>
      <diagonal/>
    </border>
    <border>
      <left style="medium">
        <color rgb="FF000000"/>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style="medium">
        <color rgb="FF000000"/>
      </right>
      <top style="medium">
        <color rgb="FF000000"/>
      </top>
      <bottom style="double">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205867"/>
      </left>
      <right style="medium">
        <color rgb="FF000000"/>
      </right>
      <top style="medium">
        <color rgb="FF205867"/>
      </top>
      <bottom/>
      <diagonal/>
    </border>
    <border>
      <left/>
      <right/>
      <top style="medium">
        <color rgb="FF205867"/>
      </top>
      <bottom/>
      <diagonal/>
    </border>
    <border>
      <left/>
      <right style="medium">
        <color rgb="FF000000"/>
      </right>
      <top style="medium">
        <color rgb="FF205867"/>
      </top>
      <bottom/>
      <diagonal/>
    </border>
    <border>
      <left style="medium">
        <color rgb="FF000000"/>
      </left>
      <right/>
      <top style="medium">
        <color rgb="FF205867"/>
      </top>
      <bottom/>
      <diagonal/>
    </border>
    <border>
      <left style="medium">
        <color rgb="FF000000"/>
      </left>
      <right style="medium">
        <color rgb="FF000000"/>
      </right>
      <top style="medium">
        <color rgb="FF205867"/>
      </top>
      <bottom/>
      <diagonal/>
    </border>
    <border>
      <left style="medium">
        <color rgb="FF000000"/>
      </left>
      <right style="medium">
        <color rgb="FF205867"/>
      </right>
      <top style="medium">
        <color rgb="FF205867"/>
      </top>
      <bottom/>
      <diagonal/>
    </border>
    <border>
      <left style="medium">
        <color rgb="FF205867"/>
      </left>
      <right/>
      <top style="dotted">
        <color rgb="FF000000"/>
      </top>
      <bottom style="dotted">
        <color rgb="FF000000"/>
      </bottom>
      <diagonal/>
    </border>
    <border>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dotted">
        <color rgb="FF000000"/>
      </bottom>
      <diagonal/>
    </border>
    <border>
      <left style="medium">
        <color rgb="FF000000"/>
      </left>
      <right style="medium">
        <color rgb="FF000000"/>
      </right>
      <top style="dotted">
        <color rgb="FF000000"/>
      </top>
      <bottom style="dotted">
        <color rgb="FF000000"/>
      </bottom>
      <diagonal/>
    </border>
    <border>
      <left style="medium">
        <color rgb="FF000000"/>
      </left>
      <right style="medium">
        <color rgb="FF205867"/>
      </right>
      <top style="dotted">
        <color rgb="FF000000"/>
      </top>
      <bottom style="dotted">
        <color rgb="FF000000"/>
      </bottom>
      <diagonal/>
    </border>
    <border>
      <left style="medium">
        <color rgb="FF205867"/>
      </left>
      <right/>
      <top style="dotted">
        <color rgb="FF000000"/>
      </top>
      <bottom style="medium">
        <color rgb="FF205867"/>
      </bottom>
      <diagonal/>
    </border>
    <border>
      <left/>
      <right/>
      <top style="dotted">
        <color rgb="FF000000"/>
      </top>
      <bottom style="medium">
        <color rgb="FF205867"/>
      </bottom>
      <diagonal/>
    </border>
    <border>
      <left/>
      <right style="medium">
        <color rgb="FF000000"/>
      </right>
      <top style="dotted">
        <color rgb="FF000000"/>
      </top>
      <bottom style="medium">
        <color rgb="FF205867"/>
      </bottom>
      <diagonal/>
    </border>
    <border>
      <left style="medium">
        <color rgb="FF000000"/>
      </left>
      <right/>
      <top style="dotted">
        <color rgb="FF000000"/>
      </top>
      <bottom style="medium">
        <color rgb="FF205867"/>
      </bottom>
      <diagonal/>
    </border>
    <border>
      <left style="medium">
        <color rgb="FF000000"/>
      </left>
      <right style="medium">
        <color rgb="FF000000"/>
      </right>
      <top style="dotted">
        <color rgb="FF000000"/>
      </top>
      <bottom style="medium">
        <color rgb="FF205867"/>
      </bottom>
      <diagonal/>
    </border>
    <border>
      <left style="medium">
        <color rgb="FF000000"/>
      </left>
      <right style="medium">
        <color rgb="FF205867"/>
      </right>
      <top style="dotted">
        <color rgb="FF000000"/>
      </top>
      <bottom style="medium">
        <color rgb="FF205867"/>
      </bottom>
      <diagonal/>
    </border>
    <border>
      <left style="medium">
        <color rgb="FF000000"/>
      </left>
      <right style="medium">
        <color rgb="FF000000"/>
      </right>
      <top style="medium">
        <color rgb="FF000000"/>
      </top>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dotted">
        <color rgb="FF000000"/>
      </top>
      <bottom style="medium">
        <color rgb="FF000000"/>
      </bottom>
      <diagonal/>
    </border>
    <border>
      <left style="dotted">
        <color rgb="FF000000"/>
      </left>
      <right/>
      <top style="medium">
        <color rgb="FF000000"/>
      </top>
      <bottom style="dotted">
        <color rgb="FF000000"/>
      </bottom>
      <diagonal/>
    </border>
    <border>
      <left/>
      <right/>
      <top style="medium">
        <color rgb="FF000000"/>
      </top>
      <bottom style="dotted">
        <color rgb="FF000000"/>
      </bottom>
      <diagonal/>
    </border>
    <border>
      <left/>
      <right style="dotted">
        <color rgb="FF000000"/>
      </right>
      <top style="medium">
        <color rgb="FF000000"/>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ck">
        <color rgb="FFCCCCCC"/>
      </left>
      <right style="thick">
        <color rgb="FFCCCCCC"/>
      </right>
      <top style="medium">
        <color rgb="FFCCCCCC"/>
      </top>
      <bottom style="thick">
        <color rgb="FFCCCCCC"/>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bottom style="thin">
        <color rgb="FF000000"/>
      </bottom>
      <diagonal/>
    </border>
    <border>
      <left style="medium">
        <color rgb="FF000000"/>
      </left>
      <right/>
      <top/>
      <bottom style="thin">
        <color rgb="FF000000"/>
      </bottom>
      <diagonal/>
    </border>
    <border>
      <left style="medium">
        <color rgb="FF000000"/>
      </left>
      <right style="medium">
        <color rgb="FF000000"/>
      </right>
      <top/>
      <bottom style="medium">
        <color rgb="FF000000"/>
      </bottom>
      <diagonal/>
    </border>
    <border>
      <left style="medium">
        <color rgb="FF000000"/>
      </left>
      <right/>
      <top style="thin">
        <color rgb="FF000000"/>
      </top>
      <bottom/>
      <diagonal/>
    </border>
    <border>
      <left style="thin">
        <color rgb="FF000000"/>
      </left>
      <right/>
      <top/>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right/>
      <top style="thin">
        <color rgb="FF000000"/>
      </top>
      <bottom style="thin">
        <color rgb="FF000000"/>
      </bottom>
      <diagonal/>
    </border>
    <border>
      <left/>
      <right/>
      <top style="thin">
        <color rgb="FF000000"/>
      </top>
      <bottom/>
      <diagonal/>
    </border>
    <border>
      <left/>
      <right/>
      <top/>
      <bottom style="double">
        <color rgb="FF000000"/>
      </bottom>
      <diagonal/>
    </border>
    <border>
      <left style="thin">
        <color rgb="FF000000"/>
      </left>
      <right/>
      <top/>
      <bottom style="thin">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style="medium">
        <color rgb="FF000000"/>
      </bottom>
      <diagonal/>
    </border>
    <border>
      <left style="medium">
        <color rgb="FF000000"/>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FFFFFF"/>
      </left>
      <right/>
      <top/>
      <bottom/>
      <diagonal/>
    </border>
    <border>
      <left/>
      <right/>
      <top style="medium">
        <color rgb="FFDEE2E6"/>
      </top>
      <bottom/>
      <diagonal/>
    </border>
    <border>
      <left/>
      <right/>
      <top style="medium">
        <color rgb="FFDEE2E6"/>
      </top>
      <bottom/>
      <diagonal/>
    </border>
  </borders>
  <cellStyleXfs count="1">
    <xf numFmtId="0" fontId="0" fillId="0" borderId="0"/>
  </cellStyleXfs>
  <cellXfs count="1481">
    <xf numFmtId="0" fontId="0" fillId="0" borderId="0" xfId="0"/>
    <xf numFmtId="0" fontId="1" fillId="0" borderId="0" xfId="0" applyFont="1"/>
    <xf numFmtId="9" fontId="2" fillId="0" borderId="0" xfId="0" applyNumberFormat="1" applyFont="1" applyAlignment="1">
      <alignment horizontal="center"/>
    </xf>
    <xf numFmtId="0" fontId="4" fillId="0" borderId="2" xfId="0" applyFont="1" applyBorder="1"/>
    <xf numFmtId="2" fontId="6" fillId="0" borderId="2" xfId="0" applyNumberFormat="1" applyFont="1" applyBorder="1" applyAlignment="1">
      <alignment horizontal="center"/>
    </xf>
    <xf numFmtId="0" fontId="6" fillId="0" borderId="2" xfId="0" applyFont="1" applyBorder="1" applyAlignment="1">
      <alignment horizontal="center"/>
    </xf>
    <xf numFmtId="0" fontId="6" fillId="0" borderId="2" xfId="0" applyFont="1" applyBorder="1"/>
    <xf numFmtId="0" fontId="7" fillId="0" borderId="2" xfId="0" applyFont="1" applyBorder="1" applyAlignment="1">
      <alignment horizontal="left"/>
    </xf>
    <xf numFmtId="10" fontId="6" fillId="0" borderId="2" xfId="0" applyNumberFormat="1" applyFont="1" applyBorder="1" applyAlignment="1">
      <alignment horizontal="center"/>
    </xf>
    <xf numFmtId="0" fontId="4" fillId="0" borderId="2" xfId="0" applyFont="1" applyBorder="1" applyAlignment="1">
      <alignment horizontal="left"/>
    </xf>
    <xf numFmtId="17" fontId="6" fillId="0" borderId="2" xfId="0" applyNumberFormat="1" applyFont="1" applyBorder="1" applyAlignment="1">
      <alignment horizontal="center"/>
    </xf>
    <xf numFmtId="17" fontId="10" fillId="0" borderId="2" xfId="0" applyNumberFormat="1" applyFont="1" applyBorder="1" applyAlignment="1">
      <alignment horizontal="center"/>
    </xf>
    <xf numFmtId="0" fontId="11" fillId="0" borderId="0" xfId="0" applyFont="1"/>
    <xf numFmtId="0" fontId="12" fillId="0" borderId="2" xfId="0" applyFont="1" applyBorder="1"/>
    <xf numFmtId="0" fontId="1" fillId="0" borderId="2" xfId="0" applyFont="1" applyBorder="1" applyAlignment="1">
      <alignment horizontal="center"/>
    </xf>
    <xf numFmtId="2" fontId="12" fillId="0" borderId="2" xfId="0" applyNumberFormat="1" applyFont="1" applyBorder="1" applyAlignment="1">
      <alignment horizontal="center" vertical="center"/>
    </xf>
    <xf numFmtId="10" fontId="12" fillId="0" borderId="2" xfId="0" applyNumberFormat="1" applyFont="1" applyBorder="1" applyAlignment="1">
      <alignment horizontal="center" vertical="center"/>
    </xf>
    <xf numFmtId="0" fontId="13" fillId="0" borderId="2" xfId="0" applyFont="1" applyBorder="1"/>
    <xf numFmtId="0" fontId="14" fillId="0" borderId="2" xfId="0" applyFont="1" applyBorder="1" applyAlignment="1">
      <alignment horizontal="center"/>
    </xf>
    <xf numFmtId="2" fontId="13" fillId="0" borderId="2" xfId="0" applyNumberFormat="1" applyFont="1" applyBorder="1" applyAlignment="1">
      <alignment horizontal="center" vertical="center"/>
    </xf>
    <xf numFmtId="0" fontId="13" fillId="0" borderId="0" xfId="0" applyFont="1"/>
    <xf numFmtId="0" fontId="15" fillId="0" borderId="0" xfId="0" applyFont="1"/>
    <xf numFmtId="0" fontId="19" fillId="0" borderId="14" xfId="0" applyFont="1" applyBorder="1"/>
    <xf numFmtId="0" fontId="19" fillId="0" borderId="0" xfId="0" applyFont="1"/>
    <xf numFmtId="0" fontId="19" fillId="0" borderId="15" xfId="0" applyFont="1" applyBorder="1"/>
    <xf numFmtId="10" fontId="19" fillId="0" borderId="0" xfId="0" applyNumberFormat="1" applyFont="1"/>
    <xf numFmtId="0" fontId="18" fillId="0" borderId="14" xfId="0" applyFont="1" applyBorder="1" applyAlignment="1">
      <alignment horizontal="right"/>
    </xf>
    <xf numFmtId="10" fontId="20" fillId="0" borderId="16" xfId="0" applyNumberFormat="1" applyFont="1" applyBorder="1" applyAlignment="1">
      <alignment horizontal="center"/>
    </xf>
    <xf numFmtId="0" fontId="19" fillId="0" borderId="17" xfId="0" applyFont="1" applyBorder="1"/>
    <xf numFmtId="0" fontId="19" fillId="0" borderId="18" xfId="0" applyFont="1" applyBorder="1"/>
    <xf numFmtId="0" fontId="19" fillId="0" borderId="19" xfId="0" applyFont="1" applyBorder="1"/>
    <xf numFmtId="0" fontId="21" fillId="0" borderId="0" xfId="0" applyFont="1"/>
    <xf numFmtId="0" fontId="19" fillId="0" borderId="14" xfId="0" applyFont="1" applyBorder="1" applyAlignment="1">
      <alignment horizontal="right"/>
    </xf>
    <xf numFmtId="0" fontId="21" fillId="0" borderId="2" xfId="0" applyFont="1" applyBorder="1"/>
    <xf numFmtId="164" fontId="12" fillId="0" borderId="2" xfId="0" applyNumberFormat="1" applyFont="1" applyBorder="1" applyAlignment="1">
      <alignment horizontal="center"/>
    </xf>
    <xf numFmtId="0" fontId="12" fillId="0" borderId="0" xfId="0" applyFont="1"/>
    <xf numFmtId="165" fontId="12" fillId="0" borderId="2" xfId="0" applyNumberFormat="1" applyFont="1" applyBorder="1" applyAlignment="1">
      <alignment horizontal="center"/>
    </xf>
    <xf numFmtId="9" fontId="19" fillId="0" borderId="0" xfId="0" applyNumberFormat="1" applyFont="1"/>
    <xf numFmtId="10" fontId="12" fillId="0" borderId="2" xfId="0" applyNumberFormat="1" applyFont="1" applyBorder="1" applyAlignment="1">
      <alignment horizontal="center"/>
    </xf>
    <xf numFmtId="10" fontId="1" fillId="0" borderId="0" xfId="0" applyNumberFormat="1" applyFont="1"/>
    <xf numFmtId="10" fontId="22" fillId="0" borderId="0" xfId="0" applyNumberFormat="1" applyFont="1" applyAlignment="1">
      <alignment horizontal="center"/>
    </xf>
    <xf numFmtId="0" fontId="22" fillId="0" borderId="0" xfId="0" applyFont="1" applyAlignment="1">
      <alignment horizontal="center" vertical="center" wrapText="1"/>
    </xf>
    <xf numFmtId="0" fontId="20" fillId="0" borderId="20" xfId="0" applyFont="1" applyBorder="1" applyAlignment="1">
      <alignment horizontal="right"/>
    </xf>
    <xf numFmtId="10" fontId="20" fillId="0" borderId="21" xfId="0" applyNumberFormat="1" applyFont="1" applyBorder="1"/>
    <xf numFmtId="0" fontId="19" fillId="0" borderId="22" xfId="0" applyFont="1" applyBorder="1"/>
    <xf numFmtId="0" fontId="18" fillId="0" borderId="0" xfId="0" applyFont="1" applyAlignment="1">
      <alignment horizontal="right"/>
    </xf>
    <xf numFmtId="10" fontId="23" fillId="0" borderId="0" xfId="0" applyNumberFormat="1" applyFont="1"/>
    <xf numFmtId="0" fontId="4" fillId="0" borderId="0" xfId="0" applyFont="1"/>
    <xf numFmtId="0" fontId="23" fillId="0" borderId="0" xfId="0" applyFont="1"/>
    <xf numFmtId="166" fontId="23" fillId="0" borderId="0" xfId="0" applyNumberFormat="1" applyFont="1"/>
    <xf numFmtId="167" fontId="1" fillId="0" borderId="0" xfId="0" applyNumberFormat="1" applyFont="1"/>
    <xf numFmtId="0" fontId="25" fillId="0" borderId="0" xfId="0" applyFont="1"/>
    <xf numFmtId="0" fontId="26" fillId="0" borderId="0" xfId="0" applyFont="1" applyAlignment="1">
      <alignment horizontal="right"/>
    </xf>
    <xf numFmtId="166" fontId="1" fillId="0" borderId="0" xfId="0" applyNumberFormat="1" applyFont="1"/>
    <xf numFmtId="9" fontId="1" fillId="0" borderId="0" xfId="0" applyNumberFormat="1" applyFont="1"/>
    <xf numFmtId="0" fontId="27" fillId="0" borderId="0" xfId="0" applyFont="1"/>
    <xf numFmtId="0" fontId="27" fillId="0" borderId="2" xfId="0" applyFont="1" applyBorder="1"/>
    <xf numFmtId="0" fontId="28" fillId="0" borderId="2" xfId="0" applyFont="1" applyBorder="1"/>
    <xf numFmtId="10" fontId="29" fillId="0" borderId="2" xfId="0" applyNumberFormat="1" applyFont="1" applyBorder="1" applyAlignment="1">
      <alignment horizontal="right"/>
    </xf>
    <xf numFmtId="0" fontId="1" fillId="0" borderId="2" xfId="0" applyFont="1" applyBorder="1" applyAlignment="1">
      <alignment wrapText="1"/>
    </xf>
    <xf numFmtId="168" fontId="29" fillId="0" borderId="2" xfId="0" applyNumberFormat="1" applyFont="1" applyBorder="1" applyAlignment="1">
      <alignment horizontal="right"/>
    </xf>
    <xf numFmtId="166" fontId="29" fillId="0" borderId="2" xfId="0" applyNumberFormat="1" applyFont="1" applyBorder="1" applyAlignment="1">
      <alignment horizontal="right"/>
    </xf>
    <xf numFmtId="169" fontId="29" fillId="0" borderId="2" xfId="0" applyNumberFormat="1" applyFont="1" applyBorder="1" applyAlignment="1">
      <alignment horizontal="right"/>
    </xf>
    <xf numFmtId="0" fontId="1" fillId="0" borderId="2" xfId="0" applyFont="1" applyBorder="1"/>
    <xf numFmtId="4" fontId="29" fillId="4" borderId="2" xfId="0" applyNumberFormat="1" applyFont="1" applyFill="1" applyBorder="1" applyAlignment="1">
      <alignment horizontal="right"/>
    </xf>
    <xf numFmtId="0" fontId="30" fillId="0" borderId="0" xfId="0" applyFont="1"/>
    <xf numFmtId="0" fontId="31" fillId="0" borderId="0" xfId="0" applyFont="1"/>
    <xf numFmtId="0" fontId="31" fillId="5" borderId="0" xfId="0" applyFont="1" applyFill="1"/>
    <xf numFmtId="0" fontId="33" fillId="0" borderId="2" xfId="0" applyFont="1" applyBorder="1"/>
    <xf numFmtId="0" fontId="23" fillId="0" borderId="0" xfId="0" applyFont="1" applyAlignment="1">
      <alignment horizontal="center"/>
    </xf>
    <xf numFmtId="10" fontId="4" fillId="0" borderId="2" xfId="0" applyNumberFormat="1" applyFont="1" applyBorder="1"/>
    <xf numFmtId="0" fontId="35" fillId="0" borderId="2" xfId="0" applyFont="1" applyBorder="1" applyAlignment="1">
      <alignment horizontal="center"/>
    </xf>
    <xf numFmtId="2" fontId="36" fillId="0" borderId="2" xfId="0" applyNumberFormat="1" applyFont="1" applyBorder="1" applyAlignment="1">
      <alignment horizontal="center" vertical="center"/>
    </xf>
    <xf numFmtId="0" fontId="37" fillId="0" borderId="0" xfId="0" applyFont="1"/>
    <xf numFmtId="10" fontId="18" fillId="0" borderId="16" xfId="0" applyNumberFormat="1" applyFont="1" applyBorder="1" applyAlignment="1">
      <alignment horizontal="center"/>
    </xf>
    <xf numFmtId="10" fontId="18" fillId="0" borderId="0" xfId="0" applyNumberFormat="1" applyFont="1"/>
    <xf numFmtId="164" fontId="22" fillId="0" borderId="2" xfId="0" applyNumberFormat="1" applyFont="1" applyBorder="1" applyAlignment="1">
      <alignment horizontal="center"/>
    </xf>
    <xf numFmtId="165" fontId="22" fillId="0" borderId="2" xfId="0" applyNumberFormat="1" applyFont="1" applyBorder="1" applyAlignment="1">
      <alignment horizontal="center"/>
    </xf>
    <xf numFmtId="10" fontId="22" fillId="0" borderId="2" xfId="0" applyNumberFormat="1" applyFont="1" applyBorder="1" applyAlignment="1">
      <alignment horizontal="center"/>
    </xf>
    <xf numFmtId="10" fontId="38" fillId="0" borderId="0" xfId="0" applyNumberFormat="1" applyFont="1"/>
    <xf numFmtId="10" fontId="18" fillId="0" borderId="21" xfId="0" applyNumberFormat="1" applyFont="1" applyBorder="1"/>
    <xf numFmtId="0" fontId="39" fillId="0" borderId="0" xfId="0" applyFont="1" applyAlignment="1">
      <alignment horizontal="right"/>
    </xf>
    <xf numFmtId="0" fontId="40" fillId="0" borderId="0" xfId="0" applyFont="1"/>
    <xf numFmtId="9" fontId="40" fillId="0" borderId="0" xfId="0" applyNumberFormat="1" applyFont="1"/>
    <xf numFmtId="0" fontId="41" fillId="0" borderId="0" xfId="0" applyFont="1"/>
    <xf numFmtId="0" fontId="42" fillId="0" borderId="0" xfId="0" applyFont="1"/>
    <xf numFmtId="166" fontId="43" fillId="5" borderId="23" xfId="0" applyNumberFormat="1" applyFont="1" applyFill="1" applyBorder="1"/>
    <xf numFmtId="166" fontId="42" fillId="0" borderId="0" xfId="0" applyNumberFormat="1" applyFont="1"/>
    <xf numFmtId="0" fontId="44" fillId="0" borderId="0" xfId="0" applyFont="1"/>
    <xf numFmtId="170" fontId="42" fillId="0" borderId="0" xfId="0" applyNumberFormat="1" applyFont="1"/>
    <xf numFmtId="10" fontId="42" fillId="0" borderId="0" xfId="0" applyNumberFormat="1" applyFont="1"/>
    <xf numFmtId="0" fontId="44" fillId="8" borderId="24" xfId="0" applyFont="1" applyFill="1" applyBorder="1"/>
    <xf numFmtId="0" fontId="29" fillId="0" borderId="0" xfId="0" applyFont="1"/>
    <xf numFmtId="2" fontId="29" fillId="0" borderId="0" xfId="0" applyNumberFormat="1" applyFont="1"/>
    <xf numFmtId="0" fontId="44" fillId="0" borderId="29" xfId="0" applyFont="1" applyBorder="1"/>
    <xf numFmtId="0" fontId="47" fillId="0" borderId="0" xfId="0" applyFont="1"/>
    <xf numFmtId="2" fontId="47" fillId="0" borderId="0" xfId="0" applyNumberFormat="1" applyFont="1"/>
    <xf numFmtId="0" fontId="44" fillId="0" borderId="33" xfId="0" applyFont="1" applyBorder="1"/>
    <xf numFmtId="0" fontId="29" fillId="0" borderId="0" xfId="0" applyFont="1" applyAlignment="1">
      <alignment horizontal="center"/>
    </xf>
    <xf numFmtId="2" fontId="29" fillId="0" borderId="0" xfId="0" applyNumberFormat="1" applyFont="1" applyAlignment="1">
      <alignment horizontal="center"/>
    </xf>
    <xf numFmtId="0" fontId="29" fillId="0" borderId="2" xfId="0" applyFont="1" applyBorder="1" applyAlignment="1">
      <alignment horizontal="center"/>
    </xf>
    <xf numFmtId="0" fontId="51" fillId="0" borderId="0" xfId="0" applyFont="1" applyAlignment="1">
      <alignment horizontal="left"/>
    </xf>
    <xf numFmtId="10" fontId="29" fillId="0" borderId="0" xfId="0" applyNumberFormat="1" applyFont="1" applyAlignment="1">
      <alignment horizontal="center"/>
    </xf>
    <xf numFmtId="10" fontId="29" fillId="0" borderId="2" xfId="0" applyNumberFormat="1" applyFont="1" applyBorder="1" applyAlignment="1">
      <alignment horizontal="center"/>
    </xf>
    <xf numFmtId="0" fontId="53" fillId="10" borderId="2" xfId="0" applyFont="1" applyFill="1" applyBorder="1" applyAlignment="1">
      <alignment horizontal="left" wrapText="1"/>
    </xf>
    <xf numFmtId="0" fontId="53" fillId="10" borderId="2" xfId="0" applyFont="1" applyFill="1" applyBorder="1" applyAlignment="1">
      <alignment horizontal="center" wrapText="1"/>
    </xf>
    <xf numFmtId="2" fontId="53" fillId="10" borderId="2" xfId="0" applyNumberFormat="1" applyFont="1" applyFill="1" applyBorder="1" applyAlignment="1">
      <alignment horizontal="center" wrapText="1"/>
    </xf>
    <xf numFmtId="10" fontId="53" fillId="10" borderId="2" xfId="0" applyNumberFormat="1" applyFont="1" applyFill="1" applyBorder="1" applyAlignment="1">
      <alignment horizontal="center" wrapText="1"/>
    </xf>
    <xf numFmtId="0" fontId="53" fillId="10" borderId="36" xfId="0" applyFont="1" applyFill="1" applyBorder="1" applyAlignment="1">
      <alignment horizontal="center" wrapText="1"/>
    </xf>
    <xf numFmtId="2" fontId="53" fillId="10" borderId="36" xfId="0" applyNumberFormat="1" applyFont="1" applyFill="1" applyBorder="1" applyAlignment="1">
      <alignment horizontal="center" wrapText="1"/>
    </xf>
    <xf numFmtId="0" fontId="41" fillId="8" borderId="2" xfId="0" applyFont="1" applyFill="1" applyBorder="1"/>
    <xf numFmtId="0" fontId="41" fillId="8" borderId="2" xfId="0" applyFont="1" applyFill="1" applyBorder="1" applyAlignment="1">
      <alignment horizontal="center"/>
    </xf>
    <xf numFmtId="10" fontId="41" fillId="8" borderId="2" xfId="0" applyNumberFormat="1" applyFont="1" applyFill="1" applyBorder="1" applyAlignment="1">
      <alignment horizontal="center"/>
    </xf>
    <xf numFmtId="0" fontId="41" fillId="11" borderId="2" xfId="0" applyFont="1" applyFill="1" applyBorder="1"/>
    <xf numFmtId="0" fontId="41" fillId="11" borderId="2" xfId="0" applyFont="1" applyFill="1" applyBorder="1" applyAlignment="1">
      <alignment horizontal="center"/>
    </xf>
    <xf numFmtId="10" fontId="41" fillId="11" borderId="2" xfId="0" applyNumberFormat="1" applyFont="1" applyFill="1" applyBorder="1" applyAlignment="1">
      <alignment horizontal="center"/>
    </xf>
    <xf numFmtId="0" fontId="41" fillId="12" borderId="2" xfId="0" applyFont="1" applyFill="1" applyBorder="1"/>
    <xf numFmtId="0" fontId="44" fillId="8" borderId="2" xfId="0" applyFont="1" applyFill="1" applyBorder="1" applyAlignment="1">
      <alignment horizontal="center"/>
    </xf>
    <xf numFmtId="0" fontId="44" fillId="11" borderId="2" xfId="0" applyFont="1" applyFill="1" applyBorder="1" applyAlignment="1">
      <alignment horizontal="center"/>
    </xf>
    <xf numFmtId="0" fontId="54" fillId="0" borderId="0" xfId="0" applyFont="1" applyAlignment="1">
      <alignment horizontal="center"/>
    </xf>
    <xf numFmtId="0" fontId="55" fillId="0" borderId="2" xfId="0" applyFont="1" applyBorder="1" applyAlignment="1">
      <alignment horizontal="center" vertical="center" wrapText="1"/>
    </xf>
    <xf numFmtId="2" fontId="55" fillId="0" borderId="2" xfId="0" applyNumberFormat="1" applyFont="1" applyBorder="1" applyAlignment="1">
      <alignment horizontal="center" vertical="center" wrapText="1"/>
    </xf>
    <xf numFmtId="0" fontId="47" fillId="0" borderId="2" xfId="0" applyFont="1" applyBorder="1" applyAlignment="1">
      <alignment horizontal="center" vertical="center"/>
    </xf>
    <xf numFmtId="0" fontId="47" fillId="0" borderId="2" xfId="0" applyFont="1" applyBorder="1" applyAlignment="1">
      <alignment horizontal="center" vertical="center" wrapText="1"/>
    </xf>
    <xf numFmtId="0" fontId="56" fillId="0" borderId="2" xfId="0" applyFont="1" applyBorder="1" applyAlignment="1">
      <alignment horizontal="center" vertical="center" wrapText="1"/>
    </xf>
    <xf numFmtId="9" fontId="29" fillId="0" borderId="2" xfId="0" applyNumberFormat="1" applyFont="1" applyBorder="1" applyAlignment="1">
      <alignment horizontal="center"/>
    </xf>
    <xf numFmtId="2" fontId="47" fillId="13" borderId="2" xfId="0" applyNumberFormat="1" applyFont="1" applyFill="1" applyBorder="1" applyAlignment="1">
      <alignment horizontal="center"/>
    </xf>
    <xf numFmtId="0" fontId="37" fillId="0" borderId="0" xfId="0" applyFont="1" applyAlignment="1">
      <alignment horizontal="center"/>
    </xf>
    <xf numFmtId="0" fontId="58" fillId="0" borderId="0" xfId="0" applyFont="1"/>
    <xf numFmtId="0" fontId="59" fillId="0" borderId="0" xfId="0" applyFont="1"/>
    <xf numFmtId="0" fontId="59" fillId="0" borderId="0" xfId="0" applyFont="1" applyAlignment="1">
      <alignment horizontal="center"/>
    </xf>
    <xf numFmtId="169" fontId="37" fillId="0" borderId="0" xfId="0" applyNumberFormat="1" applyFont="1"/>
    <xf numFmtId="169" fontId="37" fillId="0" borderId="0" xfId="0" applyNumberFormat="1" applyFont="1" applyAlignment="1">
      <alignment horizontal="center"/>
    </xf>
    <xf numFmtId="10" fontId="37" fillId="0" borderId="0" xfId="0" applyNumberFormat="1" applyFont="1" applyAlignment="1">
      <alignment horizontal="center"/>
    </xf>
    <xf numFmtId="0" fontId="37" fillId="0" borderId="11" xfId="0" applyFont="1" applyBorder="1"/>
    <xf numFmtId="0" fontId="37" fillId="0" borderId="12" xfId="0" applyFont="1" applyBorder="1" applyAlignment="1">
      <alignment horizontal="center"/>
    </xf>
    <xf numFmtId="0" fontId="25" fillId="0" borderId="12" xfId="0" applyFont="1" applyBorder="1" applyAlignment="1">
      <alignment horizontal="center"/>
    </xf>
    <xf numFmtId="0" fontId="25" fillId="0" borderId="13" xfId="0" applyFont="1" applyBorder="1" applyAlignment="1">
      <alignment horizontal="center"/>
    </xf>
    <xf numFmtId="169" fontId="59" fillId="0" borderId="0" xfId="0" applyNumberFormat="1" applyFont="1" applyAlignment="1">
      <alignment horizontal="center"/>
    </xf>
    <xf numFmtId="0" fontId="37" fillId="0" borderId="20" xfId="0" applyFont="1" applyBorder="1" applyAlignment="1">
      <alignment horizontal="left" wrapText="1"/>
    </xf>
    <xf numFmtId="171" fontId="1" fillId="0" borderId="21" xfId="0" applyNumberFormat="1" applyFont="1" applyBorder="1" applyAlignment="1">
      <alignment horizontal="center"/>
    </xf>
    <xf numFmtId="10" fontId="37" fillId="0" borderId="0" xfId="0" applyNumberFormat="1" applyFont="1"/>
    <xf numFmtId="0" fontId="37" fillId="0" borderId="17" xfId="0" applyFont="1" applyBorder="1" applyAlignment="1">
      <alignment horizontal="left"/>
    </xf>
    <xf numFmtId="169" fontId="37" fillId="0" borderId="18" xfId="0" applyNumberFormat="1" applyFont="1" applyBorder="1" applyAlignment="1">
      <alignment horizontal="center"/>
    </xf>
    <xf numFmtId="169" fontId="37" fillId="0" borderId="19" xfId="0" applyNumberFormat="1" applyFont="1" applyBorder="1" applyAlignment="1">
      <alignment horizontal="center"/>
    </xf>
    <xf numFmtId="10" fontId="25" fillId="0" borderId="0" xfId="0" applyNumberFormat="1" applyFont="1"/>
    <xf numFmtId="9" fontId="37" fillId="0" borderId="0" xfId="0" applyNumberFormat="1" applyFont="1"/>
    <xf numFmtId="0" fontId="59" fillId="0" borderId="2" xfId="0" applyFont="1" applyBorder="1"/>
    <xf numFmtId="0" fontId="37" fillId="0" borderId="11" xfId="0" applyFont="1" applyBorder="1" applyAlignment="1">
      <alignment horizontal="center"/>
    </xf>
    <xf numFmtId="1" fontId="37" fillId="0" borderId="12" xfId="0" applyNumberFormat="1" applyFont="1" applyBorder="1" applyAlignment="1">
      <alignment horizontal="center"/>
    </xf>
    <xf numFmtId="0" fontId="37" fillId="0" borderId="13" xfId="0" applyFont="1" applyBorder="1" applyAlignment="1">
      <alignment horizontal="center"/>
    </xf>
    <xf numFmtId="10" fontId="58" fillId="0" borderId="2" xfId="0" applyNumberFormat="1" applyFont="1" applyBorder="1"/>
    <xf numFmtId="0" fontId="58" fillId="0" borderId="2" xfId="0" applyFont="1" applyBorder="1"/>
    <xf numFmtId="0" fontId="37" fillId="0" borderId="17" xfId="0" applyFont="1" applyBorder="1" applyAlignment="1">
      <alignment horizontal="center"/>
    </xf>
    <xf numFmtId="0" fontId="37" fillId="0" borderId="18" xfId="0" applyFont="1" applyBorder="1" applyAlignment="1">
      <alignment horizontal="center"/>
    </xf>
    <xf numFmtId="0" fontId="25" fillId="0" borderId="18" xfId="0" applyFont="1" applyBorder="1" applyAlignment="1">
      <alignment horizontal="center"/>
    </xf>
    <xf numFmtId="0" fontId="37" fillId="0" borderId="19" xfId="0" applyFont="1" applyBorder="1" applyAlignment="1">
      <alignment horizontal="center"/>
    </xf>
    <xf numFmtId="9" fontId="37" fillId="0" borderId="2" xfId="0" applyNumberFormat="1" applyFont="1" applyBorder="1"/>
    <xf numFmtId="0" fontId="25" fillId="0" borderId="14" xfId="0" applyFont="1" applyBorder="1"/>
    <xf numFmtId="10" fontId="25" fillId="0" borderId="0" xfId="0" applyNumberFormat="1" applyFont="1" applyAlignment="1">
      <alignment horizontal="center"/>
    </xf>
    <xf numFmtId="10" fontId="37" fillId="0" borderId="15" xfId="0" applyNumberFormat="1" applyFont="1" applyBorder="1" applyAlignment="1">
      <alignment horizontal="center"/>
    </xf>
    <xf numFmtId="10" fontId="59" fillId="0" borderId="2" xfId="0" applyNumberFormat="1" applyFont="1" applyBorder="1" applyAlignment="1">
      <alignment vertical="center"/>
    </xf>
    <xf numFmtId="0" fontId="37" fillId="0" borderId="14" xfId="0" applyFont="1" applyBorder="1"/>
    <xf numFmtId="172" fontId="37" fillId="0" borderId="0" xfId="0" applyNumberFormat="1" applyFont="1" applyAlignment="1">
      <alignment horizontal="center"/>
    </xf>
    <xf numFmtId="171" fontId="1" fillId="0" borderId="0" xfId="0" applyNumberFormat="1" applyFont="1" applyAlignment="1">
      <alignment horizontal="center"/>
    </xf>
    <xf numFmtId="171" fontId="1" fillId="0" borderId="15" xfId="0" applyNumberFormat="1" applyFont="1" applyBorder="1" applyAlignment="1">
      <alignment horizontal="center"/>
    </xf>
    <xf numFmtId="173" fontId="25" fillId="0" borderId="0" xfId="0" applyNumberFormat="1" applyFont="1"/>
    <xf numFmtId="174" fontId="1" fillId="0" borderId="0" xfId="0" applyNumberFormat="1" applyFont="1" applyAlignment="1">
      <alignment horizontal="center"/>
    </xf>
    <xf numFmtId="174" fontId="1" fillId="0" borderId="15" xfId="0" applyNumberFormat="1" applyFont="1" applyBorder="1" applyAlignment="1">
      <alignment horizontal="center"/>
    </xf>
    <xf numFmtId="0" fontId="61" fillId="0" borderId="0" xfId="0" applyFont="1"/>
    <xf numFmtId="0" fontId="37" fillId="0" borderId="17" xfId="0" applyFont="1" applyBorder="1"/>
    <xf numFmtId="10" fontId="25" fillId="0" borderId="18" xfId="0" applyNumberFormat="1" applyFont="1" applyBorder="1" applyAlignment="1">
      <alignment horizontal="center"/>
    </xf>
    <xf numFmtId="174" fontId="1" fillId="0" borderId="18" xfId="0" applyNumberFormat="1" applyFont="1" applyBorder="1" applyAlignment="1">
      <alignment horizontal="center"/>
    </xf>
    <xf numFmtId="174" fontId="1" fillId="0" borderId="19" xfId="0" applyNumberFormat="1" applyFont="1" applyBorder="1" applyAlignment="1">
      <alignment horizontal="center"/>
    </xf>
    <xf numFmtId="3" fontId="37" fillId="0" borderId="0" xfId="0" applyNumberFormat="1" applyFont="1"/>
    <xf numFmtId="0" fontId="54" fillId="0" borderId="38" xfId="0" applyFont="1" applyBorder="1"/>
    <xf numFmtId="10" fontId="54" fillId="0" borderId="39" xfId="0" applyNumberFormat="1" applyFont="1" applyBorder="1" applyAlignment="1">
      <alignment horizontal="center"/>
    </xf>
    <xf numFmtId="174" fontId="54" fillId="0" borderId="39" xfId="0" applyNumberFormat="1" applyFont="1" applyBorder="1" applyAlignment="1">
      <alignment horizontal="center"/>
    </xf>
    <xf numFmtId="174" fontId="54" fillId="0" borderId="40" xfId="0" applyNumberFormat="1" applyFont="1" applyBorder="1" applyAlignment="1">
      <alignment horizontal="center"/>
    </xf>
    <xf numFmtId="175" fontId="37" fillId="0" borderId="0" xfId="0" applyNumberFormat="1" applyFont="1"/>
    <xf numFmtId="9" fontId="37" fillId="0" borderId="0" xfId="0" applyNumberFormat="1" applyFont="1" applyAlignment="1">
      <alignment horizontal="center"/>
    </xf>
    <xf numFmtId="167" fontId="37" fillId="0" borderId="0" xfId="0" applyNumberFormat="1" applyFont="1"/>
    <xf numFmtId="174" fontId="1" fillId="0" borderId="41" xfId="0" applyNumberFormat="1" applyFont="1" applyBorder="1" applyAlignment="1">
      <alignment horizontal="center"/>
    </xf>
    <xf numFmtId="174" fontId="1" fillId="0" borderId="42" xfId="0" applyNumberFormat="1" applyFont="1" applyBorder="1" applyAlignment="1">
      <alignment horizontal="center"/>
    </xf>
    <xf numFmtId="0" fontId="37" fillId="0" borderId="15" xfId="0" applyFont="1" applyBorder="1"/>
    <xf numFmtId="0" fontId="37" fillId="0" borderId="20" xfId="0" applyFont="1" applyBorder="1"/>
    <xf numFmtId="10" fontId="37" fillId="0" borderId="21" xfId="0" applyNumberFormat="1" applyFont="1" applyBorder="1" applyAlignment="1">
      <alignment horizontal="center"/>
    </xf>
    <xf numFmtId="171" fontId="37" fillId="0" borderId="20" xfId="0" applyNumberFormat="1" applyFont="1" applyBorder="1" applyAlignment="1">
      <alignment horizontal="center"/>
    </xf>
    <xf numFmtId="171" fontId="37" fillId="0" borderId="21" xfId="0" applyNumberFormat="1" applyFont="1" applyBorder="1" applyAlignment="1">
      <alignment horizontal="center"/>
    </xf>
    <xf numFmtId="171" fontId="37" fillId="0" borderId="22" xfId="0" applyNumberFormat="1" applyFont="1" applyBorder="1" applyAlignment="1">
      <alignment horizontal="center"/>
    </xf>
    <xf numFmtId="171" fontId="62" fillId="0" borderId="45" xfId="0" applyNumberFormat="1" applyFont="1" applyBorder="1" applyAlignment="1">
      <alignment horizontal="right" vertical="center"/>
    </xf>
    <xf numFmtId="166" fontId="58" fillId="0" borderId="0" xfId="0" applyNumberFormat="1" applyFont="1"/>
    <xf numFmtId="10" fontId="58" fillId="0" borderId="0" xfId="0" applyNumberFormat="1" applyFont="1"/>
    <xf numFmtId="3" fontId="37" fillId="0" borderId="0" xfId="0" applyNumberFormat="1" applyFont="1" applyAlignment="1">
      <alignment horizontal="right" vertical="center"/>
    </xf>
    <xf numFmtId="167" fontId="4" fillId="0" borderId="0" xfId="0" applyNumberFormat="1" applyFont="1"/>
    <xf numFmtId="0" fontId="63" fillId="0" borderId="0" xfId="0" applyFont="1"/>
    <xf numFmtId="176" fontId="62" fillId="0" borderId="45" xfId="0" applyNumberFormat="1" applyFont="1" applyBorder="1" applyAlignment="1">
      <alignment vertical="center"/>
    </xf>
    <xf numFmtId="171" fontId="62" fillId="0" borderId="45" xfId="0" applyNumberFormat="1" applyFont="1" applyBorder="1" applyAlignment="1">
      <alignment vertical="center"/>
    </xf>
    <xf numFmtId="171" fontId="37" fillId="0" borderId="0" xfId="0" applyNumberFormat="1" applyFont="1"/>
    <xf numFmtId="177" fontId="37" fillId="0" borderId="0" xfId="0" applyNumberFormat="1" applyFont="1"/>
    <xf numFmtId="0" fontId="44" fillId="0" borderId="29" xfId="0" applyFont="1" applyBorder="1" applyAlignment="1">
      <alignment horizontal="left"/>
    </xf>
    <xf numFmtId="0" fontId="44" fillId="0" borderId="33" xfId="0" applyFont="1" applyBorder="1" applyAlignment="1">
      <alignment horizontal="left"/>
    </xf>
    <xf numFmtId="0" fontId="65" fillId="10" borderId="48" xfId="0" applyFont="1" applyFill="1" applyBorder="1"/>
    <xf numFmtId="0" fontId="65" fillId="10" borderId="36" xfId="0" applyFont="1" applyFill="1" applyBorder="1" applyAlignment="1">
      <alignment horizontal="center"/>
    </xf>
    <xf numFmtId="0" fontId="65" fillId="10" borderId="36" xfId="0" applyFont="1" applyFill="1" applyBorder="1" applyAlignment="1">
      <alignment horizontal="center" wrapText="1"/>
    </xf>
    <xf numFmtId="0" fontId="29" fillId="10" borderId="36" xfId="0" applyFont="1" applyFill="1" applyBorder="1" applyAlignment="1">
      <alignment horizontal="center" wrapText="1"/>
    </xf>
    <xf numFmtId="0" fontId="29" fillId="10" borderId="49" xfId="0" applyFont="1" applyFill="1" applyBorder="1" applyAlignment="1">
      <alignment horizontal="center" wrapText="1"/>
    </xf>
    <xf numFmtId="0" fontId="29" fillId="10" borderId="23" xfId="0" applyFont="1" applyFill="1" applyBorder="1" applyAlignment="1">
      <alignment horizontal="center" wrapText="1"/>
    </xf>
    <xf numFmtId="0" fontId="66" fillId="0" borderId="0" xfId="0" applyFont="1"/>
    <xf numFmtId="0" fontId="66" fillId="0" borderId="0" xfId="0" applyFont="1" applyAlignment="1">
      <alignment wrapText="1"/>
    </xf>
    <xf numFmtId="0" fontId="29" fillId="11" borderId="50" xfId="0" applyFont="1" applyFill="1" applyBorder="1"/>
    <xf numFmtId="0" fontId="29" fillId="11" borderId="2" xfId="0" applyFont="1" applyFill="1" applyBorder="1" applyAlignment="1">
      <alignment horizontal="center"/>
    </xf>
    <xf numFmtId="10" fontId="29" fillId="11" borderId="2" xfId="0" applyNumberFormat="1" applyFont="1" applyFill="1" applyBorder="1" applyAlignment="1">
      <alignment horizontal="center"/>
    </xf>
    <xf numFmtId="10" fontId="29" fillId="11" borderId="51" xfId="0" applyNumberFormat="1" applyFont="1" applyFill="1" applyBorder="1" applyAlignment="1">
      <alignment horizontal="center"/>
    </xf>
    <xf numFmtId="10" fontId="29" fillId="11" borderId="23" xfId="0" applyNumberFormat="1" applyFont="1" applyFill="1" applyBorder="1" applyAlignment="1">
      <alignment horizontal="center"/>
    </xf>
    <xf numFmtId="10" fontId="29" fillId="0" borderId="0" xfId="0" applyNumberFormat="1" applyFont="1"/>
    <xf numFmtId="0" fontId="29" fillId="8" borderId="50" xfId="0" applyFont="1" applyFill="1" applyBorder="1"/>
    <xf numFmtId="0" fontId="29" fillId="8" borderId="2" xfId="0" applyFont="1" applyFill="1" applyBorder="1" applyAlignment="1">
      <alignment horizontal="center"/>
    </xf>
    <xf numFmtId="10" fontId="29" fillId="8" borderId="2" xfId="0" applyNumberFormat="1" applyFont="1" applyFill="1" applyBorder="1" applyAlignment="1">
      <alignment horizontal="center"/>
    </xf>
    <xf numFmtId="10" fontId="29" fillId="8" borderId="51" xfId="0" applyNumberFormat="1" applyFont="1" applyFill="1" applyBorder="1" applyAlignment="1">
      <alignment horizontal="center"/>
    </xf>
    <xf numFmtId="10" fontId="29" fillId="8" borderId="23" xfId="0" applyNumberFormat="1" applyFont="1" applyFill="1" applyBorder="1" applyAlignment="1">
      <alignment horizontal="center"/>
    </xf>
    <xf numFmtId="0" fontId="29" fillId="11" borderId="51" xfId="0" applyFont="1" applyFill="1" applyBorder="1" applyAlignment="1">
      <alignment horizontal="center"/>
    </xf>
    <xf numFmtId="0" fontId="47" fillId="15" borderId="50" xfId="0" applyFont="1" applyFill="1" applyBorder="1"/>
    <xf numFmtId="10" fontId="47" fillId="0" borderId="0" xfId="0" applyNumberFormat="1" applyFont="1"/>
    <xf numFmtId="0" fontId="29" fillId="11" borderId="52" xfId="0" applyFont="1" applyFill="1" applyBorder="1"/>
    <xf numFmtId="0" fontId="29" fillId="11" borderId="53" xfId="0" applyFont="1" applyFill="1" applyBorder="1" applyAlignment="1">
      <alignment horizontal="center"/>
    </xf>
    <xf numFmtId="10" fontId="29" fillId="11" borderId="53" xfId="0" applyNumberFormat="1" applyFont="1" applyFill="1" applyBorder="1" applyAlignment="1">
      <alignment horizontal="center"/>
    </xf>
    <xf numFmtId="10" fontId="29" fillId="11" borderId="54" xfId="0" applyNumberFormat="1" applyFont="1" applyFill="1" applyBorder="1" applyAlignment="1">
      <alignment horizontal="center"/>
    </xf>
    <xf numFmtId="0" fontId="29" fillId="8" borderId="23" xfId="0" applyFont="1" applyFill="1" applyBorder="1" applyAlignment="1">
      <alignment horizontal="left"/>
    </xf>
    <xf numFmtId="0" fontId="29" fillId="8" borderId="23" xfId="0" applyFont="1" applyFill="1" applyBorder="1"/>
    <xf numFmtId="10" fontId="29" fillId="8" borderId="23" xfId="0" applyNumberFormat="1" applyFont="1" applyFill="1" applyBorder="1"/>
    <xf numFmtId="0" fontId="29" fillId="11" borderId="23" xfId="0" applyFont="1" applyFill="1" applyBorder="1" applyAlignment="1">
      <alignment horizontal="left"/>
    </xf>
    <xf numFmtId="0" fontId="29" fillId="11" borderId="23" xfId="0" applyFont="1" applyFill="1" applyBorder="1"/>
    <xf numFmtId="10" fontId="29" fillId="11" borderId="23" xfId="0" applyNumberFormat="1" applyFont="1" applyFill="1" applyBorder="1"/>
    <xf numFmtId="0" fontId="29" fillId="0" borderId="0" xfId="0" applyFont="1" applyAlignment="1">
      <alignment horizontal="left"/>
    </xf>
    <xf numFmtId="0" fontId="67" fillId="0" borderId="0" xfId="0" applyFont="1"/>
    <xf numFmtId="0" fontId="67" fillId="10" borderId="23" xfId="0" applyFont="1" applyFill="1" applyBorder="1"/>
    <xf numFmtId="0" fontId="69" fillId="16" borderId="23" xfId="0" applyFont="1" applyFill="1" applyBorder="1"/>
    <xf numFmtId="0" fontId="70" fillId="17" borderId="2" xfId="0" applyFont="1" applyFill="1" applyBorder="1" applyAlignment="1">
      <alignment horizontal="center" vertical="center" wrapText="1"/>
    </xf>
    <xf numFmtId="0" fontId="23" fillId="0" borderId="2" xfId="0" applyFont="1" applyBorder="1" applyAlignment="1">
      <alignment horizontal="center"/>
    </xf>
    <xf numFmtId="10" fontId="71" fillId="0" borderId="2" xfId="0" applyNumberFormat="1" applyFont="1" applyBorder="1" applyAlignment="1">
      <alignment horizontal="right"/>
    </xf>
    <xf numFmtId="167" fontId="67" fillId="0" borderId="0" xfId="0" applyNumberFormat="1" applyFont="1"/>
    <xf numFmtId="0" fontId="23" fillId="18" borderId="36" xfId="0" applyFont="1" applyFill="1" applyBorder="1" applyAlignment="1">
      <alignment horizontal="center" vertical="center" wrapText="1"/>
    </xf>
    <xf numFmtId="10" fontId="4" fillId="0" borderId="2" xfId="0" applyNumberFormat="1" applyFont="1" applyBorder="1" applyAlignment="1">
      <alignment horizontal="right"/>
    </xf>
    <xf numFmtId="0" fontId="23" fillId="0" borderId="2" xfId="0" applyFont="1" applyBorder="1" applyAlignment="1">
      <alignment horizontal="center" wrapText="1"/>
    </xf>
    <xf numFmtId="0" fontId="4" fillId="0" borderId="2" xfId="0" applyFont="1" applyBorder="1" applyAlignment="1">
      <alignment horizontal="right"/>
    </xf>
    <xf numFmtId="0" fontId="72" fillId="0" borderId="2" xfId="0" applyFont="1" applyBorder="1"/>
    <xf numFmtId="10" fontId="72" fillId="0" borderId="0" xfId="0" applyNumberFormat="1" applyFont="1"/>
    <xf numFmtId="9" fontId="67" fillId="0" borderId="0" xfId="0" applyNumberFormat="1" applyFont="1"/>
    <xf numFmtId="166" fontId="67" fillId="0" borderId="0" xfId="0" applyNumberFormat="1" applyFont="1"/>
    <xf numFmtId="10" fontId="67" fillId="0" borderId="0" xfId="0" applyNumberFormat="1" applyFont="1"/>
    <xf numFmtId="10" fontId="67" fillId="0" borderId="0" xfId="0" applyNumberFormat="1" applyFont="1" applyAlignment="1">
      <alignment horizontal="right"/>
    </xf>
    <xf numFmtId="0" fontId="15" fillId="19" borderId="55" xfId="0" applyFont="1" applyFill="1" applyBorder="1"/>
    <xf numFmtId="14" fontId="73" fillId="0" borderId="56" xfId="0" applyNumberFormat="1" applyFont="1" applyBorder="1" applyAlignment="1">
      <alignment horizontal="center" vertical="center" wrapText="1"/>
    </xf>
    <xf numFmtId="14" fontId="73" fillId="0" borderId="57" xfId="0" applyNumberFormat="1" applyFont="1" applyBorder="1" applyAlignment="1">
      <alignment horizontal="center" vertical="center" wrapText="1"/>
    </xf>
    <xf numFmtId="0" fontId="15" fillId="0" borderId="59" xfId="0" applyFont="1" applyBorder="1"/>
    <xf numFmtId="0" fontId="15" fillId="0" borderId="60" xfId="0" applyFont="1" applyBorder="1" applyAlignment="1">
      <alignment horizontal="right"/>
    </xf>
    <xf numFmtId="0" fontId="67" fillId="0" borderId="61" xfId="0" applyFont="1" applyBorder="1"/>
    <xf numFmtId="3" fontId="74" fillId="0" borderId="62" xfId="0" applyNumberFormat="1" applyFont="1" applyBorder="1" applyAlignment="1">
      <alignment horizontal="right" vertical="center" wrapText="1"/>
    </xf>
    <xf numFmtId="3" fontId="74" fillId="0" borderId="62" xfId="0" applyNumberFormat="1" applyFont="1" applyBorder="1"/>
    <xf numFmtId="3" fontId="74" fillId="0" borderId="63" xfId="0" applyNumberFormat="1" applyFont="1" applyBorder="1"/>
    <xf numFmtId="9" fontId="75" fillId="0" borderId="64" xfId="0" applyNumberFormat="1" applyFont="1" applyBorder="1"/>
    <xf numFmtId="9" fontId="75" fillId="0" borderId="62" xfId="0" applyNumberFormat="1" applyFont="1" applyBorder="1"/>
    <xf numFmtId="10" fontId="75" fillId="0" borderId="65" xfId="0" applyNumberFormat="1" applyFont="1" applyBorder="1"/>
    <xf numFmtId="10" fontId="75" fillId="0" borderId="66" xfId="0" applyNumberFormat="1" applyFont="1" applyBorder="1" applyAlignment="1">
      <alignment horizontal="right"/>
    </xf>
    <xf numFmtId="0" fontId="67" fillId="0" borderId="67" xfId="0" applyFont="1" applyBorder="1"/>
    <xf numFmtId="3" fontId="74" fillId="0" borderId="68" xfId="0" applyNumberFormat="1" applyFont="1" applyBorder="1"/>
    <xf numFmtId="3" fontId="76" fillId="0" borderId="68" xfId="0" applyNumberFormat="1" applyFont="1" applyBorder="1" applyAlignment="1">
      <alignment horizontal="right"/>
    </xf>
    <xf numFmtId="3" fontId="76" fillId="0" borderId="69" xfId="0" applyNumberFormat="1" applyFont="1" applyBorder="1" applyAlignment="1">
      <alignment horizontal="right"/>
    </xf>
    <xf numFmtId="9" fontId="75" fillId="0" borderId="70" xfId="0" applyNumberFormat="1" applyFont="1" applyBorder="1"/>
    <xf numFmtId="9" fontId="75" fillId="0" borderId="68" xfId="0" applyNumberFormat="1" applyFont="1" applyBorder="1"/>
    <xf numFmtId="10" fontId="75" fillId="0" borderId="71" xfId="0" applyNumberFormat="1" applyFont="1" applyBorder="1"/>
    <xf numFmtId="10" fontId="75" fillId="0" borderId="72" xfId="0" applyNumberFormat="1" applyFont="1" applyBorder="1" applyAlignment="1">
      <alignment horizontal="right"/>
    </xf>
    <xf numFmtId="3" fontId="77" fillId="0" borderId="0" xfId="0" applyNumberFormat="1" applyFont="1" applyAlignment="1">
      <alignment horizontal="right" vertical="center" wrapText="1"/>
    </xf>
    <xf numFmtId="3" fontId="77" fillId="0" borderId="0" xfId="0" applyNumberFormat="1" applyFont="1" applyAlignment="1">
      <alignment horizontal="right"/>
    </xf>
    <xf numFmtId="0" fontId="15" fillId="0" borderId="73" xfId="0" applyFont="1" applyBorder="1"/>
    <xf numFmtId="0" fontId="15" fillId="0" borderId="73" xfId="0" applyFont="1" applyBorder="1" applyAlignment="1">
      <alignment horizontal="right"/>
    </xf>
    <xf numFmtId="0" fontId="67" fillId="0" borderId="64" xfId="0" applyFont="1" applyBorder="1"/>
    <xf numFmtId="2" fontId="74" fillId="0" borderId="62" xfId="0" applyNumberFormat="1" applyFont="1" applyBorder="1" applyAlignment="1">
      <alignment horizontal="right" vertical="center" wrapText="1"/>
    </xf>
    <xf numFmtId="2" fontId="74" fillId="0" borderId="62" xfId="0" applyNumberFormat="1" applyFont="1" applyBorder="1"/>
    <xf numFmtId="2" fontId="74" fillId="0" borderId="63" xfId="0" applyNumberFormat="1" applyFont="1" applyBorder="1"/>
    <xf numFmtId="10" fontId="75" fillId="0" borderId="65" xfId="0" applyNumberFormat="1" applyFont="1" applyBorder="1" applyAlignment="1">
      <alignment horizontal="right"/>
    </xf>
    <xf numFmtId="0" fontId="67" fillId="0" borderId="74" xfId="0" applyFont="1" applyBorder="1"/>
    <xf numFmtId="2" fontId="74" fillId="0" borderId="75" xfId="0" applyNumberFormat="1" applyFont="1" applyBorder="1"/>
    <xf numFmtId="2" fontId="76" fillId="0" borderId="75" xfId="0" applyNumberFormat="1" applyFont="1" applyBorder="1" applyAlignment="1">
      <alignment horizontal="right"/>
    </xf>
    <xf numFmtId="2" fontId="76" fillId="0" borderId="76" xfId="0" applyNumberFormat="1" applyFont="1" applyBorder="1" applyAlignment="1">
      <alignment horizontal="right"/>
    </xf>
    <xf numFmtId="9" fontId="75" fillId="0" borderId="74" xfId="0" applyNumberFormat="1" applyFont="1" applyBorder="1"/>
    <xf numFmtId="9" fontId="75" fillId="0" borderId="75" xfId="0" applyNumberFormat="1" applyFont="1" applyBorder="1"/>
    <xf numFmtId="10" fontId="75" fillId="0" borderId="77" xfId="0" applyNumberFormat="1" applyFont="1" applyBorder="1"/>
    <xf numFmtId="10" fontId="75" fillId="0" borderId="77" xfId="0" applyNumberFormat="1" applyFont="1" applyBorder="1" applyAlignment="1">
      <alignment horizontal="right"/>
    </xf>
    <xf numFmtId="2" fontId="74" fillId="0" borderId="0" xfId="0" applyNumberFormat="1" applyFont="1"/>
    <xf numFmtId="2" fontId="76" fillId="0" borderId="0" xfId="0" applyNumberFormat="1" applyFont="1" applyAlignment="1">
      <alignment horizontal="right"/>
    </xf>
    <xf numFmtId="9" fontId="75" fillId="0" borderId="0" xfId="0" applyNumberFormat="1" applyFont="1"/>
    <xf numFmtId="10" fontId="75" fillId="0" borderId="0" xfId="0" applyNumberFormat="1" applyFont="1"/>
    <xf numFmtId="10" fontId="75" fillId="0" borderId="0" xfId="0" applyNumberFormat="1" applyFont="1" applyAlignment="1">
      <alignment horizontal="right"/>
    </xf>
    <xf numFmtId="0" fontId="15" fillId="0" borderId="73" xfId="0" applyFont="1" applyBorder="1" applyAlignment="1">
      <alignment wrapText="1"/>
    </xf>
    <xf numFmtId="3" fontId="74" fillId="0" borderId="75" xfId="0" applyNumberFormat="1" applyFont="1" applyBorder="1" applyAlignment="1">
      <alignment horizontal="right"/>
    </xf>
    <xf numFmtId="3" fontId="76" fillId="0" borderId="75" xfId="0" applyNumberFormat="1" applyFont="1" applyBorder="1" applyAlignment="1">
      <alignment horizontal="right"/>
    </xf>
    <xf numFmtId="3" fontId="76" fillId="0" borderId="76" xfId="0" applyNumberFormat="1" applyFont="1" applyBorder="1" applyAlignment="1">
      <alignment horizontal="right"/>
    </xf>
    <xf numFmtId="10" fontId="67" fillId="0" borderId="22" xfId="0" applyNumberFormat="1" applyFont="1" applyBorder="1"/>
    <xf numFmtId="0" fontId="67" fillId="0" borderId="0" xfId="0" applyFont="1" applyAlignment="1">
      <alignment horizontal="center"/>
    </xf>
    <xf numFmtId="0" fontId="67" fillId="20" borderId="23" xfId="0" applyFont="1" applyFill="1" applyBorder="1"/>
    <xf numFmtId="14" fontId="73" fillId="0" borderId="12" xfId="0" applyNumberFormat="1" applyFont="1" applyBorder="1" applyAlignment="1">
      <alignment horizontal="center" vertical="center" wrapText="1"/>
    </xf>
    <xf numFmtId="14" fontId="73" fillId="0" borderId="13" xfId="0" applyNumberFormat="1" applyFont="1" applyBorder="1" applyAlignment="1">
      <alignment horizontal="center" vertical="center" wrapText="1"/>
    </xf>
    <xf numFmtId="166" fontId="74" fillId="0" borderId="62" xfId="0" applyNumberFormat="1" applyFont="1" applyBorder="1"/>
    <xf numFmtId="2" fontId="74" fillId="0" borderId="68" xfId="0" applyNumberFormat="1" applyFont="1" applyBorder="1"/>
    <xf numFmtId="2" fontId="76" fillId="0" borderId="68" xfId="0" applyNumberFormat="1" applyFont="1" applyBorder="1" applyAlignment="1">
      <alignment horizontal="right"/>
    </xf>
    <xf numFmtId="2" fontId="76" fillId="0" borderId="69" xfId="0" applyNumberFormat="1" applyFont="1" applyBorder="1" applyAlignment="1">
      <alignment horizontal="right"/>
    </xf>
    <xf numFmtId="0" fontId="78" fillId="0" borderId="0" xfId="0" applyFont="1"/>
    <xf numFmtId="0" fontId="72" fillId="0" borderId="20" xfId="0" applyFont="1" applyBorder="1"/>
    <xf numFmtId="0" fontId="73" fillId="0" borderId="22" xfId="0" applyFont="1" applyBorder="1" applyAlignment="1">
      <alignment horizontal="center"/>
    </xf>
    <xf numFmtId="0" fontId="67" fillId="11" borderId="78" xfId="0" applyFont="1" applyFill="1" applyBorder="1"/>
    <xf numFmtId="9" fontId="77" fillId="0" borderId="79" xfId="0" applyNumberFormat="1" applyFont="1" applyBorder="1" applyAlignment="1">
      <alignment horizontal="right"/>
    </xf>
    <xf numFmtId="9" fontId="77" fillId="0" borderId="80" xfId="0" applyNumberFormat="1" applyFont="1" applyBorder="1" applyAlignment="1">
      <alignment horizontal="right"/>
    </xf>
    <xf numFmtId="0" fontId="67" fillId="0" borderId="81" xfId="0" applyFont="1" applyBorder="1"/>
    <xf numFmtId="10" fontId="77" fillId="0" borderId="62" xfId="0" applyNumberFormat="1" applyFont="1" applyBorder="1" applyAlignment="1">
      <alignment horizontal="right"/>
    </xf>
    <xf numFmtId="10" fontId="77" fillId="0" borderId="82" xfId="0" applyNumberFormat="1" applyFont="1" applyBorder="1" applyAlignment="1">
      <alignment horizontal="right"/>
    </xf>
    <xf numFmtId="0" fontId="72" fillId="0" borderId="73" xfId="0" applyFont="1" applyBorder="1"/>
    <xf numFmtId="10" fontId="79" fillId="0" borderId="0" xfId="0" applyNumberFormat="1" applyFont="1"/>
    <xf numFmtId="0" fontId="1" fillId="0" borderId="0" xfId="0" applyFont="1" applyAlignment="1">
      <alignment wrapText="1"/>
    </xf>
    <xf numFmtId="0" fontId="80" fillId="21" borderId="23" xfId="0" applyFont="1" applyFill="1" applyBorder="1" applyAlignment="1">
      <alignment wrapText="1"/>
    </xf>
    <xf numFmtId="0" fontId="80" fillId="21" borderId="83" xfId="0" applyFont="1" applyFill="1" applyBorder="1" applyAlignment="1">
      <alignment wrapText="1"/>
    </xf>
    <xf numFmtId="0" fontId="6" fillId="0" borderId="0" xfId="0" applyFont="1" applyAlignment="1">
      <alignment wrapText="1"/>
    </xf>
    <xf numFmtId="170" fontId="1" fillId="0" borderId="0" xfId="0" applyNumberFormat="1" applyFont="1"/>
    <xf numFmtId="0" fontId="6" fillId="0" borderId="83" xfId="0" applyFont="1" applyBorder="1" applyAlignment="1">
      <alignment wrapText="1"/>
    </xf>
    <xf numFmtId="0" fontId="6" fillId="5" borderId="23" xfId="0" applyFont="1" applyFill="1" applyBorder="1" applyAlignment="1">
      <alignment wrapText="1"/>
    </xf>
    <xf numFmtId="170" fontId="1" fillId="5" borderId="23" xfId="0" applyNumberFormat="1" applyFont="1" applyFill="1" applyBorder="1"/>
    <xf numFmtId="0" fontId="6" fillId="5" borderId="83" xfId="0" applyFont="1" applyFill="1" applyBorder="1" applyAlignment="1">
      <alignment wrapText="1"/>
    </xf>
    <xf numFmtId="0" fontId="1" fillId="0" borderId="83" xfId="0" applyFont="1" applyBorder="1" applyAlignment="1">
      <alignment wrapText="1"/>
    </xf>
    <xf numFmtId="167" fontId="80" fillId="21" borderId="23" xfId="0" applyNumberFormat="1" applyFont="1" applyFill="1" applyBorder="1" applyAlignment="1">
      <alignment wrapText="1"/>
    </xf>
    <xf numFmtId="167" fontId="80" fillId="21" borderId="83" xfId="0" applyNumberFormat="1" applyFont="1" applyFill="1" applyBorder="1" applyAlignment="1">
      <alignment wrapText="1"/>
    </xf>
    <xf numFmtId="0" fontId="58" fillId="0" borderId="0" xfId="0" applyFont="1" applyAlignment="1">
      <alignment horizontal="left" vertical="top" wrapText="1"/>
    </xf>
    <xf numFmtId="170" fontId="80" fillId="21" borderId="23" xfId="0" applyNumberFormat="1" applyFont="1" applyFill="1" applyBorder="1" applyAlignment="1">
      <alignment wrapText="1"/>
    </xf>
    <xf numFmtId="0" fontId="81" fillId="21" borderId="83" xfId="0" applyFont="1" applyFill="1" applyBorder="1" applyAlignment="1">
      <alignment horizontal="center" vertical="center" wrapText="1"/>
    </xf>
    <xf numFmtId="167" fontId="81" fillId="21" borderId="83" xfId="0" applyNumberFormat="1" applyFont="1" applyFill="1" applyBorder="1" applyAlignment="1">
      <alignment horizontal="center" vertical="center" wrapText="1"/>
    </xf>
    <xf numFmtId="0" fontId="81" fillId="21" borderId="23" xfId="0" applyFont="1" applyFill="1" applyBorder="1" applyAlignment="1">
      <alignment horizontal="center" vertical="center" wrapText="1"/>
    </xf>
    <xf numFmtId="167" fontId="81" fillId="21" borderId="23" xfId="0" applyNumberFormat="1" applyFont="1" applyFill="1" applyBorder="1" applyAlignment="1">
      <alignment horizontal="center" vertical="center" wrapText="1"/>
    </xf>
    <xf numFmtId="0" fontId="1" fillId="0" borderId="0" xfId="0" applyFont="1" applyAlignment="1">
      <alignment horizontal="center"/>
    </xf>
    <xf numFmtId="10" fontId="84" fillId="0" borderId="14" xfId="0" applyNumberFormat="1" applyFont="1" applyBorder="1" applyAlignment="1">
      <alignment horizontal="center" vertical="center" wrapText="1"/>
    </xf>
    <xf numFmtId="10" fontId="84" fillId="0" borderId="0" xfId="0" applyNumberFormat="1" applyFont="1" applyAlignment="1">
      <alignment horizontal="center" vertical="center" wrapText="1"/>
    </xf>
    <xf numFmtId="10" fontId="85" fillId="0" borderId="0" xfId="0" applyNumberFormat="1" applyFont="1" applyAlignment="1">
      <alignment horizontal="center" vertical="center" wrapText="1"/>
    </xf>
    <xf numFmtId="10" fontId="86" fillId="22" borderId="23" xfId="0" applyNumberFormat="1" applyFont="1" applyFill="1" applyBorder="1"/>
    <xf numFmtId="0" fontId="58" fillId="0" borderId="14" xfId="0" applyFont="1" applyBorder="1"/>
    <xf numFmtId="0" fontId="25" fillId="5" borderId="84" xfId="0" applyFont="1" applyFill="1" applyBorder="1" applyAlignment="1">
      <alignment horizontal="center"/>
    </xf>
    <xf numFmtId="0" fontId="25" fillId="5" borderId="85" xfId="0" applyFont="1" applyFill="1" applyBorder="1" applyAlignment="1">
      <alignment horizontal="center"/>
    </xf>
    <xf numFmtId="0" fontId="25" fillId="22" borderId="84" xfId="0" applyFont="1" applyFill="1" applyBorder="1" applyAlignment="1">
      <alignment horizontal="center"/>
    </xf>
    <xf numFmtId="0" fontId="25" fillId="22" borderId="86" xfId="0" applyFont="1" applyFill="1" applyBorder="1" applyAlignment="1">
      <alignment horizontal="center"/>
    </xf>
    <xf numFmtId="0" fontId="25" fillId="0" borderId="84" xfId="0" applyFont="1" applyBorder="1"/>
    <xf numFmtId="0" fontId="58" fillId="0" borderId="87" xfId="0" applyFont="1" applyBorder="1"/>
    <xf numFmtId="178" fontId="58" fillId="0" borderId="88" xfId="0" applyNumberFormat="1" applyFont="1" applyBorder="1" applyAlignment="1">
      <alignment horizontal="right" vertical="center"/>
    </xf>
    <xf numFmtId="178" fontId="58" fillId="0" borderId="1" xfId="0" applyNumberFormat="1" applyFont="1" applyBorder="1" applyAlignment="1">
      <alignment horizontal="right" vertical="center"/>
    </xf>
    <xf numFmtId="3" fontId="87" fillId="0" borderId="1" xfId="0" applyNumberFormat="1" applyFont="1" applyBorder="1" applyAlignment="1">
      <alignment horizontal="right" vertical="top"/>
    </xf>
    <xf numFmtId="178" fontId="58" fillId="0" borderId="1" xfId="0" applyNumberFormat="1" applyFont="1" applyBorder="1" applyAlignment="1">
      <alignment horizontal="center" vertical="center"/>
    </xf>
    <xf numFmtId="166" fontId="58" fillId="0" borderId="89" xfId="0" applyNumberFormat="1" applyFont="1" applyBorder="1"/>
    <xf numFmtId="0" fontId="58" fillId="0" borderId="90" xfId="0" applyFont="1" applyBorder="1"/>
    <xf numFmtId="178" fontId="58" fillId="0" borderId="89" xfId="0" applyNumberFormat="1" applyFont="1" applyBorder="1" applyAlignment="1">
      <alignment horizontal="right" vertical="center"/>
    </xf>
    <xf numFmtId="178" fontId="58" fillId="0" borderId="31" xfId="0" applyNumberFormat="1" applyFont="1" applyBorder="1" applyAlignment="1">
      <alignment horizontal="right" vertical="center"/>
    </xf>
    <xf numFmtId="178" fontId="58" fillId="0" borderId="90" xfId="0" applyNumberFormat="1" applyFont="1" applyBorder="1" applyAlignment="1">
      <alignment horizontal="right" vertical="center"/>
    </xf>
    <xf numFmtId="178" fontId="58" fillId="0" borderId="31" xfId="0" applyNumberFormat="1" applyFont="1" applyBorder="1" applyAlignment="1">
      <alignment horizontal="center" vertical="center"/>
    </xf>
    <xf numFmtId="166" fontId="58" fillId="0" borderId="90" xfId="0" applyNumberFormat="1" applyFont="1" applyBorder="1"/>
    <xf numFmtId="0" fontId="88" fillId="0" borderId="73" xfId="0" applyFont="1" applyBorder="1"/>
    <xf numFmtId="178" fontId="25" fillId="0" borderId="84" xfId="0" applyNumberFormat="1" applyFont="1" applyBorder="1" applyAlignment="1">
      <alignment horizontal="center"/>
    </xf>
    <xf numFmtId="178" fontId="25" fillId="0" borderId="20" xfId="0" applyNumberFormat="1" applyFont="1" applyBorder="1" applyAlignment="1">
      <alignment horizontal="center"/>
    </xf>
    <xf numFmtId="178" fontId="25" fillId="0" borderId="21" xfId="0" applyNumberFormat="1" applyFont="1" applyBorder="1" applyAlignment="1">
      <alignment horizontal="center"/>
    </xf>
    <xf numFmtId="178" fontId="25" fillId="0" borderId="22" xfId="0" applyNumberFormat="1" applyFont="1" applyBorder="1" applyAlignment="1">
      <alignment horizontal="center"/>
    </xf>
    <xf numFmtId="0" fontId="58" fillId="0" borderId="73" xfId="0" applyFont="1" applyBorder="1"/>
    <xf numFmtId="178" fontId="58" fillId="0" borderId="0" xfId="0" applyNumberFormat="1" applyFont="1" applyAlignment="1">
      <alignment horizontal="right" vertical="center"/>
    </xf>
    <xf numFmtId="178" fontId="58" fillId="0" borderId="14" xfId="0" applyNumberFormat="1" applyFont="1" applyBorder="1" applyAlignment="1">
      <alignment horizontal="right" vertical="center"/>
    </xf>
    <xf numFmtId="3" fontId="87" fillId="0" borderId="89" xfId="0" applyNumberFormat="1" applyFont="1" applyBorder="1" applyAlignment="1">
      <alignment horizontal="right" vertical="top"/>
    </xf>
    <xf numFmtId="179" fontId="58" fillId="0" borderId="0" xfId="0" applyNumberFormat="1" applyFont="1" applyAlignment="1">
      <alignment horizontal="right"/>
    </xf>
    <xf numFmtId="178" fontId="58" fillId="0" borderId="89" xfId="0" applyNumberFormat="1" applyFont="1" applyBorder="1" applyAlignment="1">
      <alignment horizontal="center" vertical="center"/>
    </xf>
    <xf numFmtId="166" fontId="58" fillId="0" borderId="15" xfId="0" applyNumberFormat="1" applyFont="1" applyBorder="1"/>
    <xf numFmtId="0" fontId="89" fillId="0" borderId="84" xfId="0" applyFont="1" applyBorder="1"/>
    <xf numFmtId="178" fontId="25" fillId="0" borderId="84" xfId="0" applyNumberFormat="1" applyFont="1" applyBorder="1" applyAlignment="1">
      <alignment horizontal="center" vertical="center"/>
    </xf>
    <xf numFmtId="178" fontId="25" fillId="0" borderId="20" xfId="0" applyNumberFormat="1" applyFont="1" applyBorder="1" applyAlignment="1">
      <alignment horizontal="center" vertical="center"/>
    </xf>
    <xf numFmtId="178" fontId="25" fillId="0" borderId="21" xfId="0" applyNumberFormat="1" applyFont="1" applyBorder="1" applyAlignment="1">
      <alignment horizontal="center" vertical="center"/>
    </xf>
    <xf numFmtId="178" fontId="25" fillId="0" borderId="22" xfId="0" applyNumberFormat="1" applyFont="1" applyBorder="1" applyAlignment="1">
      <alignment horizontal="center" vertical="center"/>
    </xf>
    <xf numFmtId="178" fontId="90" fillId="0" borderId="89" xfId="0" applyNumberFormat="1" applyFont="1" applyBorder="1" applyAlignment="1">
      <alignment horizontal="center" vertical="center"/>
    </xf>
    <xf numFmtId="166" fontId="58" fillId="0" borderId="89" xfId="0" applyNumberFormat="1" applyFont="1" applyBorder="1" applyAlignment="1">
      <alignment horizontal="right" vertical="center"/>
    </xf>
    <xf numFmtId="166" fontId="58" fillId="0" borderId="0" xfId="0" applyNumberFormat="1" applyFont="1" applyAlignment="1">
      <alignment horizontal="right" vertical="center"/>
    </xf>
    <xf numFmtId="166" fontId="58" fillId="0" borderId="89" xfId="0" applyNumberFormat="1" applyFont="1" applyBorder="1" applyAlignment="1">
      <alignment horizontal="center" vertical="center"/>
    </xf>
    <xf numFmtId="0" fontId="88" fillId="0" borderId="84" xfId="0" applyFont="1" applyBorder="1"/>
    <xf numFmtId="0" fontId="58" fillId="0" borderId="89" xfId="0" applyFont="1" applyBorder="1"/>
    <xf numFmtId="178" fontId="58" fillId="0" borderId="89" xfId="0" applyNumberFormat="1" applyFont="1" applyBorder="1" applyAlignment="1">
      <alignment horizontal="center"/>
    </xf>
    <xf numFmtId="178" fontId="58" fillId="0" borderId="31" xfId="0" applyNumberFormat="1" applyFont="1" applyBorder="1" applyAlignment="1">
      <alignment horizontal="center"/>
    </xf>
    <xf numFmtId="178" fontId="58" fillId="0" borderId="15" xfId="0" applyNumberFormat="1" applyFont="1" applyBorder="1" applyAlignment="1">
      <alignment horizontal="right"/>
    </xf>
    <xf numFmtId="178" fontId="58" fillId="0" borderId="0" xfId="0" applyNumberFormat="1" applyFont="1" applyAlignment="1">
      <alignment horizontal="right"/>
    </xf>
    <xf numFmtId="178" fontId="58" fillId="0" borderId="90" xfId="0" applyNumberFormat="1" applyFont="1" applyBorder="1" applyAlignment="1">
      <alignment horizontal="center"/>
    </xf>
    <xf numFmtId="178" fontId="58" fillId="0" borderId="91" xfId="0" applyNumberFormat="1" applyFont="1" applyBorder="1" applyAlignment="1">
      <alignment horizontal="center"/>
    </xf>
    <xf numFmtId="178" fontId="58" fillId="0" borderId="92" xfId="0" applyNumberFormat="1" applyFont="1" applyBorder="1" applyAlignment="1">
      <alignment horizontal="right" vertical="center"/>
    </xf>
    <xf numFmtId="178" fontId="58" fillId="0" borderId="32" xfId="0" applyNumberFormat="1" applyFont="1" applyBorder="1" applyAlignment="1">
      <alignment horizontal="right"/>
    </xf>
    <xf numFmtId="178" fontId="58" fillId="0" borderId="31" xfId="0" applyNumberFormat="1" applyFont="1" applyBorder="1" applyAlignment="1">
      <alignment horizontal="right"/>
    </xf>
    <xf numFmtId="166" fontId="58" fillId="0" borderId="32" xfId="0" applyNumberFormat="1" applyFont="1" applyBorder="1"/>
    <xf numFmtId="0" fontId="58" fillId="0" borderId="92" xfId="0" applyFont="1" applyBorder="1"/>
    <xf numFmtId="178" fontId="58" fillId="0" borderId="92" xfId="0" applyNumberFormat="1" applyFont="1" applyBorder="1" applyAlignment="1">
      <alignment horizontal="center"/>
    </xf>
    <xf numFmtId="178" fontId="58" fillId="0" borderId="88" xfId="0" applyNumberFormat="1" applyFont="1" applyBorder="1" applyAlignment="1">
      <alignment horizontal="center"/>
    </xf>
    <xf numFmtId="178" fontId="58" fillId="0" borderId="4" xfId="0" applyNumberFormat="1" applyFont="1" applyBorder="1" applyAlignment="1">
      <alignment horizontal="center"/>
    </xf>
    <xf numFmtId="178" fontId="58" fillId="0" borderId="46" xfId="0" applyNumberFormat="1" applyFont="1" applyBorder="1" applyAlignment="1">
      <alignment horizontal="center"/>
    </xf>
    <xf numFmtId="178" fontId="58" fillId="0" borderId="0" xfId="0" applyNumberFormat="1" applyFont="1" applyAlignment="1">
      <alignment horizontal="center"/>
    </xf>
    <xf numFmtId="178" fontId="58" fillId="0" borderId="14" xfId="0" applyNumberFormat="1" applyFont="1" applyBorder="1" applyAlignment="1">
      <alignment horizontal="center"/>
    </xf>
    <xf numFmtId="178" fontId="58" fillId="0" borderId="32" xfId="0" applyNumberFormat="1" applyFont="1" applyBorder="1" applyAlignment="1">
      <alignment horizontal="right" vertical="center"/>
    </xf>
    <xf numFmtId="166" fontId="58" fillId="0" borderId="31" xfId="0" applyNumberFormat="1" applyFont="1" applyBorder="1" applyAlignment="1">
      <alignment horizontal="right" vertical="center"/>
    </xf>
    <xf numFmtId="166" fontId="58" fillId="0" borderId="90" xfId="0" applyNumberFormat="1" applyFont="1" applyBorder="1" applyAlignment="1">
      <alignment horizontal="center" vertical="center"/>
    </xf>
    <xf numFmtId="166" fontId="58" fillId="0" borderId="32" xfId="0" applyNumberFormat="1" applyFont="1" applyBorder="1" applyAlignment="1">
      <alignment horizontal="right" vertical="center"/>
    </xf>
    <xf numFmtId="166" fontId="58" fillId="0" borderId="46" xfId="0" applyNumberFormat="1" applyFont="1" applyBorder="1" applyAlignment="1">
      <alignment horizontal="right" vertical="center"/>
    </xf>
    <xf numFmtId="0" fontId="58" fillId="0" borderId="93" xfId="0" applyFont="1" applyBorder="1"/>
    <xf numFmtId="178" fontId="58" fillId="0" borderId="93" xfId="0" applyNumberFormat="1" applyFont="1" applyBorder="1" applyAlignment="1">
      <alignment horizontal="center" vertical="center"/>
    </xf>
    <xf numFmtId="178" fontId="58" fillId="0" borderId="39" xfId="0" applyNumberFormat="1" applyFont="1" applyBorder="1" applyAlignment="1">
      <alignment horizontal="right" vertical="center"/>
    </xf>
    <xf numFmtId="178" fontId="58" fillId="0" borderId="93" xfId="0" applyNumberFormat="1" applyFont="1" applyBorder="1" applyAlignment="1">
      <alignment horizontal="right" vertical="center"/>
    </xf>
    <xf numFmtId="178" fontId="58" fillId="0" borderId="40" xfId="0" applyNumberFormat="1" applyFont="1" applyBorder="1" applyAlignment="1">
      <alignment horizontal="right" vertical="center"/>
    </xf>
    <xf numFmtId="166" fontId="58" fillId="0" borderId="40" xfId="0" applyNumberFormat="1" applyFont="1" applyBorder="1"/>
    <xf numFmtId="0" fontId="91" fillId="0" borderId="84" xfId="0" applyFont="1" applyBorder="1"/>
    <xf numFmtId="178" fontId="25" fillId="0" borderId="84" xfId="0" applyNumberFormat="1" applyFont="1" applyBorder="1" applyAlignment="1">
      <alignment horizontal="right" vertical="center"/>
    </xf>
    <xf numFmtId="178" fontId="25" fillId="0" borderId="21" xfId="0" applyNumberFormat="1" applyFont="1" applyBorder="1" applyAlignment="1">
      <alignment horizontal="right" vertical="center"/>
    </xf>
    <xf numFmtId="178" fontId="25" fillId="0" borderId="22" xfId="0" applyNumberFormat="1" applyFont="1" applyBorder="1" applyAlignment="1">
      <alignment horizontal="right" vertical="center"/>
    </xf>
    <xf numFmtId="178" fontId="58" fillId="0" borderId="4" xfId="0" applyNumberFormat="1" applyFont="1" applyBorder="1" applyAlignment="1">
      <alignment horizontal="right" vertical="center"/>
    </xf>
    <xf numFmtId="178" fontId="58" fillId="0" borderId="46" xfId="0" applyNumberFormat="1" applyFont="1" applyBorder="1" applyAlignment="1">
      <alignment horizontal="right" vertical="center"/>
    </xf>
    <xf numFmtId="179" fontId="58" fillId="0" borderId="4" xfId="0" applyNumberFormat="1" applyFont="1" applyBorder="1" applyAlignment="1">
      <alignment horizontal="right" vertical="center"/>
    </xf>
    <xf numFmtId="179" fontId="58" fillId="0" borderId="92" xfId="0" applyNumberFormat="1" applyFont="1" applyBorder="1" applyAlignment="1">
      <alignment horizontal="center" vertical="center"/>
    </xf>
    <xf numFmtId="166" fontId="58" fillId="0" borderId="4" xfId="0" applyNumberFormat="1" applyFont="1" applyBorder="1" applyAlignment="1">
      <alignment horizontal="right" vertical="center"/>
    </xf>
    <xf numFmtId="166" fontId="58" fillId="0" borderId="92" xfId="0" applyNumberFormat="1" applyFont="1" applyBorder="1" applyAlignment="1">
      <alignment horizontal="right" vertical="center"/>
    </xf>
    <xf numFmtId="178" fontId="58" fillId="0" borderId="88" xfId="0" applyNumberFormat="1" applyFont="1" applyBorder="1" applyAlignment="1">
      <alignment horizontal="center" vertical="center"/>
    </xf>
    <xf numFmtId="178" fontId="58" fillId="0" borderId="94" xfId="0" applyNumberFormat="1" applyFont="1" applyBorder="1" applyAlignment="1">
      <alignment horizontal="right" vertical="center"/>
    </xf>
    <xf numFmtId="178" fontId="58" fillId="0" borderId="95" xfId="0" applyNumberFormat="1" applyFont="1" applyBorder="1" applyAlignment="1">
      <alignment horizontal="right" vertical="center"/>
    </xf>
    <xf numFmtId="0" fontId="58" fillId="0" borderId="88" xfId="0" applyFont="1" applyBorder="1"/>
    <xf numFmtId="0" fontId="58" fillId="0" borderId="96" xfId="0" applyFont="1" applyBorder="1"/>
    <xf numFmtId="178" fontId="58" fillId="0" borderId="15" xfId="0" applyNumberFormat="1" applyFont="1" applyBorder="1" applyAlignment="1">
      <alignment horizontal="right" vertical="center"/>
    </xf>
    <xf numFmtId="166" fontId="58" fillId="0" borderId="1" xfId="0" applyNumberFormat="1" applyFont="1" applyBorder="1" applyAlignment="1">
      <alignment horizontal="right" vertical="center"/>
    </xf>
    <xf numFmtId="166" fontId="58" fillId="0" borderId="88" xfId="0" applyNumberFormat="1" applyFont="1" applyBorder="1" applyAlignment="1">
      <alignment horizontal="center" vertical="center"/>
    </xf>
    <xf numFmtId="166" fontId="58" fillId="0" borderId="94" xfId="0" applyNumberFormat="1" applyFont="1" applyBorder="1" applyAlignment="1">
      <alignment horizontal="right" vertical="center"/>
    </xf>
    <xf numFmtId="166" fontId="58" fillId="0" borderId="92" xfId="0" applyNumberFormat="1" applyFont="1" applyBorder="1" applyAlignment="1">
      <alignment horizontal="center" vertical="center"/>
    </xf>
    <xf numFmtId="178" fontId="58" fillId="0" borderId="91" xfId="0" applyNumberFormat="1" applyFont="1" applyBorder="1" applyAlignment="1">
      <alignment horizontal="right" vertical="center"/>
    </xf>
    <xf numFmtId="0" fontId="92" fillId="0" borderId="93" xfId="0" applyFont="1" applyBorder="1"/>
    <xf numFmtId="178" fontId="25" fillId="0" borderId="90" xfId="0" applyNumberFormat="1" applyFont="1" applyBorder="1" applyAlignment="1">
      <alignment horizontal="right" vertical="center"/>
    </xf>
    <xf numFmtId="178" fontId="25" fillId="0" borderId="31" xfId="0" applyNumberFormat="1" applyFont="1" applyBorder="1" applyAlignment="1">
      <alignment horizontal="right" vertical="center"/>
    </xf>
    <xf numFmtId="178" fontId="25" fillId="0" borderId="97" xfId="0" applyNumberFormat="1" applyFont="1" applyBorder="1" applyAlignment="1">
      <alignment horizontal="right" vertical="center"/>
    </xf>
    <xf numFmtId="178" fontId="25" fillId="0" borderId="90" xfId="0" applyNumberFormat="1" applyFont="1" applyBorder="1" applyAlignment="1">
      <alignment horizontal="center" vertical="center"/>
    </xf>
    <xf numFmtId="178" fontId="25" fillId="0" borderId="32" xfId="0" applyNumberFormat="1" applyFont="1" applyBorder="1" applyAlignment="1">
      <alignment horizontal="right" vertical="center"/>
    </xf>
    <xf numFmtId="0" fontId="92" fillId="0" borderId="20" xfId="0" applyFont="1" applyBorder="1"/>
    <xf numFmtId="178" fontId="25" fillId="0" borderId="84" xfId="0" applyNumberFormat="1" applyFont="1" applyBorder="1" applyAlignment="1">
      <alignment horizontal="right"/>
    </xf>
    <xf numFmtId="178" fontId="25" fillId="0" borderId="20" xfId="0" applyNumberFormat="1" applyFont="1" applyBorder="1" applyAlignment="1">
      <alignment horizontal="right"/>
    </xf>
    <xf numFmtId="178" fontId="25" fillId="0" borderId="21" xfId="0" applyNumberFormat="1" applyFont="1" applyBorder="1" applyAlignment="1">
      <alignment horizontal="right"/>
    </xf>
    <xf numFmtId="178" fontId="25" fillId="0" borderId="22" xfId="0" applyNumberFormat="1" applyFont="1" applyBorder="1" applyAlignment="1">
      <alignment horizontal="right"/>
    </xf>
    <xf numFmtId="0" fontId="58" fillId="0" borderId="0" xfId="0" applyFont="1" applyAlignment="1">
      <alignment horizontal="center"/>
    </xf>
    <xf numFmtId="4" fontId="58" fillId="0" borderId="0" xfId="0" applyNumberFormat="1" applyFont="1" applyAlignment="1">
      <alignment horizontal="right"/>
    </xf>
    <xf numFmtId="4" fontId="58" fillId="0" borderId="0" xfId="0" applyNumberFormat="1" applyFont="1" applyAlignment="1">
      <alignment horizontal="center"/>
    </xf>
    <xf numFmtId="0" fontId="58" fillId="0" borderId="0" xfId="0" applyFont="1" applyAlignment="1">
      <alignment horizontal="right"/>
    </xf>
    <xf numFmtId="0" fontId="58" fillId="0" borderId="2" xfId="0" applyFont="1" applyBorder="1" applyAlignment="1">
      <alignment horizontal="center"/>
    </xf>
    <xf numFmtId="0" fontId="93" fillId="0" borderId="2" xfId="0" applyFont="1" applyBorder="1" applyAlignment="1">
      <alignment horizontal="center"/>
    </xf>
    <xf numFmtId="0" fontId="93" fillId="0" borderId="2" xfId="0" applyFont="1" applyBorder="1" applyAlignment="1">
      <alignment horizontal="right"/>
    </xf>
    <xf numFmtId="0" fontId="93" fillId="0" borderId="0" xfId="0" applyFont="1" applyAlignment="1">
      <alignment horizontal="center"/>
    </xf>
    <xf numFmtId="0" fontId="58" fillId="0" borderId="27" xfId="0" applyFont="1" applyBorder="1"/>
    <xf numFmtId="3" fontId="58" fillId="0" borderId="27" xfId="0" applyNumberFormat="1" applyFont="1" applyBorder="1" applyAlignment="1">
      <alignment horizontal="center"/>
    </xf>
    <xf numFmtId="3" fontId="58" fillId="0" borderId="27" xfId="0" applyNumberFormat="1" applyFont="1" applyBorder="1" applyAlignment="1">
      <alignment horizontal="right"/>
    </xf>
    <xf numFmtId="3" fontId="58" fillId="0" borderId="0" xfId="0" applyNumberFormat="1" applyFont="1" applyAlignment="1">
      <alignment horizontal="center"/>
    </xf>
    <xf numFmtId="0" fontId="58" fillId="0" borderId="30" xfId="0" applyFont="1" applyBorder="1"/>
    <xf numFmtId="2" fontId="58" fillId="0" borderId="30" xfId="0" applyNumberFormat="1" applyFont="1" applyBorder="1" applyAlignment="1">
      <alignment horizontal="center"/>
    </xf>
    <xf numFmtId="2" fontId="58" fillId="0" borderId="30" xfId="0" applyNumberFormat="1" applyFont="1" applyBorder="1" applyAlignment="1">
      <alignment horizontal="right"/>
    </xf>
    <xf numFmtId="2" fontId="58" fillId="0" borderId="0" xfId="0" applyNumberFormat="1" applyFont="1" applyAlignment="1">
      <alignment horizontal="center"/>
    </xf>
    <xf numFmtId="0" fontId="58" fillId="0" borderId="35" xfId="0" applyFont="1" applyBorder="1"/>
    <xf numFmtId="2" fontId="58" fillId="0" borderId="35" xfId="0" applyNumberFormat="1" applyFont="1" applyBorder="1" applyAlignment="1">
      <alignment horizontal="center"/>
    </xf>
    <xf numFmtId="2" fontId="58" fillId="0" borderId="35" xfId="0" applyNumberFormat="1" applyFont="1" applyBorder="1" applyAlignment="1">
      <alignment horizontal="right"/>
    </xf>
    <xf numFmtId="178" fontId="58" fillId="0" borderId="0" xfId="0" applyNumberFormat="1" applyFont="1"/>
    <xf numFmtId="0" fontId="35" fillId="0" borderId="0" xfId="0" applyFont="1"/>
    <xf numFmtId="0" fontId="25" fillId="0" borderId="73" xfId="0" applyFont="1" applyBorder="1" applyAlignment="1">
      <alignment horizontal="center"/>
    </xf>
    <xf numFmtId="0" fontId="25" fillId="0" borderId="11" xfId="0" applyFont="1" applyBorder="1" applyAlignment="1">
      <alignment horizontal="center"/>
    </xf>
    <xf numFmtId="0" fontId="25" fillId="0" borderId="84" xfId="0" applyFont="1" applyBorder="1" applyAlignment="1">
      <alignment horizontal="center"/>
    </xf>
    <xf numFmtId="0" fontId="95" fillId="0" borderId="99" xfId="0" applyFont="1" applyBorder="1"/>
    <xf numFmtId="0" fontId="25" fillId="0" borderId="73" xfId="0" applyFont="1" applyBorder="1" applyAlignment="1">
      <alignment horizontal="right"/>
    </xf>
    <xf numFmtId="0" fontId="25" fillId="0" borderId="0" xfId="0" applyFont="1" applyAlignment="1">
      <alignment horizontal="right"/>
    </xf>
    <xf numFmtId="0" fontId="58" fillId="0" borderId="73" xfId="0" applyFont="1" applyBorder="1" applyAlignment="1">
      <alignment horizontal="center"/>
    </xf>
    <xf numFmtId="0" fontId="58" fillId="0" borderId="87" xfId="0" applyFont="1" applyBorder="1" applyAlignment="1">
      <alignment wrapText="1"/>
    </xf>
    <xf numFmtId="178" fontId="58" fillId="0" borderId="95" xfId="0" applyNumberFormat="1" applyFont="1" applyBorder="1" applyAlignment="1">
      <alignment horizontal="center"/>
    </xf>
    <xf numFmtId="178" fontId="58" fillId="0" borderId="88" xfId="0" applyNumberFormat="1" applyFont="1" applyBorder="1" applyAlignment="1">
      <alignment horizontal="right"/>
    </xf>
    <xf numFmtId="178" fontId="58" fillId="0" borderId="1" xfId="0" applyNumberFormat="1" applyFont="1" applyBorder="1" applyAlignment="1">
      <alignment horizontal="right"/>
    </xf>
    <xf numFmtId="0" fontId="58" fillId="0" borderId="88" xfId="0" applyFont="1" applyBorder="1" applyAlignment="1">
      <alignment wrapText="1"/>
    </xf>
    <xf numFmtId="0" fontId="58" fillId="0" borderId="90" xfId="0" applyFont="1" applyBorder="1" applyAlignment="1">
      <alignment wrapText="1"/>
    </xf>
    <xf numFmtId="0" fontId="58" fillId="0" borderId="92" xfId="0" applyFont="1" applyBorder="1" applyAlignment="1">
      <alignment wrapText="1"/>
    </xf>
    <xf numFmtId="49" fontId="96" fillId="0" borderId="89" xfId="0" applyNumberFormat="1" applyFont="1" applyBorder="1" applyAlignment="1">
      <alignment horizontal="left" vertical="top"/>
    </xf>
    <xf numFmtId="178" fontId="58" fillId="0" borderId="92" xfId="0" applyNumberFormat="1" applyFont="1" applyBorder="1" applyAlignment="1">
      <alignment horizontal="right"/>
    </xf>
    <xf numFmtId="178" fontId="58" fillId="0" borderId="4" xfId="0" applyNumberFormat="1" applyFont="1" applyBorder="1" applyAlignment="1">
      <alignment horizontal="right"/>
    </xf>
    <xf numFmtId="180" fontId="58" fillId="0" borderId="92" xfId="0" applyNumberFormat="1" applyFont="1" applyBorder="1" applyAlignment="1">
      <alignment horizontal="right"/>
    </xf>
    <xf numFmtId="180" fontId="58" fillId="0" borderId="89" xfId="0" applyNumberFormat="1" applyFont="1" applyBorder="1" applyAlignment="1">
      <alignment horizontal="center"/>
    </xf>
    <xf numFmtId="180" fontId="58" fillId="0" borderId="92" xfId="0" applyNumberFormat="1" applyFont="1" applyBorder="1" applyAlignment="1">
      <alignment horizontal="center"/>
    </xf>
    <xf numFmtId="178" fontId="58" fillId="0" borderId="97" xfId="0" applyNumberFormat="1" applyFont="1" applyBorder="1" applyAlignment="1">
      <alignment horizontal="center"/>
    </xf>
    <xf numFmtId="178" fontId="58" fillId="0" borderId="90" xfId="0" applyNumberFormat="1" applyFont="1" applyBorder="1" applyAlignment="1">
      <alignment horizontal="right"/>
    </xf>
    <xf numFmtId="180" fontId="58" fillId="0" borderId="90" xfId="0" applyNumberFormat="1" applyFont="1" applyBorder="1" applyAlignment="1">
      <alignment horizontal="right"/>
    </xf>
    <xf numFmtId="178" fontId="58" fillId="0" borderId="89" xfId="0" applyNumberFormat="1" applyFont="1" applyBorder="1" applyAlignment="1">
      <alignment horizontal="right"/>
    </xf>
    <xf numFmtId="180" fontId="58" fillId="0" borderId="93" xfId="0" applyNumberFormat="1" applyFont="1" applyBorder="1" applyAlignment="1">
      <alignment horizontal="center"/>
    </xf>
    <xf numFmtId="178" fontId="97" fillId="0" borderId="21" xfId="0" applyNumberFormat="1" applyFont="1" applyBorder="1" applyAlignment="1">
      <alignment horizontal="center"/>
    </xf>
    <xf numFmtId="178" fontId="97" fillId="0" borderId="84" xfId="0" applyNumberFormat="1" applyFont="1" applyBorder="1" applyAlignment="1">
      <alignment horizontal="center"/>
    </xf>
    <xf numFmtId="180" fontId="25" fillId="0" borderId="84" xfId="0" applyNumberFormat="1" applyFont="1" applyBorder="1"/>
    <xf numFmtId="180" fontId="25" fillId="0" borderId="22" xfId="0" applyNumberFormat="1" applyFont="1" applyBorder="1" applyAlignment="1">
      <alignment horizontal="center"/>
    </xf>
    <xf numFmtId="180" fontId="25" fillId="0" borderId="84" xfId="0" applyNumberFormat="1" applyFont="1" applyBorder="1" applyAlignment="1">
      <alignment horizontal="center"/>
    </xf>
    <xf numFmtId="0" fontId="58" fillId="0" borderId="92" xfId="0" applyFont="1" applyBorder="1" applyAlignment="1">
      <alignment horizontal="left" wrapText="1"/>
    </xf>
    <xf numFmtId="178" fontId="58" fillId="0" borderId="1" xfId="0" applyNumberFormat="1" applyFont="1" applyBorder="1" applyAlignment="1">
      <alignment horizontal="center"/>
    </xf>
    <xf numFmtId="178" fontId="58" fillId="0" borderId="94" xfId="0" applyNumberFormat="1" applyFont="1" applyBorder="1" applyAlignment="1">
      <alignment horizontal="right"/>
    </xf>
    <xf numFmtId="178" fontId="58" fillId="0" borderId="46" xfId="0" applyNumberFormat="1" applyFont="1" applyBorder="1" applyAlignment="1">
      <alignment horizontal="right"/>
    </xf>
    <xf numFmtId="180" fontId="58" fillId="0" borderId="46" xfId="0" applyNumberFormat="1" applyFont="1" applyBorder="1" applyAlignment="1">
      <alignment horizontal="center"/>
    </xf>
    <xf numFmtId="0" fontId="58" fillId="0" borderId="90" xfId="0" applyFont="1" applyBorder="1" applyAlignment="1">
      <alignment horizontal="left" wrapText="1"/>
    </xf>
    <xf numFmtId="180" fontId="58" fillId="0" borderId="32" xfId="0" applyNumberFormat="1" applyFont="1" applyBorder="1" applyAlignment="1">
      <alignment horizontal="center"/>
    </xf>
    <xf numFmtId="180" fontId="58" fillId="0" borderId="90" xfId="0" applyNumberFormat="1" applyFont="1" applyBorder="1" applyAlignment="1">
      <alignment horizontal="center"/>
    </xf>
    <xf numFmtId="178" fontId="97" fillId="0" borderId="22" xfId="0" applyNumberFormat="1" applyFont="1" applyBorder="1" applyAlignment="1">
      <alignment horizontal="center"/>
    </xf>
    <xf numFmtId="0" fontId="58" fillId="0" borderId="88" xfId="0" applyFont="1" applyBorder="1" applyAlignment="1">
      <alignment horizontal="left" wrapText="1"/>
    </xf>
    <xf numFmtId="0" fontId="1" fillId="0" borderId="4" xfId="0" applyFont="1" applyBorder="1"/>
    <xf numFmtId="0" fontId="1" fillId="0" borderId="92" xfId="0" applyFont="1" applyBorder="1"/>
    <xf numFmtId="0" fontId="58" fillId="0" borderId="88" xfId="0" applyFont="1" applyBorder="1" applyAlignment="1">
      <alignment horizontal="left"/>
    </xf>
    <xf numFmtId="178" fontId="98" fillId="0" borderId="88" xfId="0" applyNumberFormat="1" applyFont="1" applyBorder="1" applyAlignment="1">
      <alignment horizontal="right"/>
    </xf>
    <xf numFmtId="178" fontId="98" fillId="0" borderId="1" xfId="0" applyNumberFormat="1" applyFont="1" applyBorder="1" applyAlignment="1">
      <alignment horizontal="right"/>
    </xf>
    <xf numFmtId="180" fontId="98" fillId="0" borderId="88" xfId="0" applyNumberFormat="1" applyFont="1" applyBorder="1" applyAlignment="1">
      <alignment horizontal="right"/>
    </xf>
    <xf numFmtId="180" fontId="98" fillId="0" borderId="1" xfId="0" applyNumberFormat="1" applyFont="1" applyBorder="1" applyAlignment="1">
      <alignment horizontal="right"/>
    </xf>
    <xf numFmtId="180" fontId="58" fillId="0" borderId="88" xfId="0" applyNumberFormat="1" applyFont="1" applyBorder="1" applyAlignment="1">
      <alignment horizontal="right"/>
    </xf>
    <xf numFmtId="0" fontId="58" fillId="0" borderId="92" xfId="0" applyFont="1" applyBorder="1" applyAlignment="1">
      <alignment horizontal="left"/>
    </xf>
    <xf numFmtId="0" fontId="58" fillId="0" borderId="93" xfId="0" applyFont="1" applyBorder="1" applyAlignment="1">
      <alignment horizontal="left"/>
    </xf>
    <xf numFmtId="180" fontId="98" fillId="0" borderId="31" xfId="0" applyNumberFormat="1" applyFont="1" applyBorder="1" applyAlignment="1">
      <alignment horizontal="right"/>
    </xf>
    <xf numFmtId="0" fontId="89" fillId="0" borderId="96" xfId="0" applyFont="1" applyBorder="1"/>
    <xf numFmtId="0" fontId="25" fillId="0" borderId="17" xfId="0" applyFont="1" applyBorder="1"/>
    <xf numFmtId="174" fontId="97" fillId="0" borderId="18" xfId="0" applyNumberFormat="1" applyFont="1" applyBorder="1" applyAlignment="1">
      <alignment horizontal="center"/>
    </xf>
    <xf numFmtId="174" fontId="97" fillId="0" borderId="18" xfId="0" applyNumberFormat="1" applyFont="1" applyBorder="1" applyAlignment="1">
      <alignment horizontal="right"/>
    </xf>
    <xf numFmtId="174" fontId="97" fillId="0" borderId="0" xfId="0" applyNumberFormat="1" applyFont="1" applyAlignment="1">
      <alignment horizontal="center"/>
    </xf>
    <xf numFmtId="0" fontId="25" fillId="0" borderId="20" xfId="0" applyFont="1" applyBorder="1"/>
    <xf numFmtId="3" fontId="25" fillId="0" borderId="21" xfId="0" applyNumberFormat="1" applyFont="1" applyBorder="1" applyAlignment="1">
      <alignment horizontal="center"/>
    </xf>
    <xf numFmtId="0" fontId="58" fillId="0" borderId="11" xfId="0" applyFont="1" applyBorder="1"/>
    <xf numFmtId="0" fontId="93" fillId="0" borderId="12" xfId="0" applyFont="1" applyBorder="1" applyAlignment="1">
      <alignment horizontal="center"/>
    </xf>
    <xf numFmtId="0" fontId="93" fillId="0" borderId="12" xfId="0" applyFont="1" applyBorder="1" applyAlignment="1">
      <alignment horizontal="right"/>
    </xf>
    <xf numFmtId="0" fontId="93" fillId="0" borderId="100" xfId="0" applyFont="1" applyBorder="1" applyAlignment="1">
      <alignment horizontal="right"/>
    </xf>
    <xf numFmtId="0" fontId="25" fillId="0" borderId="22" xfId="0" applyFont="1" applyBorder="1" applyAlignment="1">
      <alignment horizontal="center"/>
    </xf>
    <xf numFmtId="0" fontId="95" fillId="0" borderId="90" xfId="0" applyFont="1" applyBorder="1"/>
    <xf numFmtId="174" fontId="58" fillId="0" borderId="97" xfId="0" applyNumberFormat="1" applyFont="1" applyBorder="1" applyAlignment="1">
      <alignment horizontal="center"/>
    </xf>
    <xf numFmtId="174" fontId="58" fillId="0" borderId="73" xfId="0" applyNumberFormat="1" applyFont="1" applyBorder="1" applyAlignment="1">
      <alignment horizontal="right"/>
    </xf>
    <xf numFmtId="174" fontId="58" fillId="0" borderId="15" xfId="0" applyNumberFormat="1" applyFont="1" applyBorder="1" applyAlignment="1">
      <alignment horizontal="right"/>
    </xf>
    <xf numFmtId="174" fontId="58" fillId="0" borderId="89" xfId="0" applyNumberFormat="1" applyFont="1" applyBorder="1" applyAlignment="1">
      <alignment horizontal="right"/>
    </xf>
    <xf numFmtId="174" fontId="58" fillId="0" borderId="73" xfId="0" applyNumberFormat="1" applyFont="1" applyBorder="1" applyAlignment="1">
      <alignment horizontal="center"/>
    </xf>
    <xf numFmtId="174" fontId="58" fillId="0" borderId="15" xfId="0" applyNumberFormat="1" applyFont="1" applyBorder="1" applyAlignment="1">
      <alignment horizontal="center"/>
    </xf>
    <xf numFmtId="0" fontId="89" fillId="0" borderId="20" xfId="0" applyFont="1" applyBorder="1"/>
    <xf numFmtId="0" fontId="58" fillId="0" borderId="95" xfId="0" applyFont="1" applyBorder="1" applyAlignment="1">
      <alignment horizontal="left" vertical="top" wrapText="1"/>
    </xf>
    <xf numFmtId="178" fontId="58" fillId="0" borderId="97" xfId="0" applyNumberFormat="1" applyFont="1" applyBorder="1" applyAlignment="1">
      <alignment horizontal="right"/>
    </xf>
    <xf numFmtId="179" fontId="58" fillId="0" borderId="90" xfId="0" applyNumberFormat="1" applyFont="1" applyBorder="1" applyAlignment="1">
      <alignment horizontal="right"/>
    </xf>
    <xf numFmtId="179" fontId="58" fillId="0" borderId="14" xfId="0" applyNumberFormat="1" applyFont="1" applyBorder="1" applyAlignment="1">
      <alignment horizontal="right"/>
    </xf>
    <xf numFmtId="179" fontId="58" fillId="0" borderId="92" xfId="0" applyNumberFormat="1" applyFont="1" applyBorder="1" applyAlignment="1">
      <alignment horizontal="center"/>
    </xf>
    <xf numFmtId="179" fontId="58" fillId="0" borderId="46" xfId="0" applyNumberFormat="1" applyFont="1" applyBorder="1" applyAlignment="1">
      <alignment horizontal="center"/>
    </xf>
    <xf numFmtId="178" fontId="58" fillId="0" borderId="91" xfId="0" applyNumberFormat="1" applyFont="1" applyBorder="1" applyAlignment="1">
      <alignment horizontal="right"/>
    </xf>
    <xf numFmtId="179" fontId="58" fillId="0" borderId="92" xfId="0" applyNumberFormat="1" applyFont="1" applyBorder="1" applyAlignment="1">
      <alignment horizontal="right"/>
    </xf>
    <xf numFmtId="179" fontId="58" fillId="0" borderId="91" xfId="0" applyNumberFormat="1" applyFont="1" applyBorder="1" applyAlignment="1">
      <alignment horizontal="right"/>
    </xf>
    <xf numFmtId="179" fontId="58" fillId="0" borderId="88" xfId="0" applyNumberFormat="1" applyFont="1" applyBorder="1" applyAlignment="1">
      <alignment horizontal="center"/>
    </xf>
    <xf numFmtId="179" fontId="58" fillId="0" borderId="94" xfId="0" applyNumberFormat="1" applyFont="1" applyBorder="1" applyAlignment="1">
      <alignment horizontal="center"/>
    </xf>
    <xf numFmtId="178" fontId="58" fillId="0" borderId="95" xfId="0" applyNumberFormat="1" applyFont="1" applyBorder="1" applyAlignment="1">
      <alignment horizontal="right"/>
    </xf>
    <xf numFmtId="179" fontId="58" fillId="0" borderId="88" xfId="0" applyNumberFormat="1" applyFont="1" applyBorder="1" applyAlignment="1">
      <alignment horizontal="right"/>
    </xf>
    <xf numFmtId="179" fontId="58" fillId="0" borderId="95" xfId="0" applyNumberFormat="1" applyFont="1" applyBorder="1" applyAlignment="1">
      <alignment horizontal="right"/>
    </xf>
    <xf numFmtId="0" fontId="58" fillId="0" borderId="91" xfId="0" applyFont="1" applyBorder="1"/>
    <xf numFmtId="0" fontId="58" fillId="5" borderId="23" xfId="0" applyFont="1" applyFill="1" applyBorder="1"/>
    <xf numFmtId="0" fontId="58" fillId="0" borderId="97" xfId="0" applyFont="1" applyBorder="1" applyAlignment="1">
      <alignment horizontal="left" vertical="top" wrapText="1"/>
    </xf>
    <xf numFmtId="178" fontId="58" fillId="0" borderId="14" xfId="0" applyNumberFormat="1" applyFont="1" applyBorder="1" applyAlignment="1">
      <alignment horizontal="right"/>
    </xf>
    <xf numFmtId="179" fontId="58" fillId="0" borderId="89" xfId="0" applyNumberFormat="1" applyFont="1" applyBorder="1" applyAlignment="1">
      <alignment horizontal="right"/>
    </xf>
    <xf numFmtId="179" fontId="58" fillId="0" borderId="97" xfId="0" applyNumberFormat="1" applyFont="1" applyBorder="1" applyAlignment="1">
      <alignment horizontal="right"/>
    </xf>
    <xf numFmtId="179" fontId="58" fillId="0" borderId="90" xfId="0" applyNumberFormat="1" applyFont="1" applyBorder="1" applyAlignment="1">
      <alignment horizontal="center"/>
    </xf>
    <xf numFmtId="179" fontId="58" fillId="0" borderId="32" xfId="0" applyNumberFormat="1" applyFont="1" applyBorder="1" applyAlignment="1">
      <alignment horizontal="center"/>
    </xf>
    <xf numFmtId="0" fontId="58" fillId="22" borderId="23" xfId="0" applyFont="1" applyFill="1" applyBorder="1"/>
    <xf numFmtId="178" fontId="98" fillId="0" borderId="88" xfId="0" applyNumberFormat="1" applyFont="1" applyBorder="1" applyAlignment="1">
      <alignment horizontal="center"/>
    </xf>
    <xf numFmtId="178" fontId="98" fillId="0" borderId="1" xfId="0" applyNumberFormat="1" applyFont="1" applyBorder="1" applyAlignment="1">
      <alignment horizontal="center"/>
    </xf>
    <xf numFmtId="179" fontId="58" fillId="0" borderId="94" xfId="0" applyNumberFormat="1" applyFont="1" applyBorder="1"/>
    <xf numFmtId="178" fontId="98" fillId="0" borderId="92" xfId="0" applyNumberFormat="1" applyFont="1" applyBorder="1" applyAlignment="1">
      <alignment horizontal="center"/>
    </xf>
    <xf numFmtId="178" fontId="98" fillId="0" borderId="4" xfId="0" applyNumberFormat="1" applyFont="1" applyBorder="1" applyAlignment="1">
      <alignment horizontal="center"/>
    </xf>
    <xf numFmtId="179" fontId="58" fillId="0" borderId="46" xfId="0" applyNumberFormat="1" applyFont="1" applyBorder="1"/>
    <xf numFmtId="178" fontId="58" fillId="0" borderId="96" xfId="0" applyNumberFormat="1" applyFont="1" applyBorder="1" applyAlignment="1">
      <alignment horizontal="center" vertical="center"/>
    </xf>
    <xf numFmtId="179" fontId="58" fillId="0" borderId="96" xfId="0" applyNumberFormat="1" applyFont="1" applyBorder="1" applyAlignment="1">
      <alignment horizontal="right"/>
    </xf>
    <xf numFmtId="179" fontId="58" fillId="0" borderId="94" xfId="0" applyNumberFormat="1" applyFont="1" applyBorder="1" applyAlignment="1">
      <alignment horizontal="right"/>
    </xf>
    <xf numFmtId="179" fontId="97" fillId="0" borderId="89" xfId="0" applyNumberFormat="1" applyFont="1" applyBorder="1" applyAlignment="1">
      <alignment horizontal="center"/>
    </xf>
    <xf numFmtId="178" fontId="97" fillId="0" borderId="20" xfId="0" applyNumberFormat="1" applyFont="1" applyBorder="1" applyAlignment="1">
      <alignment horizontal="center"/>
    </xf>
    <xf numFmtId="178" fontId="97" fillId="0" borderId="96" xfId="0" applyNumberFormat="1" applyFont="1" applyBorder="1" applyAlignment="1">
      <alignment horizontal="center"/>
    </xf>
    <xf numFmtId="178" fontId="25" fillId="0" borderId="84" xfId="0" applyNumberFormat="1" applyFont="1" applyBorder="1"/>
    <xf numFmtId="179" fontId="58" fillId="0" borderId="89" xfId="0" applyNumberFormat="1" applyFont="1" applyBorder="1" applyAlignment="1">
      <alignment horizontal="center"/>
    </xf>
    <xf numFmtId="179" fontId="25" fillId="0" borderId="84" xfId="0" applyNumberFormat="1" applyFont="1" applyBorder="1"/>
    <xf numFmtId="179" fontId="25" fillId="0" borderId="84" xfId="0" applyNumberFormat="1" applyFont="1" applyBorder="1" applyAlignment="1">
      <alignment horizontal="center"/>
    </xf>
    <xf numFmtId="3" fontId="58" fillId="0" borderId="92" xfId="0" applyNumberFormat="1" applyFont="1" applyBorder="1"/>
    <xf numFmtId="0" fontId="58" fillId="0" borderId="90" xfId="0" applyFont="1" applyBorder="1" applyAlignment="1">
      <alignment horizontal="left"/>
    </xf>
    <xf numFmtId="3" fontId="58" fillId="0" borderId="90" xfId="0" applyNumberFormat="1" applyFont="1" applyBorder="1"/>
    <xf numFmtId="178" fontId="58" fillId="0" borderId="73" xfId="0" applyNumberFormat="1" applyFont="1" applyBorder="1" applyAlignment="1">
      <alignment horizontal="right"/>
    </xf>
    <xf numFmtId="179" fontId="58" fillId="0" borderId="73" xfId="0" applyNumberFormat="1" applyFont="1" applyBorder="1" applyAlignment="1">
      <alignment horizontal="right"/>
    </xf>
    <xf numFmtId="178" fontId="25" fillId="0" borderId="96" xfId="0" applyNumberFormat="1" applyFont="1" applyBorder="1" applyAlignment="1">
      <alignment horizontal="center"/>
    </xf>
    <xf numFmtId="178" fontId="97" fillId="0" borderId="96" xfId="0" applyNumberFormat="1" applyFont="1" applyBorder="1" applyAlignment="1">
      <alignment horizontal="right"/>
    </xf>
    <xf numFmtId="179" fontId="97" fillId="0" borderId="96" xfId="0" applyNumberFormat="1" applyFont="1" applyBorder="1" applyAlignment="1">
      <alignment horizontal="right"/>
    </xf>
    <xf numFmtId="179" fontId="97" fillId="0" borderId="96" xfId="0" applyNumberFormat="1" applyFont="1" applyBorder="1" applyAlignment="1">
      <alignment horizontal="center"/>
    </xf>
    <xf numFmtId="3" fontId="58" fillId="0" borderId="0" xfId="0" applyNumberFormat="1" applyFont="1"/>
    <xf numFmtId="174" fontId="58" fillId="0" borderId="0" xfId="0" applyNumberFormat="1" applyFont="1" applyAlignment="1">
      <alignment horizontal="center"/>
    </xf>
    <xf numFmtId="174" fontId="58" fillId="0" borderId="0" xfId="0" applyNumberFormat="1" applyFont="1" applyAlignment="1">
      <alignment horizontal="right"/>
    </xf>
    <xf numFmtId="174" fontId="99" fillId="23" borderId="23" xfId="0" applyNumberFormat="1" applyFont="1" applyFill="1" applyBorder="1" applyAlignment="1">
      <alignment horizontal="center"/>
    </xf>
    <xf numFmtId="0" fontId="86" fillId="0" borderId="27" xfId="0" applyFont="1" applyBorder="1" applyAlignment="1">
      <alignment horizontal="center"/>
    </xf>
    <xf numFmtId="0" fontId="93" fillId="0" borderId="27" xfId="0" applyFont="1" applyBorder="1" applyAlignment="1">
      <alignment horizontal="right"/>
    </xf>
    <xf numFmtId="0" fontId="86" fillId="0" borderId="27" xfId="0" applyFont="1" applyBorder="1" applyAlignment="1">
      <alignment horizontal="right"/>
    </xf>
    <xf numFmtId="0" fontId="86" fillId="0" borderId="0" xfId="0" applyFont="1" applyAlignment="1">
      <alignment horizontal="center"/>
    </xf>
    <xf numFmtId="0" fontId="93" fillId="0" borderId="27" xfId="0" applyFont="1" applyBorder="1" applyAlignment="1">
      <alignment horizontal="center"/>
    </xf>
    <xf numFmtId="0" fontId="58" fillId="0" borderId="27" xfId="0" applyFont="1" applyBorder="1" applyAlignment="1">
      <alignment horizontal="center" wrapText="1"/>
    </xf>
    <xf numFmtId="169" fontId="25" fillId="0" borderId="2" xfId="0" applyNumberFormat="1" applyFont="1" applyBorder="1" applyAlignment="1">
      <alignment horizontal="center"/>
    </xf>
    <xf numFmtId="172" fontId="58" fillId="0" borderId="31" xfId="0" applyNumberFormat="1" applyFont="1" applyBorder="1" applyAlignment="1">
      <alignment horizontal="right"/>
    </xf>
    <xf numFmtId="169" fontId="25" fillId="0" borderId="2" xfId="0" applyNumberFormat="1" applyFont="1" applyBorder="1" applyAlignment="1">
      <alignment horizontal="right"/>
    </xf>
    <xf numFmtId="169" fontId="25" fillId="0" borderId="31" xfId="0" applyNumberFormat="1" applyFont="1" applyBorder="1" applyAlignment="1">
      <alignment horizontal="center"/>
    </xf>
    <xf numFmtId="169" fontId="25" fillId="0" borderId="0" xfId="0" applyNumberFormat="1" applyFont="1" applyAlignment="1">
      <alignment horizontal="center"/>
    </xf>
    <xf numFmtId="169" fontId="58" fillId="24" borderId="2" xfId="0" applyNumberFormat="1" applyFont="1" applyFill="1" applyBorder="1" applyAlignment="1">
      <alignment horizontal="center"/>
    </xf>
    <xf numFmtId="172" fontId="58" fillId="0" borderId="31" xfId="0" applyNumberFormat="1" applyFont="1" applyBorder="1"/>
    <xf numFmtId="0" fontId="1" fillId="0" borderId="35" xfId="0" applyFont="1" applyBorder="1"/>
    <xf numFmtId="172" fontId="58" fillId="0" borderId="1" xfId="0" applyNumberFormat="1" applyFont="1" applyBorder="1" applyAlignment="1">
      <alignment horizontal="right"/>
    </xf>
    <xf numFmtId="169" fontId="25" fillId="0" borderId="1" xfId="0" applyNumberFormat="1" applyFont="1" applyBorder="1" applyAlignment="1">
      <alignment horizontal="center"/>
    </xf>
    <xf numFmtId="172" fontId="58" fillId="0" borderId="1" xfId="0" applyNumberFormat="1" applyFont="1" applyBorder="1"/>
    <xf numFmtId="0" fontId="58" fillId="0" borderId="30" xfId="0" applyFont="1" applyBorder="1" applyAlignment="1">
      <alignment horizontal="center" wrapText="1"/>
    </xf>
    <xf numFmtId="0" fontId="25" fillId="0" borderId="30" xfId="0" applyFont="1" applyBorder="1"/>
    <xf numFmtId="172" fontId="25" fillId="0" borderId="0" xfId="0" applyNumberFormat="1" applyFont="1" applyAlignment="1">
      <alignment horizontal="right"/>
    </xf>
    <xf numFmtId="172" fontId="25" fillId="0" borderId="0" xfId="0" applyNumberFormat="1" applyFont="1"/>
    <xf numFmtId="0" fontId="25" fillId="0" borderId="35" xfId="0" applyFont="1" applyBorder="1"/>
    <xf numFmtId="172" fontId="25" fillId="0" borderId="1" xfId="0" applyNumberFormat="1" applyFont="1" applyBorder="1" applyAlignment="1">
      <alignment horizontal="right"/>
    </xf>
    <xf numFmtId="172" fontId="25" fillId="0" borderId="1" xfId="0" applyNumberFormat="1" applyFont="1" applyBorder="1"/>
    <xf numFmtId="9" fontId="25" fillId="0" borderId="0" xfId="0" applyNumberFormat="1" applyFont="1" applyAlignment="1">
      <alignment horizontal="center"/>
    </xf>
    <xf numFmtId="3" fontId="25" fillId="0" borderId="0" xfId="0" applyNumberFormat="1" applyFont="1" applyAlignment="1">
      <alignment horizontal="right"/>
    </xf>
    <xf numFmtId="9" fontId="25" fillId="0" borderId="0" xfId="0" applyNumberFormat="1" applyFont="1" applyAlignment="1">
      <alignment horizontal="right"/>
    </xf>
    <xf numFmtId="9" fontId="25" fillId="0" borderId="0" xfId="0" applyNumberFormat="1" applyFont="1"/>
    <xf numFmtId="3" fontId="25" fillId="0" borderId="0" xfId="0" applyNumberFormat="1" applyFont="1"/>
    <xf numFmtId="0" fontId="95" fillId="0" borderId="0" xfId="0" applyFont="1"/>
    <xf numFmtId="0" fontId="93" fillId="0" borderId="0" xfId="0" applyFont="1" applyAlignment="1">
      <alignment horizontal="right"/>
    </xf>
    <xf numFmtId="0" fontId="58" fillId="0" borderId="0" xfId="0" applyFont="1" applyAlignment="1">
      <alignment vertical="center"/>
    </xf>
    <xf numFmtId="0" fontId="25" fillId="0" borderId="0" xfId="0" applyFont="1" applyAlignment="1">
      <alignment vertical="center"/>
    </xf>
    <xf numFmtId="0" fontId="93" fillId="0" borderId="0" xfId="0" applyFont="1" applyAlignment="1">
      <alignment horizontal="center" vertical="center"/>
    </xf>
    <xf numFmtId="0" fontId="93" fillId="0" borderId="0" xfId="0" applyFont="1" applyAlignment="1">
      <alignment horizontal="right" vertical="center"/>
    </xf>
    <xf numFmtId="0" fontId="25" fillId="0" borderId="0" xfId="0" applyFont="1" applyAlignment="1">
      <alignment horizontal="center" shrinkToFit="1"/>
    </xf>
    <xf numFmtId="176" fontId="58" fillId="0" borderId="0" xfId="0" applyNumberFormat="1" applyFont="1" applyAlignment="1">
      <alignment horizontal="center"/>
    </xf>
    <xf numFmtId="0" fontId="100" fillId="0" borderId="0" xfId="0" applyFont="1" applyAlignment="1">
      <alignment vertical="center"/>
    </xf>
    <xf numFmtId="0" fontId="101" fillId="0" borderId="0" xfId="0" applyFont="1" applyAlignment="1">
      <alignment horizontal="center"/>
    </xf>
    <xf numFmtId="179" fontId="37" fillId="0" borderId="0" xfId="0" applyNumberFormat="1" applyFont="1" applyAlignment="1">
      <alignment horizontal="center"/>
    </xf>
    <xf numFmtId="179" fontId="1" fillId="0" borderId="0" xfId="0" applyNumberFormat="1" applyFont="1" applyAlignment="1">
      <alignment horizontal="center"/>
    </xf>
    <xf numFmtId="0" fontId="1" fillId="0" borderId="0" xfId="0" applyFont="1" applyAlignment="1">
      <alignment horizontal="right"/>
    </xf>
    <xf numFmtId="0" fontId="100" fillId="0" borderId="0" xfId="0" applyFont="1"/>
    <xf numFmtId="0" fontId="25" fillId="0" borderId="0" xfId="0" applyFont="1" applyAlignment="1">
      <alignment horizontal="center"/>
    </xf>
    <xf numFmtId="0" fontId="93" fillId="25" borderId="23" xfId="0" applyFont="1" applyFill="1" applyBorder="1" applyAlignment="1">
      <alignment horizontal="center"/>
    </xf>
    <xf numFmtId="9" fontId="1" fillId="0" borderId="0" xfId="0" applyNumberFormat="1" applyFont="1" applyAlignment="1">
      <alignment horizontal="right"/>
    </xf>
    <xf numFmtId="0" fontId="60" fillId="19" borderId="23" xfId="0" applyFont="1" applyFill="1" applyBorder="1"/>
    <xf numFmtId="0" fontId="60" fillId="19" borderId="23" xfId="0" applyFont="1" applyFill="1" applyBorder="1" applyAlignment="1">
      <alignment horizontal="center"/>
    </xf>
    <xf numFmtId="10" fontId="60" fillId="19" borderId="23" xfId="0" applyNumberFormat="1" applyFont="1" applyFill="1" applyBorder="1"/>
    <xf numFmtId="10" fontId="60" fillId="19" borderId="23" xfId="0" applyNumberFormat="1" applyFont="1" applyFill="1" applyBorder="1" applyAlignment="1">
      <alignment horizontal="center"/>
    </xf>
    <xf numFmtId="9" fontId="1" fillId="0" borderId="0" xfId="0" applyNumberFormat="1" applyFont="1" applyAlignment="1">
      <alignment horizontal="center"/>
    </xf>
    <xf numFmtId="0" fontId="1" fillId="0" borderId="3" xfId="0" applyFont="1" applyBorder="1"/>
    <xf numFmtId="9" fontId="1" fillId="0" borderId="4" xfId="0" applyNumberFormat="1" applyFont="1" applyBorder="1" applyAlignment="1">
      <alignment horizontal="right"/>
    </xf>
    <xf numFmtId="9" fontId="1" fillId="5" borderId="101" xfId="0" applyNumberFormat="1" applyFont="1" applyFill="1" applyBorder="1" applyAlignment="1">
      <alignment horizontal="right"/>
    </xf>
    <xf numFmtId="9" fontId="1" fillId="5" borderId="50" xfId="0" applyNumberFormat="1" applyFont="1" applyFill="1" applyBorder="1" applyAlignment="1">
      <alignment horizontal="right"/>
    </xf>
    <xf numFmtId="9" fontId="1" fillId="0" borderId="5" xfId="0" applyNumberFormat="1" applyFont="1" applyBorder="1" applyAlignment="1">
      <alignment horizontal="right"/>
    </xf>
    <xf numFmtId="0" fontId="60" fillId="0" borderId="0" xfId="0" applyFont="1" applyAlignment="1">
      <alignment horizontal="center"/>
    </xf>
    <xf numFmtId="0" fontId="60" fillId="0" borderId="0" xfId="0" applyFont="1"/>
    <xf numFmtId="0" fontId="101" fillId="0" borderId="0" xfId="0" applyFont="1" applyAlignment="1">
      <alignment horizontal="right"/>
    </xf>
    <xf numFmtId="0" fontId="93" fillId="0" borderId="0" xfId="0" applyFont="1"/>
    <xf numFmtId="166" fontId="58" fillId="0" borderId="0" xfId="0" applyNumberFormat="1" applyFont="1" applyAlignment="1">
      <alignment horizontal="center"/>
    </xf>
    <xf numFmtId="179" fontId="1" fillId="0" borderId="0" xfId="0" applyNumberFormat="1" applyFont="1" applyAlignment="1">
      <alignment horizontal="right"/>
    </xf>
    <xf numFmtId="0" fontId="1" fillId="0" borderId="20" xfId="0" applyFont="1" applyBorder="1"/>
    <xf numFmtId="179" fontId="1" fillId="0" borderId="21" xfId="0" applyNumberFormat="1" applyFont="1" applyBorder="1" applyAlignment="1">
      <alignment horizontal="right"/>
    </xf>
    <xf numFmtId="175" fontId="58" fillId="0" borderId="0" xfId="0" applyNumberFormat="1" applyFont="1" applyAlignment="1">
      <alignment horizontal="center"/>
    </xf>
    <xf numFmtId="175" fontId="58" fillId="0" borderId="0" xfId="0" applyNumberFormat="1" applyFont="1" applyAlignment="1">
      <alignment horizontal="right"/>
    </xf>
    <xf numFmtId="0" fontId="103" fillId="16" borderId="23" xfId="0" applyFont="1" applyFill="1" applyBorder="1" applyAlignment="1">
      <alignment vertical="center"/>
    </xf>
    <xf numFmtId="0" fontId="104" fillId="16" borderId="23" xfId="0" applyFont="1" applyFill="1" applyBorder="1" applyAlignment="1">
      <alignment horizontal="center"/>
    </xf>
    <xf numFmtId="0" fontId="86" fillId="16" borderId="23" xfId="0" applyFont="1" applyFill="1" applyBorder="1" applyAlignment="1">
      <alignment horizontal="center"/>
    </xf>
    <xf numFmtId="179" fontId="37" fillId="0" borderId="0" xfId="0" applyNumberFormat="1" applyFont="1" applyAlignment="1">
      <alignment horizontal="right"/>
    </xf>
    <xf numFmtId="10" fontId="58" fillId="0" borderId="0" xfId="0" applyNumberFormat="1" applyFont="1" applyAlignment="1">
      <alignment horizontal="center"/>
    </xf>
    <xf numFmtId="9" fontId="58" fillId="0" borderId="0" xfId="0" applyNumberFormat="1" applyFont="1" applyAlignment="1">
      <alignment horizontal="center"/>
    </xf>
    <xf numFmtId="10" fontId="1" fillId="0" borderId="0" xfId="0" applyNumberFormat="1" applyFont="1" applyAlignment="1">
      <alignment horizontal="center"/>
    </xf>
    <xf numFmtId="10" fontId="1" fillId="0" borderId="0" xfId="0" applyNumberFormat="1" applyFont="1" applyAlignment="1">
      <alignment horizontal="right"/>
    </xf>
    <xf numFmtId="3" fontId="1" fillId="0" borderId="0" xfId="0" applyNumberFormat="1" applyFont="1" applyAlignment="1">
      <alignment horizontal="right"/>
    </xf>
    <xf numFmtId="3" fontId="1" fillId="0" borderId="0" xfId="0" applyNumberFormat="1" applyFont="1" applyAlignment="1">
      <alignment horizontal="center"/>
    </xf>
    <xf numFmtId="9" fontId="60" fillId="0" borderId="0" xfId="0" applyNumberFormat="1" applyFont="1" applyAlignment="1">
      <alignment horizontal="center"/>
    </xf>
    <xf numFmtId="166" fontId="1" fillId="0" borderId="4" xfId="0" applyNumberFormat="1" applyFont="1" applyBorder="1" applyAlignment="1">
      <alignment horizontal="center"/>
    </xf>
    <xf numFmtId="166" fontId="1" fillId="0" borderId="4" xfId="0" applyNumberFormat="1" applyFont="1" applyBorder="1" applyAlignment="1">
      <alignment horizontal="right"/>
    </xf>
    <xf numFmtId="0" fontId="62" fillId="0" borderId="0" xfId="0" applyFont="1" applyAlignment="1">
      <alignment horizontal="center" vertical="center"/>
    </xf>
    <xf numFmtId="0" fontId="62" fillId="0" borderId="0" xfId="0" applyFont="1" applyAlignment="1">
      <alignment horizontal="right" vertical="center"/>
    </xf>
    <xf numFmtId="0" fontId="14" fillId="0" borderId="0" xfId="0" applyFont="1" applyAlignment="1">
      <alignment horizontal="right"/>
    </xf>
    <xf numFmtId="0" fontId="1" fillId="0" borderId="0" xfId="0" applyFont="1" applyAlignment="1">
      <alignment vertical="center"/>
    </xf>
    <xf numFmtId="10" fontId="1" fillId="0" borderId="0" xfId="0" applyNumberFormat="1" applyFont="1" applyAlignment="1">
      <alignment horizontal="center" vertical="center"/>
    </xf>
    <xf numFmtId="10" fontId="1" fillId="0" borderId="0" xfId="0" applyNumberFormat="1" applyFont="1" applyAlignment="1">
      <alignment horizontal="right" vertical="center"/>
    </xf>
    <xf numFmtId="181" fontId="14" fillId="0" borderId="0" xfId="0" applyNumberFormat="1" applyFont="1" applyAlignment="1">
      <alignment horizontal="right"/>
    </xf>
    <xf numFmtId="0" fontId="28" fillId="0" borderId="0" xfId="0" applyFont="1" applyAlignment="1">
      <alignment vertical="center"/>
    </xf>
    <xf numFmtId="169" fontId="14" fillId="0" borderId="0" xfId="0" applyNumberFormat="1" applyFont="1" applyAlignment="1">
      <alignment horizontal="right"/>
    </xf>
    <xf numFmtId="179" fontId="1" fillId="0" borderId="0" xfId="0" applyNumberFormat="1" applyFont="1" applyAlignment="1">
      <alignment horizontal="center" vertical="center"/>
    </xf>
    <xf numFmtId="179" fontId="1" fillId="0" borderId="0" xfId="0" applyNumberFormat="1" applyFont="1" applyAlignment="1">
      <alignment horizontal="right" vertical="center"/>
    </xf>
    <xf numFmtId="10" fontId="93" fillId="0" borderId="84" xfId="0" applyNumberFormat="1" applyFont="1" applyBorder="1" applyAlignment="1">
      <alignment horizontal="right"/>
    </xf>
    <xf numFmtId="0" fontId="47" fillId="0" borderId="20" xfId="0" applyFont="1" applyBorder="1" applyAlignment="1">
      <alignment horizontal="left" vertical="center"/>
    </xf>
    <xf numFmtId="0" fontId="101" fillId="0" borderId="20" xfId="0" applyFont="1" applyBorder="1" applyAlignment="1">
      <alignment vertical="center"/>
    </xf>
    <xf numFmtId="167" fontId="58" fillId="0" borderId="0" xfId="0" applyNumberFormat="1" applyFont="1"/>
    <xf numFmtId="9" fontId="25" fillId="0" borderId="84" xfId="0" applyNumberFormat="1" applyFont="1" applyBorder="1" applyAlignment="1">
      <alignment horizontal="right"/>
    </xf>
    <xf numFmtId="182" fontId="28" fillId="0" borderId="0" xfId="0" applyNumberFormat="1" applyFont="1" applyAlignment="1">
      <alignment horizontal="left" vertical="center"/>
    </xf>
    <xf numFmtId="10" fontId="37" fillId="0" borderId="84" xfId="0" applyNumberFormat="1" applyFont="1" applyBorder="1" applyAlignment="1">
      <alignment horizontal="center" vertical="center"/>
    </xf>
    <xf numFmtId="10" fontId="37" fillId="0" borderId="84" xfId="0" applyNumberFormat="1" applyFont="1" applyBorder="1" applyAlignment="1">
      <alignment horizontal="right" vertical="center"/>
    </xf>
    <xf numFmtId="10" fontId="37" fillId="0" borderId="0" xfId="0" applyNumberFormat="1" applyFont="1" applyAlignment="1">
      <alignment horizontal="right" vertical="center"/>
    </xf>
    <xf numFmtId="0" fontId="105" fillId="26" borderId="102" xfId="0" applyFont="1" applyFill="1" applyBorder="1" applyAlignment="1">
      <alignment horizontal="center" vertical="center"/>
    </xf>
    <xf numFmtId="0" fontId="105" fillId="0" borderId="31" xfId="0" applyFont="1" applyBorder="1" applyAlignment="1">
      <alignment horizontal="right" vertical="center"/>
    </xf>
    <xf numFmtId="0" fontId="105" fillId="0" borderId="0" xfId="0" applyFont="1" applyAlignment="1">
      <alignment horizontal="right" vertical="center"/>
    </xf>
    <xf numFmtId="0" fontId="105" fillId="27" borderId="23" xfId="0" applyFont="1" applyFill="1" applyBorder="1" applyAlignment="1">
      <alignment horizontal="center"/>
    </xf>
    <xf numFmtId="0" fontId="105" fillId="0" borderId="0" xfId="0" applyFont="1" applyAlignment="1">
      <alignment horizontal="right"/>
    </xf>
    <xf numFmtId="0" fontId="1" fillId="0" borderId="31" xfId="0" applyFont="1" applyBorder="1" applyAlignment="1">
      <alignment horizontal="left" vertical="center"/>
    </xf>
    <xf numFmtId="3" fontId="1" fillId="0" borderId="31" xfId="0" applyNumberFormat="1" applyFont="1" applyBorder="1" applyAlignment="1">
      <alignment horizontal="center" vertical="center"/>
    </xf>
    <xf numFmtId="3" fontId="1" fillId="0" borderId="31" xfId="0" applyNumberFormat="1" applyFont="1" applyBorder="1" applyAlignment="1">
      <alignment horizontal="right" vertical="center"/>
    </xf>
    <xf numFmtId="3" fontId="1" fillId="0" borderId="0" xfId="0" applyNumberFormat="1" applyFont="1" applyAlignment="1">
      <alignment horizontal="right" vertical="center"/>
    </xf>
    <xf numFmtId="0" fontId="1" fillId="0" borderId="0" xfId="0" applyFont="1" applyAlignment="1">
      <alignment horizontal="left" vertical="center"/>
    </xf>
    <xf numFmtId="183" fontId="1" fillId="0" borderId="0" xfId="0" applyNumberFormat="1" applyFont="1" applyAlignment="1">
      <alignment horizontal="center" vertical="center"/>
    </xf>
    <xf numFmtId="183" fontId="1" fillId="0" borderId="0" xfId="0" applyNumberFormat="1" applyFont="1" applyAlignment="1">
      <alignment horizontal="right" vertical="center"/>
    </xf>
    <xf numFmtId="0" fontId="1" fillId="0" borderId="4" xfId="0" applyFont="1" applyBorder="1" applyAlignment="1">
      <alignment horizontal="left" vertical="center"/>
    </xf>
    <xf numFmtId="179" fontId="1" fillId="0" borderId="4" xfId="0" applyNumberFormat="1" applyFont="1" applyBorder="1" applyAlignment="1">
      <alignment horizontal="center" vertical="center"/>
    </xf>
    <xf numFmtId="179" fontId="1" fillId="0" borderId="4" xfId="0" applyNumberFormat="1" applyFont="1" applyBorder="1" applyAlignment="1">
      <alignment horizontal="right" vertical="center"/>
    </xf>
    <xf numFmtId="0" fontId="47" fillId="0" borderId="31" xfId="0" applyFont="1" applyBorder="1" applyAlignment="1">
      <alignment vertical="center"/>
    </xf>
    <xf numFmtId="0" fontId="29" fillId="0" borderId="0" xfId="0" applyFont="1" applyAlignment="1">
      <alignment vertical="center"/>
    </xf>
    <xf numFmtId="0" fontId="106" fillId="0" borderId="103" xfId="0" applyFont="1" applyBorder="1" applyAlignment="1">
      <alignment vertical="center"/>
    </xf>
    <xf numFmtId="0" fontId="107" fillId="0" borderId="0" xfId="0" applyFont="1" applyAlignment="1">
      <alignment horizontal="center" vertical="center"/>
    </xf>
    <xf numFmtId="0" fontId="107" fillId="0" borderId="0" xfId="0" applyFont="1" applyAlignment="1">
      <alignment horizontal="right" vertical="center"/>
    </xf>
    <xf numFmtId="2" fontId="60" fillId="0" borderId="0" xfId="0" applyNumberFormat="1" applyFont="1" applyAlignment="1">
      <alignment horizontal="right"/>
    </xf>
    <xf numFmtId="166" fontId="1" fillId="0" borderId="0" xfId="0" applyNumberFormat="1" applyFont="1" applyAlignment="1">
      <alignment horizontal="right"/>
    </xf>
    <xf numFmtId="0" fontId="107" fillId="0" borderId="0" xfId="0" applyFont="1" applyAlignment="1">
      <alignment horizontal="center"/>
    </xf>
    <xf numFmtId="0" fontId="107" fillId="0" borderId="0" xfId="0" applyFont="1" applyAlignment="1">
      <alignment horizontal="right"/>
    </xf>
    <xf numFmtId="0" fontId="108" fillId="0" borderId="2" xfId="0" applyFont="1" applyBorder="1"/>
    <xf numFmtId="10" fontId="58" fillId="0" borderId="2" xfId="0" applyNumberFormat="1" applyFont="1" applyBorder="1" applyAlignment="1">
      <alignment horizontal="center"/>
    </xf>
    <xf numFmtId="0" fontId="109" fillId="0" borderId="0" xfId="0" applyFont="1" applyAlignment="1">
      <alignment vertical="center"/>
    </xf>
    <xf numFmtId="0" fontId="28" fillId="0" borderId="0" xfId="0" applyFont="1" applyAlignment="1">
      <alignment horizontal="center"/>
    </xf>
    <xf numFmtId="179" fontId="25" fillId="0" borderId="0" xfId="0" applyNumberFormat="1" applyFont="1"/>
    <xf numFmtId="179" fontId="58" fillId="0" borderId="0" xfId="0" applyNumberFormat="1" applyFont="1"/>
    <xf numFmtId="0" fontId="94" fillId="0" borderId="0" xfId="0" applyFont="1" applyAlignment="1">
      <alignment horizontal="center"/>
    </xf>
    <xf numFmtId="0" fontId="84" fillId="0" borderId="2" xfId="0" applyFont="1" applyBorder="1" applyAlignment="1">
      <alignment horizontal="center"/>
    </xf>
    <xf numFmtId="0" fontId="84" fillId="0" borderId="3" xfId="0" applyFont="1" applyBorder="1" applyAlignment="1">
      <alignment horizontal="center"/>
    </xf>
    <xf numFmtId="0" fontId="84" fillId="0" borderId="0" xfId="0" applyFont="1" applyAlignment="1">
      <alignment horizontal="center"/>
    </xf>
    <xf numFmtId="0" fontId="58" fillId="0" borderId="34" xfId="0" applyFont="1" applyBorder="1"/>
    <xf numFmtId="3" fontId="58" fillId="0" borderId="2" xfId="0" applyNumberFormat="1" applyFont="1" applyBorder="1"/>
    <xf numFmtId="0" fontId="110" fillId="0" borderId="0" xfId="0" applyFont="1" applyAlignment="1">
      <alignment horizontal="center"/>
    </xf>
    <xf numFmtId="9" fontId="58" fillId="0" borderId="0" xfId="0" applyNumberFormat="1" applyFont="1"/>
    <xf numFmtId="9" fontId="110" fillId="0" borderId="0" xfId="0" applyNumberFormat="1" applyFont="1" applyAlignment="1">
      <alignment horizontal="center"/>
    </xf>
    <xf numFmtId="0" fontId="58" fillId="0" borderId="104" xfId="0" applyFont="1" applyBorder="1"/>
    <xf numFmtId="0" fontId="84" fillId="0" borderId="3" xfId="0" applyFont="1" applyBorder="1"/>
    <xf numFmtId="10" fontId="111" fillId="0" borderId="2" xfId="0" applyNumberFormat="1" applyFont="1" applyBorder="1"/>
    <xf numFmtId="0" fontId="42" fillId="0" borderId="3" xfId="0" applyFont="1" applyBorder="1"/>
    <xf numFmtId="167" fontId="58" fillId="0" borderId="2" xfId="0" applyNumberFormat="1" applyFont="1" applyBorder="1"/>
    <xf numFmtId="0" fontId="42" fillId="0" borderId="98" xfId="0" applyFont="1" applyBorder="1"/>
    <xf numFmtId="0" fontId="58" fillId="0" borderId="3" xfId="0" applyFont="1" applyBorder="1"/>
    <xf numFmtId="169" fontId="58" fillId="0" borderId="2" xfId="0" applyNumberFormat="1" applyFont="1" applyBorder="1"/>
    <xf numFmtId="10" fontId="110" fillId="29" borderId="105" xfId="0" applyNumberFormat="1" applyFont="1" applyFill="1" applyBorder="1" applyAlignment="1">
      <alignment vertical="center"/>
    </xf>
    <xf numFmtId="0" fontId="84" fillId="0" borderId="104" xfId="0" applyFont="1" applyBorder="1"/>
    <xf numFmtId="0" fontId="1" fillId="0" borderId="96" xfId="0" applyFont="1" applyBorder="1"/>
    <xf numFmtId="0" fontId="112" fillId="0" borderId="0" xfId="0" applyFont="1" applyAlignment="1">
      <alignment horizontal="center"/>
    </xf>
    <xf numFmtId="3" fontId="25" fillId="0" borderId="20" xfId="0" applyNumberFormat="1" applyFont="1" applyBorder="1" applyAlignment="1">
      <alignment horizontal="right"/>
    </xf>
    <xf numFmtId="0" fontId="25" fillId="0" borderId="21" xfId="0" applyFont="1" applyBorder="1"/>
    <xf numFmtId="0" fontId="25" fillId="0" borderId="22" xfId="0" applyFont="1" applyBorder="1"/>
    <xf numFmtId="0" fontId="84" fillId="0" borderId="0" xfId="0" applyFont="1"/>
    <xf numFmtId="0" fontId="58" fillId="0" borderId="29" xfId="0" applyFont="1" applyBorder="1"/>
    <xf numFmtId="3" fontId="58" fillId="0" borderId="35" xfId="0" applyNumberFormat="1" applyFont="1" applyBorder="1"/>
    <xf numFmtId="0" fontId="58" fillId="30" borderId="23" xfId="0" applyFont="1" applyFill="1" applyBorder="1"/>
    <xf numFmtId="0" fontId="58" fillId="0" borderId="106" xfId="0" applyFont="1" applyBorder="1"/>
    <xf numFmtId="0" fontId="113" fillId="0" borderId="107" xfId="0" applyFont="1" applyBorder="1"/>
    <xf numFmtId="3" fontId="88" fillId="0" borderId="108" xfId="0" applyNumberFormat="1" applyFont="1" applyBorder="1"/>
    <xf numFmtId="3" fontId="88" fillId="0" borderId="0" xfId="0" applyNumberFormat="1" applyFont="1"/>
    <xf numFmtId="0" fontId="58" fillId="0" borderId="98" xfId="0" applyFont="1" applyBorder="1"/>
    <xf numFmtId="10" fontId="114" fillId="0" borderId="2" xfId="0" applyNumberFormat="1" applyFont="1" applyBorder="1"/>
    <xf numFmtId="10" fontId="114" fillId="0" borderId="0" xfId="0" applyNumberFormat="1" applyFont="1"/>
    <xf numFmtId="3" fontId="114" fillId="0" borderId="2" xfId="0" applyNumberFormat="1" applyFont="1" applyBorder="1"/>
    <xf numFmtId="3" fontId="114" fillId="0" borderId="0" xfId="0" applyNumberFormat="1" applyFont="1"/>
    <xf numFmtId="3" fontId="111" fillId="0" borderId="2" xfId="0" applyNumberFormat="1" applyFont="1" applyBorder="1"/>
    <xf numFmtId="3" fontId="111" fillId="0" borderId="0" xfId="0" applyNumberFormat="1" applyFont="1"/>
    <xf numFmtId="0" fontId="113" fillId="0" borderId="99" xfId="0" applyFont="1" applyBorder="1"/>
    <xf numFmtId="3" fontId="88" fillId="0" borderId="109" xfId="0" applyNumberFormat="1" applyFont="1" applyBorder="1"/>
    <xf numFmtId="3" fontId="88" fillId="0" borderId="13" xfId="0" applyNumberFormat="1" applyFont="1" applyBorder="1"/>
    <xf numFmtId="0" fontId="87" fillId="0" borderId="33" xfId="0" applyFont="1" applyBorder="1"/>
    <xf numFmtId="3" fontId="87" fillId="0" borderId="2" xfId="0" applyNumberFormat="1" applyFont="1" applyBorder="1"/>
    <xf numFmtId="3" fontId="87" fillId="0" borderId="15" xfId="0" applyNumberFormat="1" applyFont="1" applyBorder="1"/>
    <xf numFmtId="0" fontId="113" fillId="0" borderId="33" xfId="0" applyFont="1" applyBorder="1"/>
    <xf numFmtId="0" fontId="58" fillId="0" borderId="110" xfId="0" applyFont="1" applyBorder="1"/>
    <xf numFmtId="3" fontId="87" fillId="0" borderId="108" xfId="0" applyNumberFormat="1" applyFont="1" applyBorder="1"/>
    <xf numFmtId="3" fontId="87" fillId="0" borderId="19" xfId="0" applyNumberFormat="1" applyFont="1" applyBorder="1"/>
    <xf numFmtId="3" fontId="114" fillId="0" borderId="35" xfId="0" applyNumberFormat="1" applyFont="1" applyBorder="1" applyAlignment="1">
      <alignment horizontal="right"/>
    </xf>
    <xf numFmtId="3" fontId="114" fillId="0" borderId="0" xfId="0" applyNumberFormat="1" applyFont="1" applyAlignment="1">
      <alignment horizontal="right"/>
    </xf>
    <xf numFmtId="3" fontId="114" fillId="0" borderId="2" xfId="0" applyNumberFormat="1" applyFont="1" applyBorder="1" applyAlignment="1">
      <alignment horizontal="right"/>
    </xf>
    <xf numFmtId="0" fontId="84" fillId="0" borderId="111" xfId="0" applyFont="1" applyBorder="1"/>
    <xf numFmtId="3" fontId="111" fillId="0" borderId="2" xfId="0" applyNumberFormat="1" applyFont="1" applyBorder="1" applyAlignment="1">
      <alignment horizontal="right"/>
    </xf>
    <xf numFmtId="3" fontId="111" fillId="0" borderId="0" xfId="0" applyNumberFormat="1" applyFont="1" applyAlignment="1">
      <alignment horizontal="right"/>
    </xf>
    <xf numFmtId="169" fontId="58" fillId="0" borderId="1" xfId="0" applyNumberFormat="1" applyFont="1" applyBorder="1" applyAlignment="1">
      <alignment horizontal="right"/>
    </xf>
    <xf numFmtId="0" fontId="84" fillId="0" borderId="110" xfId="0" applyFont="1" applyBorder="1"/>
    <xf numFmtId="10" fontId="111" fillId="0" borderId="112" xfId="0" applyNumberFormat="1" applyFont="1" applyBorder="1" applyAlignment="1">
      <alignment horizontal="right"/>
    </xf>
    <xf numFmtId="10" fontId="111" fillId="0" borderId="39" xfId="0" applyNumberFormat="1" applyFont="1" applyBorder="1" applyAlignment="1">
      <alignment horizontal="right"/>
    </xf>
    <xf numFmtId="10" fontId="111" fillId="0" borderId="0" xfId="0" applyNumberFormat="1" applyFont="1" applyAlignment="1">
      <alignment horizontal="right"/>
    </xf>
    <xf numFmtId="0" fontId="84" fillId="0" borderId="2" xfId="0" applyFont="1" applyBorder="1"/>
    <xf numFmtId="0" fontId="85" fillId="0" borderId="0" xfId="0" applyFont="1" applyAlignment="1">
      <alignment horizontal="center"/>
    </xf>
    <xf numFmtId="0" fontId="25" fillId="0" borderId="27" xfId="0" applyFont="1" applyBorder="1" applyAlignment="1">
      <alignment horizontal="center"/>
    </xf>
    <xf numFmtId="0" fontId="58" fillId="0" borderId="113" xfId="0" applyFont="1" applyBorder="1"/>
    <xf numFmtId="0" fontId="58" fillId="0" borderId="30" xfId="0" applyFont="1" applyBorder="1" applyAlignment="1">
      <alignment horizontal="center"/>
    </xf>
    <xf numFmtId="174" fontId="58" fillId="0" borderId="113" xfId="0" applyNumberFormat="1" applyFont="1" applyBorder="1" applyAlignment="1">
      <alignment horizontal="center"/>
    </xf>
    <xf numFmtId="0" fontId="58" fillId="0" borderId="30" xfId="0" applyFont="1" applyBorder="1" applyAlignment="1">
      <alignment horizontal="left"/>
    </xf>
    <xf numFmtId="174" fontId="58" fillId="0" borderId="0" xfId="0" applyNumberFormat="1" applyFont="1"/>
    <xf numFmtId="174" fontId="58" fillId="0" borderId="113" xfId="0" applyNumberFormat="1" applyFont="1" applyBorder="1"/>
    <xf numFmtId="174" fontId="58" fillId="0" borderId="0" xfId="0" applyNumberFormat="1" applyFont="1" applyAlignment="1">
      <alignment horizontal="left"/>
    </xf>
    <xf numFmtId="174" fontId="58" fillId="0" borderId="113" xfId="0" applyNumberFormat="1" applyFont="1" applyBorder="1" applyAlignment="1">
      <alignment horizontal="left"/>
    </xf>
    <xf numFmtId="0" fontId="58" fillId="0" borderId="35" xfId="0" applyFont="1" applyBorder="1" applyAlignment="1">
      <alignment horizontal="left"/>
    </xf>
    <xf numFmtId="174" fontId="58" fillId="0" borderId="1" xfId="0" applyNumberFormat="1" applyFont="1" applyBorder="1"/>
    <xf numFmtId="174" fontId="58" fillId="0" borderId="114" xfId="0" applyNumberFormat="1" applyFont="1" applyBorder="1"/>
    <xf numFmtId="0" fontId="115" fillId="0" borderId="35" xfId="0" applyFont="1" applyBorder="1" applyAlignment="1">
      <alignment horizontal="left"/>
    </xf>
    <xf numFmtId="174" fontId="115" fillId="0" borderId="1" xfId="0" applyNumberFormat="1" applyFont="1" applyBorder="1"/>
    <xf numFmtId="174" fontId="115" fillId="0" borderId="0" xfId="0" applyNumberFormat="1" applyFont="1"/>
    <xf numFmtId="0" fontId="25" fillId="0" borderId="31" xfId="0" applyFont="1" applyBorder="1" applyAlignment="1">
      <alignment horizontal="center"/>
    </xf>
    <xf numFmtId="0" fontId="58" fillId="0" borderId="31" xfId="0" applyFont="1" applyBorder="1"/>
    <xf numFmtId="0" fontId="58" fillId="0" borderId="115" xfId="0" applyFont="1" applyBorder="1"/>
    <xf numFmtId="0" fontId="58" fillId="0" borderId="0" xfId="0" applyFont="1" applyAlignment="1">
      <alignment horizontal="left"/>
    </xf>
    <xf numFmtId="3" fontId="58" fillId="0" borderId="0" xfId="0" applyNumberFormat="1" applyFont="1" applyAlignment="1">
      <alignment horizontal="left"/>
    </xf>
    <xf numFmtId="3" fontId="58" fillId="0" borderId="113" xfId="0" applyNumberFormat="1" applyFont="1" applyBorder="1" applyAlignment="1">
      <alignment horizontal="left"/>
    </xf>
    <xf numFmtId="3" fontId="58" fillId="0" borderId="1" xfId="0" applyNumberFormat="1" applyFont="1" applyBorder="1"/>
    <xf numFmtId="3" fontId="58" fillId="0" borderId="114" xfId="0" applyNumberFormat="1" applyFont="1" applyBorder="1"/>
    <xf numFmtId="3" fontId="115" fillId="0" borderId="1" xfId="0" applyNumberFormat="1" applyFont="1" applyBorder="1"/>
    <xf numFmtId="3" fontId="115" fillId="0" borderId="0" xfId="0" applyNumberFormat="1" applyFont="1"/>
    <xf numFmtId="0" fontId="25" fillId="0" borderId="2" xfId="0" applyFont="1" applyBorder="1"/>
    <xf numFmtId="3" fontId="25" fillId="0" borderId="4" xfId="0" applyNumberFormat="1" applyFont="1" applyBorder="1"/>
    <xf numFmtId="3" fontId="25" fillId="0" borderId="5" xfId="0" applyNumberFormat="1" applyFont="1" applyBorder="1"/>
    <xf numFmtId="0" fontId="112" fillId="0" borderId="84" xfId="0" applyFont="1" applyBorder="1"/>
    <xf numFmtId="0" fontId="87" fillId="0" borderId="30" xfId="0" applyFont="1" applyBorder="1"/>
    <xf numFmtId="0" fontId="84" fillId="0" borderId="35" xfId="0" applyFont="1" applyBorder="1"/>
    <xf numFmtId="3" fontId="25" fillId="0" borderId="2" xfId="0" applyNumberFormat="1" applyFont="1" applyBorder="1"/>
    <xf numFmtId="9" fontId="58" fillId="0" borderId="2" xfId="0" applyNumberFormat="1" applyFont="1" applyBorder="1"/>
    <xf numFmtId="9" fontId="60" fillId="0" borderId="2" xfId="0" applyNumberFormat="1" applyFont="1" applyBorder="1"/>
    <xf numFmtId="9" fontId="60" fillId="0" borderId="0" xfId="0" applyNumberFormat="1" applyFont="1"/>
    <xf numFmtId="2" fontId="93" fillId="0" borderId="0" xfId="0" applyNumberFormat="1" applyFont="1" applyAlignment="1">
      <alignment horizontal="center"/>
    </xf>
    <xf numFmtId="3" fontId="58" fillId="0" borderId="27" xfId="0" applyNumberFormat="1" applyFont="1" applyBorder="1"/>
    <xf numFmtId="3" fontId="114" fillId="0" borderId="27" xfId="0" applyNumberFormat="1" applyFont="1" applyBorder="1"/>
    <xf numFmtId="3" fontId="114" fillId="0" borderId="35" xfId="0" applyNumberFormat="1" applyFont="1" applyBorder="1"/>
    <xf numFmtId="10" fontId="111" fillId="0" borderId="4" xfId="0" applyNumberFormat="1" applyFont="1" applyBorder="1"/>
    <xf numFmtId="10" fontId="84" fillId="0" borderId="2" xfId="0" applyNumberFormat="1" applyFont="1" applyBorder="1"/>
    <xf numFmtId="0" fontId="37" fillId="31" borderId="23" xfId="0" applyFont="1" applyFill="1" applyBorder="1"/>
    <xf numFmtId="0" fontId="116" fillId="0" borderId="0" xfId="0" applyFont="1"/>
    <xf numFmtId="0" fontId="81" fillId="0" borderId="0" xfId="0" applyFont="1"/>
    <xf numFmtId="0" fontId="59" fillId="0" borderId="5" xfId="0" applyFont="1" applyBorder="1"/>
    <xf numFmtId="10" fontId="116" fillId="0" borderId="0" xfId="0" applyNumberFormat="1" applyFont="1"/>
    <xf numFmtId="9" fontId="81" fillId="0" borderId="0" xfId="0" applyNumberFormat="1" applyFont="1"/>
    <xf numFmtId="10" fontId="81" fillId="0" borderId="0" xfId="0" applyNumberFormat="1" applyFont="1" applyAlignment="1">
      <alignment vertical="center"/>
    </xf>
    <xf numFmtId="0" fontId="47" fillId="0" borderId="38" xfId="0" applyFont="1" applyBorder="1"/>
    <xf numFmtId="10" fontId="47" fillId="0" borderId="39" xfId="0" applyNumberFormat="1" applyFont="1" applyBorder="1" applyAlignment="1">
      <alignment horizontal="center"/>
    </xf>
    <xf numFmtId="174" fontId="47" fillId="0" borderId="39" xfId="0" applyNumberFormat="1" applyFont="1" applyBorder="1" applyAlignment="1">
      <alignment horizontal="center"/>
    </xf>
    <xf numFmtId="174" fontId="47" fillId="0" borderId="40" xfId="0" applyNumberFormat="1" applyFont="1" applyBorder="1" applyAlignment="1">
      <alignment horizontal="center"/>
    </xf>
    <xf numFmtId="174" fontId="47" fillId="0" borderId="0" xfId="0" applyNumberFormat="1" applyFont="1" applyAlignment="1">
      <alignment horizontal="center"/>
    </xf>
    <xf numFmtId="171" fontId="37" fillId="0" borderId="0" xfId="0" applyNumberFormat="1" applyFont="1" applyAlignment="1">
      <alignment horizontal="center"/>
    </xf>
    <xf numFmtId="170" fontId="37" fillId="0" borderId="0" xfId="0" applyNumberFormat="1" applyFont="1"/>
    <xf numFmtId="171" fontId="101" fillId="0" borderId="45" xfId="0" applyNumberFormat="1" applyFont="1" applyBorder="1" applyAlignment="1">
      <alignment horizontal="right" vertical="center"/>
    </xf>
    <xf numFmtId="176" fontId="101" fillId="0" borderId="45" xfId="0" applyNumberFormat="1" applyFont="1" applyBorder="1" applyAlignment="1">
      <alignment vertical="center"/>
    </xf>
    <xf numFmtId="171" fontId="101" fillId="0" borderId="45" xfId="0" applyNumberFormat="1" applyFont="1" applyBorder="1" applyAlignment="1">
      <alignment vertical="center"/>
    </xf>
    <xf numFmtId="0" fontId="108" fillId="0" borderId="12" xfId="0" applyFont="1" applyBorder="1"/>
    <xf numFmtId="0" fontId="84" fillId="0" borderId="12" xfId="0" applyFont="1" applyBorder="1" applyAlignment="1">
      <alignment horizontal="center"/>
    </xf>
    <xf numFmtId="0" fontId="117" fillId="0" borderId="11" xfId="0" applyFont="1" applyBorder="1" applyAlignment="1">
      <alignment horizontal="center"/>
    </xf>
    <xf numFmtId="0" fontId="118" fillId="0" borderId="12" xfId="0" applyFont="1" applyBorder="1" applyAlignment="1">
      <alignment horizontal="center"/>
    </xf>
    <xf numFmtId="0" fontId="117" fillId="0" borderId="13" xfId="0" applyFont="1" applyBorder="1" applyAlignment="1">
      <alignment horizontal="center"/>
    </xf>
    <xf numFmtId="0" fontId="67" fillId="0" borderId="12" xfId="0" applyFont="1" applyBorder="1"/>
    <xf numFmtId="0" fontId="58" fillId="0" borderId="12" xfId="0" applyFont="1" applyBorder="1"/>
    <xf numFmtId="0" fontId="58" fillId="0" borderId="13" xfId="0" applyFont="1" applyBorder="1"/>
    <xf numFmtId="0" fontId="119" fillId="0" borderId="14" xfId="0" applyFont="1" applyBorder="1"/>
    <xf numFmtId="0" fontId="119" fillId="0" borderId="0" xfId="0" applyFont="1"/>
    <xf numFmtId="0" fontId="119" fillId="0" borderId="0" xfId="0" applyFont="1" applyAlignment="1">
      <alignment horizontal="center"/>
    </xf>
    <xf numFmtId="0" fontId="108" fillId="0" borderId="17" xfId="0" applyFont="1" applyBorder="1"/>
    <xf numFmtId="10" fontId="84" fillId="0" borderId="18" xfId="0" applyNumberFormat="1" applyFont="1" applyBorder="1"/>
    <xf numFmtId="0" fontId="58" fillId="32" borderId="116" xfId="0" applyFont="1" applyFill="1" applyBorder="1"/>
    <xf numFmtId="0" fontId="58" fillId="0" borderId="15" xfId="0" applyFont="1" applyBorder="1"/>
    <xf numFmtId="0" fontId="108" fillId="0" borderId="0" xfId="0" applyFont="1"/>
    <xf numFmtId="0" fontId="117" fillId="0" borderId="0" xfId="0" applyFont="1"/>
    <xf numFmtId="0" fontId="117" fillId="0" borderId="0" xfId="0" applyFont="1" applyAlignment="1">
      <alignment horizontal="center"/>
    </xf>
    <xf numFmtId="10" fontId="117" fillId="0" borderId="0" xfId="0" applyNumberFormat="1" applyFont="1" applyAlignment="1">
      <alignment horizontal="center"/>
    </xf>
    <xf numFmtId="0" fontId="84" fillId="0" borderId="13" xfId="0" applyFont="1" applyBorder="1" applyAlignment="1">
      <alignment horizontal="center" vertical="center"/>
    </xf>
    <xf numFmtId="0" fontId="108" fillId="0" borderId="98" xfId="0" applyFont="1" applyBorder="1"/>
    <xf numFmtId="10" fontId="108" fillId="0" borderId="18" xfId="0" applyNumberFormat="1" applyFont="1" applyBorder="1"/>
    <xf numFmtId="0" fontId="58" fillId="0" borderId="19" xfId="0" applyFont="1" applyBorder="1"/>
    <xf numFmtId="0" fontId="85" fillId="0" borderId="14" xfId="0" applyFont="1" applyBorder="1" applyAlignment="1">
      <alignment horizontal="center"/>
    </xf>
    <xf numFmtId="0" fontId="85" fillId="0" borderId="15" xfId="0" applyFont="1" applyBorder="1" applyAlignment="1">
      <alignment horizontal="center"/>
    </xf>
    <xf numFmtId="0" fontId="84" fillId="0" borderId="14" xfId="0" applyFont="1" applyBorder="1" applyAlignment="1">
      <alignment horizontal="center" vertical="center"/>
    </xf>
    <xf numFmtId="0" fontId="84" fillId="0" borderId="0" xfId="0" applyFont="1" applyAlignment="1">
      <alignment horizontal="center" vertical="center"/>
    </xf>
    <xf numFmtId="0" fontId="84" fillId="0" borderId="15" xfId="0" applyFont="1" applyBorder="1" applyAlignment="1">
      <alignment horizontal="center" vertical="center"/>
    </xf>
    <xf numFmtId="0" fontId="85" fillId="0" borderId="98" xfId="0" applyFont="1" applyBorder="1" applyAlignment="1">
      <alignment horizontal="center"/>
    </xf>
    <xf numFmtId="0" fontId="14" fillId="33" borderId="120" xfId="0" applyFont="1" applyFill="1" applyBorder="1"/>
    <xf numFmtId="0" fontId="14" fillId="0" borderId="12" xfId="0" applyFont="1" applyBorder="1"/>
    <xf numFmtId="0" fontId="14" fillId="0" borderId="13" xfId="0" applyFont="1" applyBorder="1"/>
    <xf numFmtId="0" fontId="84" fillId="0" borderId="17" xfId="0" applyFont="1" applyBorder="1" applyAlignment="1">
      <alignment horizontal="center"/>
    </xf>
    <xf numFmtId="0" fontId="84" fillId="0" borderId="18" xfId="0" applyFont="1" applyBorder="1" applyAlignment="1">
      <alignment horizontal="center"/>
    </xf>
    <xf numFmtId="0" fontId="84" fillId="0" borderId="19" xfId="0" applyFont="1" applyBorder="1" applyAlignment="1">
      <alignment horizontal="center"/>
    </xf>
    <xf numFmtId="0" fontId="1" fillId="0" borderId="12" xfId="0" applyFont="1" applyBorder="1"/>
    <xf numFmtId="0" fontId="1" fillId="0" borderId="13" xfId="0" applyFont="1" applyBorder="1"/>
    <xf numFmtId="0" fontId="85" fillId="0" borderId="17" xfId="0" applyFont="1" applyBorder="1" applyAlignment="1">
      <alignment horizontal="center"/>
    </xf>
    <xf numFmtId="0" fontId="85" fillId="0" borderId="18" xfId="0" applyFont="1" applyBorder="1" applyAlignment="1">
      <alignment horizontal="center"/>
    </xf>
    <xf numFmtId="0" fontId="85" fillId="0" borderId="19" xfId="0" applyFont="1" applyBorder="1" applyAlignment="1">
      <alignment horizontal="center"/>
    </xf>
    <xf numFmtId="9" fontId="59" fillId="0" borderId="17" xfId="0" applyNumberFormat="1" applyFont="1" applyBorder="1"/>
    <xf numFmtId="0" fontId="14" fillId="0" borderId="18" xfId="0" applyFont="1" applyBorder="1"/>
    <xf numFmtId="0" fontId="14" fillId="0" borderId="19" xfId="0" applyFont="1" applyBorder="1"/>
    <xf numFmtId="0" fontId="120" fillId="0" borderId="0" xfId="0" applyFont="1" applyAlignment="1">
      <alignment horizontal="center"/>
    </xf>
    <xf numFmtId="175" fontId="67" fillId="0" borderId="0" xfId="0" applyNumberFormat="1" applyFont="1" applyAlignment="1">
      <alignment horizontal="center"/>
    </xf>
    <xf numFmtId="9" fontId="67" fillId="0" borderId="0" xfId="0" applyNumberFormat="1" applyFont="1" applyAlignment="1">
      <alignment horizontal="center"/>
    </xf>
    <xf numFmtId="9" fontId="84" fillId="0" borderId="0" xfId="0" applyNumberFormat="1" applyFont="1" applyAlignment="1">
      <alignment horizontal="center"/>
    </xf>
    <xf numFmtId="0" fontId="1" fillId="0" borderId="15" xfId="0" applyFont="1" applyBorder="1"/>
    <xf numFmtId="175" fontId="67" fillId="0" borderId="20" xfId="0" applyNumberFormat="1" applyFont="1" applyBorder="1" applyAlignment="1">
      <alignment horizontal="center"/>
    </xf>
    <xf numFmtId="175" fontId="67" fillId="0" borderId="21" xfId="0" applyNumberFormat="1" applyFont="1" applyBorder="1" applyAlignment="1">
      <alignment horizontal="center"/>
    </xf>
    <xf numFmtId="9" fontId="59" fillId="0" borderId="0" xfId="0" applyNumberFormat="1" applyFont="1"/>
    <xf numFmtId="0" fontId="14" fillId="0" borderId="0" xfId="0" applyFont="1"/>
    <xf numFmtId="0" fontId="120" fillId="0" borderId="0" xfId="0" applyFont="1"/>
    <xf numFmtId="10" fontId="120" fillId="0" borderId="0" xfId="0" applyNumberFormat="1" applyFont="1" applyAlignment="1">
      <alignment horizontal="center" vertical="center"/>
    </xf>
    <xf numFmtId="175" fontId="84" fillId="0" borderId="0" xfId="0" applyNumberFormat="1" applyFont="1" applyAlignment="1">
      <alignment horizontal="center"/>
    </xf>
    <xf numFmtId="10" fontId="37" fillId="0" borderId="17" xfId="0" applyNumberFormat="1" applyFont="1" applyBorder="1"/>
    <xf numFmtId="0" fontId="1" fillId="0" borderId="18" xfId="0" applyFont="1" applyBorder="1"/>
    <xf numFmtId="0" fontId="1" fillId="0" borderId="19" xfId="0" applyFont="1" applyBorder="1"/>
    <xf numFmtId="169" fontId="1" fillId="0" borderId="20" xfId="0" applyNumberFormat="1" applyFont="1" applyBorder="1" applyAlignment="1">
      <alignment horizontal="center"/>
    </xf>
    <xf numFmtId="169" fontId="108" fillId="0" borderId="0" xfId="0" applyNumberFormat="1" applyFont="1"/>
    <xf numFmtId="169" fontId="108" fillId="0" borderId="0" xfId="0" applyNumberFormat="1" applyFont="1" applyAlignment="1">
      <alignment horizontal="center"/>
    </xf>
    <xf numFmtId="169" fontId="59" fillId="0" borderId="0" xfId="0" applyNumberFormat="1" applyFont="1"/>
    <xf numFmtId="0" fontId="99" fillId="0" borderId="0" xfId="0" applyFont="1"/>
    <xf numFmtId="10" fontId="99" fillId="0" borderId="0" xfId="0" applyNumberFormat="1" applyFont="1"/>
    <xf numFmtId="10" fontId="110" fillId="0" borderId="0" xfId="0" applyNumberFormat="1" applyFont="1" applyAlignment="1">
      <alignment horizontal="center"/>
    </xf>
    <xf numFmtId="164" fontId="110" fillId="0" borderId="0" xfId="0" applyNumberFormat="1" applyFont="1" applyAlignment="1">
      <alignment horizontal="center"/>
    </xf>
    <xf numFmtId="164" fontId="58" fillId="0" borderId="0" xfId="0" applyNumberFormat="1" applyFont="1"/>
    <xf numFmtId="174" fontId="121" fillId="0" borderId="0" xfId="0" applyNumberFormat="1" applyFont="1" applyAlignment="1">
      <alignment horizontal="center"/>
    </xf>
    <xf numFmtId="0" fontId="118" fillId="0" borderId="20" xfId="0" applyFont="1" applyBorder="1" applyAlignment="1">
      <alignment horizontal="center"/>
    </xf>
    <xf numFmtId="10" fontId="58" fillId="0" borderId="22" xfId="0" applyNumberFormat="1" applyFont="1" applyBorder="1" applyAlignment="1">
      <alignment horizontal="left"/>
    </xf>
    <xf numFmtId="174" fontId="114" fillId="0" borderId="31" xfId="0" applyNumberFormat="1" applyFont="1" applyBorder="1"/>
    <xf numFmtId="3" fontId="110" fillId="0" borderId="98" xfId="0" applyNumberFormat="1" applyFont="1" applyBorder="1" applyAlignment="1">
      <alignment horizontal="center"/>
    </xf>
    <xf numFmtId="3" fontId="110" fillId="0" borderId="0" xfId="0" applyNumberFormat="1" applyFont="1" applyAlignment="1">
      <alignment horizontal="center"/>
    </xf>
    <xf numFmtId="0" fontId="120" fillId="0" borderId="17" xfId="0" applyFont="1" applyBorder="1" applyAlignment="1">
      <alignment horizontal="center"/>
    </xf>
    <xf numFmtId="174" fontId="114" fillId="0" borderId="0" xfId="0" applyNumberFormat="1" applyFont="1"/>
    <xf numFmtId="184" fontId="58" fillId="0" borderId="1" xfId="0" applyNumberFormat="1" applyFont="1" applyBorder="1"/>
    <xf numFmtId="0" fontId="120" fillId="0" borderId="18" xfId="0" applyFont="1" applyBorder="1" applyAlignment="1">
      <alignment horizontal="center"/>
    </xf>
    <xf numFmtId="10" fontId="58" fillId="0" borderId="0" xfId="0" applyNumberFormat="1" applyFont="1" applyAlignment="1">
      <alignment horizontal="right"/>
    </xf>
    <xf numFmtId="0" fontId="84" fillId="22" borderId="23" xfId="0" applyFont="1" applyFill="1" applyBorder="1" applyAlignment="1">
      <alignment horizontal="left"/>
    </xf>
    <xf numFmtId="174" fontId="114" fillId="0" borderId="0" xfId="0" applyNumberFormat="1" applyFont="1" applyAlignment="1">
      <alignment horizontal="center"/>
    </xf>
    <xf numFmtId="0" fontId="84" fillId="0" borderId="0" xfId="0" applyFont="1" applyAlignment="1">
      <alignment horizontal="center" vertical="top"/>
    </xf>
    <xf numFmtId="0" fontId="120" fillId="0" borderId="0" xfId="0" applyFont="1" applyAlignment="1">
      <alignment horizontal="center" shrinkToFit="1"/>
    </xf>
    <xf numFmtId="174" fontId="110" fillId="0" borderId="0" xfId="0" applyNumberFormat="1" applyFont="1" applyAlignment="1">
      <alignment horizontal="center"/>
    </xf>
    <xf numFmtId="174" fontId="87" fillId="0" borderId="0" xfId="0" applyNumberFormat="1" applyFont="1" applyAlignment="1">
      <alignment horizontal="right"/>
    </xf>
    <xf numFmtId="174" fontId="124" fillId="0" borderId="0" xfId="0" applyNumberFormat="1" applyFont="1" applyAlignment="1">
      <alignment horizontal="right"/>
    </xf>
    <xf numFmtId="174" fontId="25" fillId="0" borderId="0" xfId="0" applyNumberFormat="1" applyFont="1" applyAlignment="1">
      <alignment horizontal="right"/>
    </xf>
    <xf numFmtId="180" fontId="58" fillId="0" borderId="0" xfId="0" applyNumberFormat="1" applyFont="1" applyAlignment="1">
      <alignment horizontal="right" vertical="center"/>
    </xf>
    <xf numFmtId="174" fontId="90" fillId="0" borderId="0" xfId="0" applyNumberFormat="1" applyFont="1"/>
    <xf numFmtId="174" fontId="110" fillId="0" borderId="1" xfId="0" applyNumberFormat="1" applyFont="1" applyBorder="1" applyAlignment="1">
      <alignment horizontal="center"/>
    </xf>
    <xf numFmtId="169" fontId="58" fillId="0" borderId="0" xfId="0" applyNumberFormat="1" applyFont="1"/>
    <xf numFmtId="169" fontId="89" fillId="0" borderId="0" xfId="0" applyNumberFormat="1" applyFont="1"/>
    <xf numFmtId="169" fontId="89" fillId="34" borderId="23" xfId="0" applyNumberFormat="1" applyFont="1" applyFill="1" applyBorder="1"/>
    <xf numFmtId="169" fontId="58" fillId="0" borderId="0" xfId="0" applyNumberFormat="1" applyFont="1" applyAlignment="1">
      <alignment horizontal="center"/>
    </xf>
    <xf numFmtId="0" fontId="110" fillId="0" borderId="0" xfId="0" applyFont="1" applyAlignment="1">
      <alignment horizontal="center" shrinkToFit="1"/>
    </xf>
    <xf numFmtId="0" fontId="120" fillId="0" borderId="0" xfId="0" applyFont="1" applyAlignment="1">
      <alignment horizontal="center" wrapText="1"/>
    </xf>
    <xf numFmtId="0" fontId="123" fillId="0" borderId="0" xfId="0" applyFont="1" applyAlignment="1">
      <alignment horizontal="center" wrapText="1"/>
    </xf>
    <xf numFmtId="9" fontId="108" fillId="0" borderId="0" xfId="0" applyNumberFormat="1" applyFont="1"/>
    <xf numFmtId="0" fontId="79" fillId="0" borderId="1" xfId="0" applyFont="1" applyBorder="1" applyAlignment="1">
      <alignment horizontal="center" wrapText="1"/>
    </xf>
    <xf numFmtId="3" fontId="79" fillId="0" borderId="1" xfId="0" applyNumberFormat="1" applyFont="1" applyBorder="1" applyAlignment="1">
      <alignment horizontal="center"/>
    </xf>
    <xf numFmtId="174" fontId="79" fillId="0" borderId="1" xfId="0" applyNumberFormat="1" applyFont="1" applyBorder="1" applyAlignment="1">
      <alignment horizontal="center"/>
    </xf>
    <xf numFmtId="0" fontId="120" fillId="0" borderId="31" xfId="0" applyFont="1" applyBorder="1" applyAlignment="1">
      <alignment horizontal="center" wrapText="1"/>
    </xf>
    <xf numFmtId="3" fontId="110" fillId="0" borderId="31" xfId="0" applyNumberFormat="1" applyFont="1" applyBorder="1" applyAlignment="1">
      <alignment horizontal="center"/>
    </xf>
    <xf numFmtId="174" fontId="110" fillId="0" borderId="31" xfId="0" applyNumberFormat="1" applyFont="1" applyBorder="1" applyAlignment="1">
      <alignment horizontal="center"/>
    </xf>
    <xf numFmtId="0" fontId="126" fillId="0" borderId="0" xfId="0" applyFont="1"/>
    <xf numFmtId="0" fontId="22" fillId="0" borderId="0" xfId="0" applyFont="1"/>
    <xf numFmtId="3" fontId="110" fillId="0" borderId="18" xfId="0" applyNumberFormat="1" applyFont="1" applyBorder="1" applyAlignment="1">
      <alignment horizontal="center"/>
    </xf>
    <xf numFmtId="0" fontId="108" fillId="0" borderId="18" xfId="0" applyFont="1" applyBorder="1"/>
    <xf numFmtId="0" fontId="67" fillId="0" borderId="18" xfId="0" applyFont="1" applyBorder="1"/>
    <xf numFmtId="0" fontId="58" fillId="0" borderId="18" xfId="0" applyFont="1" applyBorder="1"/>
    <xf numFmtId="37" fontId="108" fillId="0" borderId="18" xfId="0" applyNumberFormat="1" applyFont="1" applyBorder="1"/>
    <xf numFmtId="37" fontId="108" fillId="0" borderId="0" xfId="0" applyNumberFormat="1" applyFont="1"/>
    <xf numFmtId="0" fontId="58" fillId="0" borderId="17" xfId="0" applyFont="1" applyBorder="1"/>
    <xf numFmtId="2" fontId="58" fillId="0" borderId="0" xfId="0" applyNumberFormat="1" applyFont="1"/>
    <xf numFmtId="170" fontId="58" fillId="0" borderId="0" xfId="0" applyNumberFormat="1" applyFont="1"/>
    <xf numFmtId="174" fontId="58" fillId="0" borderId="2" xfId="0" applyNumberFormat="1" applyFont="1" applyBorder="1"/>
    <xf numFmtId="171" fontId="58" fillId="0" borderId="2" xfId="0" applyNumberFormat="1" applyFont="1" applyBorder="1"/>
    <xf numFmtId="166" fontId="25" fillId="0" borderId="0" xfId="0" applyNumberFormat="1" applyFont="1"/>
    <xf numFmtId="9" fontId="1" fillId="0" borderId="2" xfId="0" applyNumberFormat="1" applyFont="1" applyBorder="1"/>
    <xf numFmtId="0" fontId="87" fillId="0" borderId="2" xfId="0" applyFont="1" applyBorder="1"/>
    <xf numFmtId="0" fontId="113" fillId="0" borderId="2" xfId="0" applyFont="1" applyBorder="1"/>
    <xf numFmtId="9" fontId="58" fillId="0" borderId="2" xfId="0" applyNumberFormat="1" applyFont="1" applyBorder="1" applyAlignment="1">
      <alignment horizontal="right"/>
    </xf>
    <xf numFmtId="10" fontId="58" fillId="0" borderId="2" xfId="0" applyNumberFormat="1" applyFont="1" applyBorder="1" applyAlignment="1">
      <alignment horizontal="right"/>
    </xf>
    <xf numFmtId="0" fontId="1" fillId="0" borderId="1" xfId="0" applyFont="1" applyBorder="1"/>
    <xf numFmtId="0" fontId="25" fillId="0" borderId="1" xfId="0" applyFont="1" applyBorder="1"/>
    <xf numFmtId="166" fontId="58" fillId="35" borderId="48" xfId="0" applyNumberFormat="1" applyFont="1" applyFill="1" applyBorder="1" applyAlignment="1">
      <alignment horizontal="right"/>
    </xf>
    <xf numFmtId="2" fontId="58" fillId="0" borderId="114" xfId="0" applyNumberFormat="1" applyFont="1" applyBorder="1" applyAlignment="1">
      <alignment horizontal="right"/>
    </xf>
    <xf numFmtId="2" fontId="58" fillId="35" borderId="48" xfId="0" applyNumberFormat="1" applyFont="1" applyFill="1" applyBorder="1" applyAlignment="1">
      <alignment horizontal="right"/>
    </xf>
    <xf numFmtId="185" fontId="1" fillId="0" borderId="0" xfId="0" applyNumberFormat="1" applyFont="1"/>
    <xf numFmtId="0" fontId="1" fillId="36" borderId="23" xfId="0" applyFont="1" applyFill="1" applyBorder="1"/>
    <xf numFmtId="166" fontId="58" fillId="0" borderId="114" xfId="0" applyNumberFormat="1" applyFont="1" applyBorder="1" applyAlignment="1">
      <alignment horizontal="right"/>
    </xf>
    <xf numFmtId="0" fontId="1" fillId="0" borderId="113" xfId="0" applyFont="1" applyBorder="1"/>
    <xf numFmtId="0" fontId="58" fillId="0" borderId="114" xfId="0" applyFont="1" applyBorder="1"/>
    <xf numFmtId="167" fontId="58" fillId="0" borderId="114" xfId="0" applyNumberFormat="1" applyFont="1" applyBorder="1" applyAlignment="1">
      <alignment horizontal="right"/>
    </xf>
    <xf numFmtId="0" fontId="130" fillId="16" borderId="23" xfId="0" applyFont="1" applyFill="1" applyBorder="1"/>
    <xf numFmtId="0" fontId="131" fillId="37" borderId="23" xfId="0" applyFont="1" applyFill="1" applyBorder="1"/>
    <xf numFmtId="4" fontId="131" fillId="37" borderId="23" xfId="0" applyNumberFormat="1" applyFont="1" applyFill="1" applyBorder="1"/>
    <xf numFmtId="0" fontId="85" fillId="7" borderId="121" xfId="0" applyFont="1" applyFill="1" applyBorder="1" applyAlignment="1">
      <alignment horizontal="center" vertical="center"/>
    </xf>
    <xf numFmtId="10" fontId="67" fillId="0" borderId="0" xfId="0" applyNumberFormat="1" applyFont="1" applyAlignment="1">
      <alignment horizontal="center"/>
    </xf>
    <xf numFmtId="169" fontId="108" fillId="22" borderId="0" xfId="0" applyNumberFormat="1" applyFont="1" applyFill="1"/>
    <xf numFmtId="3" fontId="110" fillId="22" borderId="0" xfId="0" applyNumberFormat="1" applyFont="1" applyFill="1" applyAlignment="1">
      <alignment horizontal="center"/>
    </xf>
    <xf numFmtId="170" fontId="58" fillId="22" borderId="23" xfId="0" applyNumberFormat="1" applyFont="1" applyFill="1" applyBorder="1"/>
    <xf numFmtId="0" fontId="58" fillId="22" borderId="0" xfId="0" applyFont="1" applyFill="1"/>
    <xf numFmtId="0" fontId="108" fillId="22" borderId="0" xfId="0" applyFont="1" applyFill="1"/>
    <xf numFmtId="3" fontId="123" fillId="22" borderId="0" xfId="0" applyNumberFormat="1" applyFont="1" applyFill="1" applyAlignment="1">
      <alignment horizontal="center"/>
    </xf>
    <xf numFmtId="174" fontId="58" fillId="5" borderId="0" xfId="0" applyNumberFormat="1" applyFont="1" applyFill="1" applyAlignment="1">
      <alignment horizontal="right"/>
    </xf>
    <xf numFmtId="10" fontId="58" fillId="22" borderId="23" xfId="0" applyNumberFormat="1" applyFont="1" applyFill="1" applyBorder="1"/>
    <xf numFmtId="4" fontId="1" fillId="35" borderId="23" xfId="0" applyNumberFormat="1" applyFont="1" applyFill="1" applyBorder="1"/>
    <xf numFmtId="4" fontId="1" fillId="0" borderId="0" xfId="0" applyNumberFormat="1" applyFont="1"/>
    <xf numFmtId="0" fontId="133" fillId="0" borderId="0" xfId="0" applyFont="1"/>
    <xf numFmtId="0" fontId="134" fillId="0" borderId="0" xfId="0" applyFont="1"/>
    <xf numFmtId="0" fontId="44" fillId="0" borderId="24" xfId="0" applyFont="1" applyBorder="1" applyAlignment="1">
      <alignment horizontal="left"/>
    </xf>
    <xf numFmtId="0" fontId="44" fillId="38" borderId="122" xfId="0" applyFont="1" applyFill="1" applyBorder="1" applyAlignment="1">
      <alignment horizontal="left"/>
    </xf>
    <xf numFmtId="0" fontId="53" fillId="0" borderId="2" xfId="0" applyFont="1" applyBorder="1"/>
    <xf numFmtId="0" fontId="53" fillId="0" borderId="2" xfId="0" applyFont="1" applyBorder="1" applyAlignment="1">
      <alignment horizontal="center"/>
    </xf>
    <xf numFmtId="0" fontId="29" fillId="0" borderId="2" xfId="0" applyFont="1" applyBorder="1"/>
    <xf numFmtId="2" fontId="29" fillId="0" borderId="2" xfId="0" applyNumberFormat="1" applyFont="1" applyBorder="1" applyAlignment="1">
      <alignment horizontal="center"/>
    </xf>
    <xf numFmtId="0" fontId="29" fillId="5" borderId="2" xfId="0" applyFont="1" applyFill="1" applyBorder="1"/>
    <xf numFmtId="0" fontId="29" fillId="5" borderId="2" xfId="0" applyFont="1" applyFill="1" applyBorder="1" applyAlignment="1">
      <alignment horizontal="center"/>
    </xf>
    <xf numFmtId="2" fontId="29" fillId="5" borderId="2" xfId="0" applyNumberFormat="1" applyFont="1" applyFill="1" applyBorder="1" applyAlignment="1">
      <alignment horizontal="center"/>
    </xf>
    <xf numFmtId="0" fontId="1" fillId="5" borderId="23" xfId="0" applyFont="1" applyFill="1" applyBorder="1"/>
    <xf numFmtId="0" fontId="29" fillId="5" borderId="23" xfId="0" applyFont="1" applyFill="1" applyBorder="1"/>
    <xf numFmtId="2" fontId="1" fillId="0" borderId="0" xfId="0" applyNumberFormat="1" applyFont="1"/>
    <xf numFmtId="172" fontId="1" fillId="0" borderId="0" xfId="0" applyNumberFormat="1" applyFont="1"/>
    <xf numFmtId="10" fontId="58" fillId="39" borderId="23" xfId="0" applyNumberFormat="1" applyFont="1" applyFill="1" applyBorder="1"/>
    <xf numFmtId="3" fontId="123" fillId="0" borderId="0" xfId="0" applyNumberFormat="1" applyFont="1" applyAlignment="1">
      <alignment horizontal="center"/>
    </xf>
    <xf numFmtId="0" fontId="55" fillId="0" borderId="34" xfId="0" applyFont="1" applyBorder="1"/>
    <xf numFmtId="0" fontId="55" fillId="0" borderId="31" xfId="0" applyFont="1" applyBorder="1" applyAlignment="1">
      <alignment horizontal="center"/>
    </xf>
    <xf numFmtId="0" fontId="55" fillId="0" borderId="115" xfId="0" applyFont="1" applyBorder="1" applyAlignment="1">
      <alignment horizontal="center"/>
    </xf>
    <xf numFmtId="0" fontId="41" fillId="38" borderId="123" xfId="0" applyFont="1" applyFill="1" applyBorder="1"/>
    <xf numFmtId="0" fontId="41" fillId="38" borderId="23" xfId="0" applyFont="1" applyFill="1" applyBorder="1" applyAlignment="1">
      <alignment horizontal="center"/>
    </xf>
    <xf numFmtId="10" fontId="41" fillId="38" borderId="23" xfId="0" applyNumberFormat="1" applyFont="1" applyFill="1" applyBorder="1" applyAlignment="1">
      <alignment horizontal="center"/>
    </xf>
    <xf numFmtId="10" fontId="41" fillId="38" borderId="124" xfId="0" applyNumberFormat="1" applyFont="1" applyFill="1" applyBorder="1" applyAlignment="1">
      <alignment horizontal="center"/>
    </xf>
    <xf numFmtId="0" fontId="41" fillId="0" borderId="98" xfId="0" applyFont="1" applyBorder="1"/>
    <xf numFmtId="0" fontId="41" fillId="0" borderId="0" xfId="0" applyFont="1" applyAlignment="1">
      <alignment horizontal="center"/>
    </xf>
    <xf numFmtId="10" fontId="41" fillId="0" borderId="0" xfId="0" applyNumberFormat="1" applyFont="1" applyAlignment="1">
      <alignment horizontal="center"/>
    </xf>
    <xf numFmtId="10" fontId="41" fillId="0" borderId="113" xfId="0" applyNumberFormat="1" applyFont="1" applyBorder="1" applyAlignment="1">
      <alignment horizontal="center"/>
    </xf>
    <xf numFmtId="0" fontId="41" fillId="0" borderId="104" xfId="0" applyFont="1" applyBorder="1"/>
    <xf numFmtId="0" fontId="41" fillId="0" borderId="1" xfId="0" applyFont="1" applyBorder="1" applyAlignment="1">
      <alignment horizontal="center"/>
    </xf>
    <xf numFmtId="10" fontId="41" fillId="0" borderId="1" xfId="0" applyNumberFormat="1" applyFont="1" applyBorder="1" applyAlignment="1">
      <alignment horizontal="center"/>
    </xf>
    <xf numFmtId="10" fontId="41" fillId="0" borderId="114" xfId="0" applyNumberFormat="1" applyFont="1" applyBorder="1" applyAlignment="1">
      <alignment horizontal="center"/>
    </xf>
    <xf numFmtId="0" fontId="65" fillId="10" borderId="48" xfId="0" applyFont="1" applyFill="1" applyBorder="1" applyAlignment="1">
      <alignment wrapText="1"/>
    </xf>
    <xf numFmtId="0" fontId="65" fillId="10" borderId="49" xfId="0" applyFont="1" applyFill="1" applyBorder="1" applyAlignment="1">
      <alignment horizontal="center" wrapText="1"/>
    </xf>
    <xf numFmtId="0" fontId="29" fillId="0" borderId="0" xfId="0" applyFont="1" applyAlignment="1">
      <alignment wrapText="1"/>
    </xf>
    <xf numFmtId="0" fontId="1" fillId="8" borderId="50" xfId="0" applyFont="1" applyFill="1" applyBorder="1"/>
    <xf numFmtId="0" fontId="1" fillId="8" borderId="2" xfId="0" applyFont="1" applyFill="1" applyBorder="1" applyAlignment="1">
      <alignment horizontal="center"/>
    </xf>
    <xf numFmtId="10" fontId="1" fillId="8" borderId="2" xfId="0" applyNumberFormat="1" applyFont="1" applyFill="1" applyBorder="1" applyAlignment="1">
      <alignment horizontal="center"/>
    </xf>
    <xf numFmtId="0" fontId="1" fillId="17" borderId="50" xfId="0" applyFont="1" applyFill="1" applyBorder="1"/>
    <xf numFmtId="0" fontId="1" fillId="17" borderId="2" xfId="0" applyFont="1" applyFill="1" applyBorder="1" applyAlignment="1">
      <alignment horizontal="center"/>
    </xf>
    <xf numFmtId="10" fontId="1" fillId="17" borderId="2" xfId="0" applyNumberFormat="1" applyFont="1" applyFill="1" applyBorder="1" applyAlignment="1">
      <alignment horizontal="center"/>
    </xf>
    <xf numFmtId="10" fontId="29" fillId="17" borderId="2" xfId="0" applyNumberFormat="1" applyFont="1" applyFill="1" applyBorder="1" applyAlignment="1">
      <alignment horizontal="center"/>
    </xf>
    <xf numFmtId="10" fontId="29" fillId="17" borderId="51" xfId="0" applyNumberFormat="1" applyFont="1" applyFill="1" applyBorder="1" applyAlignment="1">
      <alignment horizontal="center"/>
    </xf>
    <xf numFmtId="10" fontId="29" fillId="5" borderId="23" xfId="0" applyNumberFormat="1" applyFont="1" applyFill="1" applyBorder="1"/>
    <xf numFmtId="0" fontId="1" fillId="17" borderId="52" xfId="0" applyFont="1" applyFill="1" applyBorder="1"/>
    <xf numFmtId="0" fontId="1" fillId="17" borderId="53" xfId="0" applyFont="1" applyFill="1" applyBorder="1" applyAlignment="1">
      <alignment horizontal="center"/>
    </xf>
    <xf numFmtId="10" fontId="1" fillId="17" borderId="53" xfId="0" applyNumberFormat="1" applyFont="1" applyFill="1" applyBorder="1" applyAlignment="1">
      <alignment horizontal="center"/>
    </xf>
    <xf numFmtId="10" fontId="29" fillId="17" borderId="53" xfId="0" applyNumberFormat="1" applyFont="1" applyFill="1" applyBorder="1" applyAlignment="1">
      <alignment horizontal="center"/>
    </xf>
    <xf numFmtId="10" fontId="29" fillId="17" borderId="54" xfId="0" applyNumberFormat="1" applyFont="1" applyFill="1" applyBorder="1" applyAlignment="1">
      <alignment horizontal="center"/>
    </xf>
    <xf numFmtId="0" fontId="29" fillId="8" borderId="23" xfId="0" applyFont="1" applyFill="1" applyBorder="1" applyAlignment="1">
      <alignment horizontal="center"/>
    </xf>
    <xf numFmtId="49" fontId="59" fillId="0" borderId="0" xfId="0" quotePrefix="1" applyNumberFormat="1" applyFont="1" applyAlignment="1">
      <alignment horizontal="center"/>
    </xf>
    <xf numFmtId="175" fontId="12" fillId="0" borderId="0" xfId="0" applyNumberFormat="1" applyFont="1"/>
    <xf numFmtId="175" fontId="1" fillId="0" borderId="0" xfId="0" applyNumberFormat="1" applyFont="1"/>
    <xf numFmtId="10" fontId="14" fillId="0" borderId="0" xfId="0" applyNumberFormat="1" applyFont="1"/>
    <xf numFmtId="9" fontId="14" fillId="0" borderId="0" xfId="0" applyNumberFormat="1" applyFont="1"/>
    <xf numFmtId="0" fontId="37" fillId="0" borderId="115" xfId="0" applyFont="1" applyBorder="1"/>
    <xf numFmtId="10" fontId="59" fillId="0" borderId="0" xfId="0" applyNumberFormat="1" applyFont="1"/>
    <xf numFmtId="0" fontId="37" fillId="0" borderId="114" xfId="0" applyFont="1" applyBorder="1"/>
    <xf numFmtId="0" fontId="37" fillId="0" borderId="3" xfId="0" applyFont="1" applyBorder="1" applyAlignment="1">
      <alignment horizontal="center"/>
    </xf>
    <xf numFmtId="0" fontId="37" fillId="0" borderId="5" xfId="0" applyFont="1" applyBorder="1"/>
    <xf numFmtId="0" fontId="136" fillId="0" borderId="0" xfId="0" applyFont="1"/>
    <xf numFmtId="0" fontId="137" fillId="0" borderId="0" xfId="0" applyFont="1"/>
    <xf numFmtId="9" fontId="138" fillId="0" borderId="0" xfId="0" applyNumberFormat="1" applyFont="1"/>
    <xf numFmtId="0" fontId="1" fillId="22" borderId="23" xfId="0" applyFont="1" applyFill="1" applyBorder="1"/>
    <xf numFmtId="0" fontId="81" fillId="21" borderId="53" xfId="0" applyFont="1" applyFill="1" applyBorder="1"/>
    <xf numFmtId="49" fontId="81" fillId="21" borderId="53" xfId="0" applyNumberFormat="1" applyFont="1" applyFill="1" applyBorder="1" applyAlignment="1">
      <alignment horizontal="center"/>
    </xf>
    <xf numFmtId="49" fontId="81" fillId="21" borderId="53" xfId="0" quotePrefix="1" applyNumberFormat="1" applyFont="1" applyFill="1" applyBorder="1" applyAlignment="1">
      <alignment horizontal="center"/>
    </xf>
    <xf numFmtId="0" fontId="4" fillId="22" borderId="125" xfId="0" applyFont="1" applyFill="1" applyBorder="1" applyAlignment="1">
      <alignment vertical="center"/>
    </xf>
    <xf numFmtId="2" fontId="4" fillId="22" borderId="125" xfId="0" applyNumberFormat="1" applyFont="1" applyFill="1" applyBorder="1" applyAlignment="1">
      <alignment vertical="center"/>
    </xf>
    <xf numFmtId="2" fontId="4" fillId="22" borderId="126" xfId="0" applyNumberFormat="1" applyFont="1" applyFill="1" applyBorder="1" applyAlignment="1">
      <alignment vertical="center"/>
    </xf>
    <xf numFmtId="0" fontId="139" fillId="22" borderId="23" xfId="0" applyFont="1" applyFill="1" applyBorder="1"/>
    <xf numFmtId="0" fontId="4" fillId="22" borderId="23" xfId="0" applyFont="1" applyFill="1" applyBorder="1" applyAlignment="1">
      <alignment horizontal="center" vertical="center"/>
    </xf>
    <xf numFmtId="0" fontId="4" fillId="22" borderId="127" xfId="0" applyFont="1" applyFill="1" applyBorder="1" applyAlignment="1">
      <alignment vertical="center"/>
    </xf>
    <xf numFmtId="0" fontId="4" fillId="40" borderId="125" xfId="0" applyFont="1" applyFill="1" applyBorder="1" applyAlignment="1">
      <alignment vertical="center"/>
    </xf>
    <xf numFmtId="1" fontId="4" fillId="22" borderId="125" xfId="0" applyNumberFormat="1" applyFont="1" applyFill="1" applyBorder="1" applyAlignment="1">
      <alignment vertical="center"/>
    </xf>
    <xf numFmtId="0" fontId="4" fillId="22" borderId="24" xfId="0" applyFont="1" applyFill="1" applyBorder="1" applyAlignment="1">
      <alignment vertical="center"/>
    </xf>
    <xf numFmtId="0" fontId="4" fillId="22" borderId="109" xfId="0" applyFont="1" applyFill="1" applyBorder="1" applyAlignment="1">
      <alignment vertical="center"/>
    </xf>
    <xf numFmtId="2" fontId="4" fillId="22" borderId="109" xfId="0" applyNumberFormat="1" applyFont="1" applyFill="1" applyBorder="1" applyAlignment="1">
      <alignment vertical="center"/>
    </xf>
    <xf numFmtId="2" fontId="4" fillId="22" borderId="109" xfId="0" applyNumberFormat="1" applyFont="1" applyFill="1" applyBorder="1" applyAlignment="1">
      <alignment horizontal="center" vertical="center"/>
    </xf>
    <xf numFmtId="2" fontId="4" fillId="40" borderId="128" xfId="0" applyNumberFormat="1" applyFont="1" applyFill="1" applyBorder="1" applyAlignment="1">
      <alignment horizontal="center" vertical="center"/>
    </xf>
    <xf numFmtId="2" fontId="4" fillId="40" borderId="129" xfId="0" applyNumberFormat="1" applyFont="1" applyFill="1" applyBorder="1" applyAlignment="1">
      <alignment horizontal="center" vertical="center"/>
    </xf>
    <xf numFmtId="0" fontId="4" fillId="22" borderId="23" xfId="0" applyFont="1" applyFill="1" applyBorder="1" applyAlignment="1">
      <alignment horizontal="left" vertical="center" wrapText="1"/>
    </xf>
    <xf numFmtId="2" fontId="4" fillId="22" borderId="128" xfId="0" applyNumberFormat="1" applyFont="1" applyFill="1" applyBorder="1" applyAlignment="1">
      <alignment horizontal="center" vertical="center"/>
    </xf>
    <xf numFmtId="0" fontId="4" fillId="22" borderId="24" xfId="0" applyFont="1" applyFill="1" applyBorder="1" applyAlignment="1">
      <alignment horizontal="left" vertical="center"/>
    </xf>
    <xf numFmtId="0" fontId="4" fillId="22" borderId="109" xfId="0" applyFont="1" applyFill="1" applyBorder="1" applyAlignment="1">
      <alignment horizontal="left" vertical="center"/>
    </xf>
    <xf numFmtId="2" fontId="4" fillId="22" borderId="109" xfId="0" applyNumberFormat="1" applyFont="1" applyFill="1" applyBorder="1" applyAlignment="1">
      <alignment horizontal="left" vertical="center"/>
    </xf>
    <xf numFmtId="2" fontId="4" fillId="22" borderId="129" xfId="0" applyNumberFormat="1" applyFont="1" applyFill="1" applyBorder="1" applyAlignment="1">
      <alignment horizontal="center" vertical="center"/>
    </xf>
    <xf numFmtId="0" fontId="140" fillId="22" borderId="109" xfId="0" applyFont="1" applyFill="1" applyBorder="1" applyAlignment="1">
      <alignment vertical="center"/>
    </xf>
    <xf numFmtId="2" fontId="4" fillId="22" borderId="129" xfId="0" applyNumberFormat="1" applyFont="1" applyFill="1" applyBorder="1" applyAlignment="1">
      <alignment vertical="center"/>
    </xf>
    <xf numFmtId="0" fontId="4" fillId="22" borderId="130" xfId="0" applyFont="1" applyFill="1" applyBorder="1" applyAlignment="1">
      <alignment vertical="center"/>
    </xf>
    <xf numFmtId="0" fontId="4" fillId="22" borderId="131" xfId="0" applyFont="1" applyFill="1" applyBorder="1" applyAlignment="1">
      <alignment vertical="center"/>
    </xf>
    <xf numFmtId="2" fontId="4" fillId="22" borderId="131" xfId="0" applyNumberFormat="1" applyFont="1" applyFill="1" applyBorder="1" applyAlignment="1">
      <alignment vertical="center"/>
    </xf>
    <xf numFmtId="2" fontId="4" fillId="22" borderId="131" xfId="0" applyNumberFormat="1" applyFont="1" applyFill="1" applyBorder="1" applyAlignment="1">
      <alignment horizontal="center" vertical="center"/>
    </xf>
    <xf numFmtId="9" fontId="4" fillId="22" borderId="86" xfId="0" applyNumberFormat="1" applyFont="1" applyFill="1" applyBorder="1" applyAlignment="1">
      <alignment horizontal="center" vertical="center"/>
    </xf>
    <xf numFmtId="0" fontId="44" fillId="0" borderId="110" xfId="0" applyFont="1" applyBorder="1"/>
    <xf numFmtId="0" fontId="142" fillId="0" borderId="0" xfId="0" applyFont="1"/>
    <xf numFmtId="0" fontId="143" fillId="0" borderId="0" xfId="0" applyFont="1"/>
    <xf numFmtId="10" fontId="143" fillId="41" borderId="2" xfId="0" applyNumberFormat="1" applyFont="1" applyFill="1" applyBorder="1"/>
    <xf numFmtId="0" fontId="143" fillId="0" borderId="2" xfId="0" applyFont="1" applyBorder="1" applyAlignment="1">
      <alignment horizontal="center"/>
    </xf>
    <xf numFmtId="10" fontId="143" fillId="0" borderId="35" xfId="0" applyNumberFormat="1" applyFont="1" applyBorder="1"/>
    <xf numFmtId="0" fontId="41" fillId="5" borderId="2" xfId="0" applyFont="1" applyFill="1" applyBorder="1" applyAlignment="1">
      <alignment horizontal="center"/>
    </xf>
    <xf numFmtId="0" fontId="41" fillId="5" borderId="50" xfId="0" applyFont="1" applyFill="1" applyBorder="1"/>
    <xf numFmtId="10" fontId="41" fillId="5" borderId="50" xfId="0" applyNumberFormat="1" applyFont="1" applyFill="1" applyBorder="1"/>
    <xf numFmtId="10" fontId="143" fillId="0" borderId="2" xfId="0" applyNumberFormat="1" applyFont="1" applyBorder="1"/>
    <xf numFmtId="0" fontId="41" fillId="5" borderId="36" xfId="0" applyFont="1" applyFill="1" applyBorder="1" applyAlignment="1">
      <alignment horizontal="center"/>
    </xf>
    <xf numFmtId="0" fontId="41" fillId="5" borderId="48" xfId="0" applyFont="1" applyFill="1" applyBorder="1"/>
    <xf numFmtId="10" fontId="41" fillId="5" borderId="48" xfId="0" applyNumberFormat="1" applyFont="1" applyFill="1" applyBorder="1"/>
    <xf numFmtId="0" fontId="143" fillId="0" borderId="3" xfId="0" applyFont="1" applyBorder="1" applyAlignment="1">
      <alignment horizontal="center"/>
    </xf>
    <xf numFmtId="10" fontId="143" fillId="41" borderId="49" xfId="0" applyNumberFormat="1" applyFont="1" applyFill="1" applyBorder="1" applyAlignment="1">
      <alignment horizontal="center"/>
    </xf>
    <xf numFmtId="0" fontId="65" fillId="0" borderId="0" xfId="0" applyFont="1"/>
    <xf numFmtId="0" fontId="65" fillId="10" borderId="2" xfId="0" applyFont="1" applyFill="1" applyBorder="1"/>
    <xf numFmtId="0" fontId="65" fillId="10" borderId="2" xfId="0" applyFont="1" applyFill="1" applyBorder="1" applyAlignment="1">
      <alignment horizontal="center"/>
    </xf>
    <xf numFmtId="0" fontId="65" fillId="10" borderId="49" xfId="0" applyFont="1" applyFill="1" applyBorder="1" applyAlignment="1">
      <alignment horizontal="center"/>
    </xf>
    <xf numFmtId="0" fontId="143" fillId="8" borderId="2" xfId="0" applyFont="1" applyFill="1" applyBorder="1"/>
    <xf numFmtId="2" fontId="143" fillId="8" borderId="2" xfId="0" applyNumberFormat="1" applyFont="1" applyFill="1" applyBorder="1"/>
    <xf numFmtId="0" fontId="143" fillId="17" borderId="2" xfId="0" applyFont="1" applyFill="1" applyBorder="1"/>
    <xf numFmtId="2" fontId="143" fillId="17" borderId="2" xfId="0" applyNumberFormat="1" applyFont="1" applyFill="1" applyBorder="1"/>
    <xf numFmtId="0" fontId="144" fillId="8" borderId="2" xfId="0" applyFont="1" applyFill="1" applyBorder="1"/>
    <xf numFmtId="2" fontId="144" fillId="8" borderId="2" xfId="0" applyNumberFormat="1" applyFont="1" applyFill="1" applyBorder="1"/>
    <xf numFmtId="10" fontId="145" fillId="8" borderId="2" xfId="0" applyNumberFormat="1" applyFont="1" applyFill="1" applyBorder="1" applyAlignment="1">
      <alignment horizontal="center"/>
    </xf>
    <xf numFmtId="0" fontId="144" fillId="17" borderId="2" xfId="0" applyFont="1" applyFill="1" applyBorder="1"/>
    <xf numFmtId="2" fontId="144" fillId="17" borderId="2" xfId="0" applyNumberFormat="1" applyFont="1" applyFill="1" applyBorder="1"/>
    <xf numFmtId="10" fontId="145" fillId="17" borderId="2" xfId="0" applyNumberFormat="1" applyFont="1" applyFill="1" applyBorder="1" applyAlignment="1">
      <alignment horizontal="center"/>
    </xf>
    <xf numFmtId="0" fontId="41" fillId="8" borderId="23" xfId="0" applyFont="1" applyFill="1" applyBorder="1"/>
    <xf numFmtId="2" fontId="41" fillId="8" borderId="23" xfId="0" applyNumberFormat="1" applyFont="1" applyFill="1" applyBorder="1"/>
    <xf numFmtId="10" fontId="41" fillId="8" borderId="23" xfId="0" applyNumberFormat="1" applyFont="1" applyFill="1" applyBorder="1"/>
    <xf numFmtId="186" fontId="41" fillId="8" borderId="23" xfId="0" applyNumberFormat="1" applyFont="1" applyFill="1" applyBorder="1"/>
    <xf numFmtId="171" fontId="1" fillId="0" borderId="0" xfId="0" applyNumberFormat="1" applyFont="1"/>
    <xf numFmtId="0" fontId="146" fillId="0" borderId="0" xfId="0" applyFont="1" applyAlignment="1">
      <alignment horizontal="left"/>
    </xf>
    <xf numFmtId="0" fontId="147" fillId="0" borderId="0" xfId="0" applyFont="1"/>
    <xf numFmtId="0" fontId="148" fillId="0" borderId="0" xfId="0" applyFont="1"/>
    <xf numFmtId="0" fontId="149" fillId="0" borderId="0" xfId="0" applyFont="1"/>
    <xf numFmtId="0" fontId="150" fillId="0" borderId="0" xfId="0" applyFont="1"/>
    <xf numFmtId="0" fontId="151" fillId="42" borderId="23" xfId="0" applyFont="1" applyFill="1" applyBorder="1" applyAlignment="1">
      <alignment horizontal="left" vertical="center"/>
    </xf>
    <xf numFmtId="0" fontId="152" fillId="0" borderId="0" xfId="0" applyFont="1" applyAlignment="1">
      <alignment horizontal="left" vertical="center"/>
    </xf>
    <xf numFmtId="0" fontId="28" fillId="0" borderId="0" xfId="0" applyFont="1"/>
    <xf numFmtId="179" fontId="153" fillId="0" borderId="84" xfId="0" applyNumberFormat="1" applyFont="1" applyBorder="1"/>
    <xf numFmtId="0" fontId="154" fillId="0" borderId="0" xfId="0" applyFont="1" applyAlignment="1">
      <alignment vertical="center"/>
    </xf>
    <xf numFmtId="187" fontId="154" fillId="0" borderId="0" xfId="0" applyNumberFormat="1" applyFont="1" applyAlignment="1">
      <alignment horizontal="right" vertical="center"/>
    </xf>
    <xf numFmtId="10" fontId="153" fillId="0" borderId="84" xfId="0" applyNumberFormat="1" applyFont="1" applyBorder="1"/>
    <xf numFmtId="10" fontId="154" fillId="0" borderId="0" xfId="0" applyNumberFormat="1" applyFont="1" applyAlignment="1">
      <alignment horizontal="right" vertical="center"/>
    </xf>
    <xf numFmtId="166" fontId="153" fillId="0" borderId="84" xfId="0" applyNumberFormat="1" applyFont="1" applyBorder="1"/>
    <xf numFmtId="9" fontId="154" fillId="0" borderId="0" xfId="0" applyNumberFormat="1" applyFont="1" applyAlignment="1">
      <alignment horizontal="right" vertical="center"/>
    </xf>
    <xf numFmtId="169" fontId="153" fillId="0" borderId="84" xfId="0" applyNumberFormat="1" applyFont="1" applyBorder="1"/>
    <xf numFmtId="165" fontId="154" fillId="0" borderId="0" xfId="0" applyNumberFormat="1" applyFont="1" applyAlignment="1">
      <alignment horizontal="right" vertical="center"/>
    </xf>
    <xf numFmtId="0" fontId="54" fillId="43" borderId="23" xfId="0" applyFont="1" applyFill="1" applyBorder="1"/>
    <xf numFmtId="0" fontId="54" fillId="0" borderId="0" xfId="0" applyFont="1" applyAlignment="1">
      <alignment wrapText="1"/>
    </xf>
    <xf numFmtId="0" fontId="59" fillId="0" borderId="0" xfId="0" applyFont="1" applyAlignment="1">
      <alignment wrapText="1"/>
    </xf>
    <xf numFmtId="0" fontId="155" fillId="0" borderId="41" xfId="0" applyFont="1" applyBorder="1" applyAlignment="1">
      <alignment horizontal="left" vertical="center"/>
    </xf>
    <xf numFmtId="176" fontId="155" fillId="0" borderId="41" xfId="0" applyNumberFormat="1" applyFont="1" applyBorder="1" applyAlignment="1">
      <alignment horizontal="right" vertical="center"/>
    </xf>
    <xf numFmtId="176" fontId="155" fillId="0" borderId="0" xfId="0" applyNumberFormat="1" applyFont="1" applyAlignment="1">
      <alignment horizontal="right" vertical="center"/>
    </xf>
    <xf numFmtId="179" fontId="47" fillId="0" borderId="84" xfId="0" applyNumberFormat="1" applyFont="1" applyBorder="1"/>
    <xf numFmtId="179" fontId="29" fillId="0" borderId="0" xfId="0" applyNumberFormat="1" applyFont="1"/>
    <xf numFmtId="169" fontId="29" fillId="0" borderId="0" xfId="0" applyNumberFormat="1" applyFont="1"/>
    <xf numFmtId="166" fontId="29" fillId="0" borderId="0" xfId="0" applyNumberFormat="1" applyFont="1"/>
    <xf numFmtId="183" fontId="29" fillId="0" borderId="0" xfId="0" applyNumberFormat="1" applyFont="1"/>
    <xf numFmtId="188" fontId="29" fillId="0" borderId="0" xfId="0" applyNumberFormat="1" applyFont="1"/>
    <xf numFmtId="188" fontId="47" fillId="0" borderId="41" xfId="0" applyNumberFormat="1" applyFont="1" applyBorder="1"/>
    <xf numFmtId="188" fontId="67" fillId="0" borderId="0" xfId="0" applyNumberFormat="1" applyFont="1"/>
    <xf numFmtId="169" fontId="1" fillId="0" borderId="0" xfId="0" applyNumberFormat="1" applyFont="1"/>
    <xf numFmtId="0" fontId="101" fillId="0" borderId="0" xfId="0" applyFont="1"/>
    <xf numFmtId="179" fontId="101" fillId="0" borderId="0" xfId="0" applyNumberFormat="1" applyFont="1"/>
    <xf numFmtId="179" fontId="101" fillId="0" borderId="41" xfId="0" applyNumberFormat="1" applyFont="1" applyBorder="1"/>
    <xf numFmtId="176" fontId="101" fillId="0" borderId="84" xfId="0" applyNumberFormat="1" applyFont="1" applyBorder="1"/>
    <xf numFmtId="189" fontId="1" fillId="0" borderId="0" xfId="0" applyNumberFormat="1" applyFont="1"/>
    <xf numFmtId="0" fontId="53" fillId="10" borderId="48" xfId="0" applyFont="1" applyFill="1" applyBorder="1"/>
    <xf numFmtId="0" fontId="53" fillId="10" borderId="36" xfId="0" applyFont="1" applyFill="1" applyBorder="1" applyAlignment="1">
      <alignment horizontal="center"/>
    </xf>
    <xf numFmtId="0" fontId="53" fillId="10" borderId="49" xfId="0" applyFont="1" applyFill="1" applyBorder="1" applyAlignment="1">
      <alignment horizontal="center"/>
    </xf>
    <xf numFmtId="0" fontId="145" fillId="0" borderId="0" xfId="0" applyFont="1"/>
    <xf numFmtId="0" fontId="145" fillId="0" borderId="0" xfId="0" applyFont="1" applyAlignment="1">
      <alignment horizontal="center"/>
    </xf>
    <xf numFmtId="0" fontId="145" fillId="0" borderId="0" xfId="0" applyFont="1" applyAlignment="1">
      <alignment horizontal="center" wrapText="1"/>
    </xf>
    <xf numFmtId="0" fontId="145" fillId="0" borderId="2" xfId="0" applyFont="1" applyBorder="1" applyAlignment="1">
      <alignment horizontal="center" wrapText="1"/>
    </xf>
    <xf numFmtId="0" fontId="53" fillId="0" borderId="2" xfId="0" applyFont="1" applyBorder="1" applyAlignment="1">
      <alignment horizontal="center" wrapText="1"/>
    </xf>
    <xf numFmtId="10" fontId="1" fillId="0" borderId="2" xfId="0" applyNumberFormat="1" applyFont="1" applyBorder="1" applyAlignment="1">
      <alignment horizontal="center"/>
    </xf>
    <xf numFmtId="0" fontId="1" fillId="5" borderId="2" xfId="0" applyFont="1" applyFill="1" applyBorder="1"/>
    <xf numFmtId="0" fontId="1" fillId="5" borderId="2" xfId="0" applyFont="1" applyFill="1" applyBorder="1" applyAlignment="1">
      <alignment horizontal="center"/>
    </xf>
    <xf numFmtId="10" fontId="29" fillId="5" borderId="2" xfId="0" applyNumberFormat="1" applyFont="1" applyFill="1" applyBorder="1" applyAlignment="1">
      <alignment horizontal="center"/>
    </xf>
    <xf numFmtId="10" fontId="1" fillId="5" borderId="2" xfId="0" applyNumberFormat="1" applyFont="1" applyFill="1" applyBorder="1" applyAlignment="1">
      <alignment horizontal="center"/>
    </xf>
    <xf numFmtId="0" fontId="1" fillId="11" borderId="50" xfId="0" applyFont="1" applyFill="1" applyBorder="1"/>
    <xf numFmtId="0" fontId="1" fillId="11" borderId="2" xfId="0" applyFont="1" applyFill="1" applyBorder="1" applyAlignment="1">
      <alignment horizontal="center"/>
    </xf>
    <xf numFmtId="10" fontId="1" fillId="11" borderId="2" xfId="0" applyNumberFormat="1" applyFont="1" applyFill="1" applyBorder="1" applyAlignment="1">
      <alignment horizontal="center"/>
    </xf>
    <xf numFmtId="10" fontId="47" fillId="8" borderId="2" xfId="0" applyNumberFormat="1" applyFont="1" applyFill="1" applyBorder="1" applyAlignment="1">
      <alignment horizontal="center"/>
    </xf>
    <xf numFmtId="10" fontId="47" fillId="8" borderId="51" xfId="0" applyNumberFormat="1" applyFont="1" applyFill="1" applyBorder="1" applyAlignment="1">
      <alignment horizontal="center"/>
    </xf>
    <xf numFmtId="0" fontId="1" fillId="11" borderId="52" xfId="0" applyFont="1" applyFill="1" applyBorder="1"/>
    <xf numFmtId="0" fontId="1" fillId="11" borderId="53" xfId="0" applyFont="1" applyFill="1" applyBorder="1" applyAlignment="1">
      <alignment horizontal="center"/>
    </xf>
    <xf numFmtId="10" fontId="1" fillId="11" borderId="53" xfId="0" applyNumberFormat="1" applyFont="1" applyFill="1" applyBorder="1" applyAlignment="1">
      <alignment horizontal="center"/>
    </xf>
    <xf numFmtId="0" fontId="1" fillId="0" borderId="0" xfId="0" applyFont="1" applyAlignment="1">
      <alignment horizontal="left"/>
    </xf>
    <xf numFmtId="0" fontId="44" fillId="0" borderId="24" xfId="0" applyFont="1" applyBorder="1"/>
    <xf numFmtId="10" fontId="158" fillId="0" borderId="0" xfId="0" applyNumberFormat="1" applyFont="1" applyAlignment="1">
      <alignment horizontal="center"/>
    </xf>
    <xf numFmtId="0" fontId="10" fillId="0" borderId="35" xfId="0" applyFont="1" applyBorder="1" applyAlignment="1">
      <alignment horizontal="center" vertical="center"/>
    </xf>
    <xf numFmtId="10" fontId="10" fillId="0" borderId="35" xfId="0" applyNumberFormat="1" applyFont="1" applyBorder="1" applyAlignment="1">
      <alignment horizontal="center" vertical="center"/>
    </xf>
    <xf numFmtId="10" fontId="10" fillId="0" borderId="35" xfId="0" applyNumberFormat="1" applyFont="1" applyBorder="1" applyAlignment="1">
      <alignment horizontal="center" vertical="center" wrapText="1"/>
    </xf>
    <xf numFmtId="0" fontId="10" fillId="0" borderId="104" xfId="0" applyFont="1" applyBorder="1" applyAlignment="1">
      <alignment vertical="center"/>
    </xf>
    <xf numFmtId="0" fontId="162" fillId="0" borderId="0" xfId="0" applyFont="1"/>
    <xf numFmtId="0" fontId="6" fillId="0" borderId="2" xfId="0" applyFont="1" applyBorder="1" applyAlignment="1">
      <alignment horizontal="center" vertical="center"/>
    </xf>
    <xf numFmtId="10" fontId="6" fillId="0" borderId="2" xfId="0" applyNumberFormat="1" applyFont="1" applyBorder="1" applyAlignment="1">
      <alignment horizontal="center" vertical="center"/>
    </xf>
    <xf numFmtId="2" fontId="6" fillId="0" borderId="2" xfId="0" applyNumberFormat="1" applyFont="1" applyBorder="1" applyAlignment="1">
      <alignment horizontal="center" vertical="center"/>
    </xf>
    <xf numFmtId="10" fontId="6" fillId="0" borderId="3" xfId="0" applyNumberFormat="1" applyFont="1" applyBorder="1" applyAlignment="1">
      <alignment horizontal="center" vertical="center"/>
    </xf>
    <xf numFmtId="10" fontId="163" fillId="0" borderId="0" xfId="0" applyNumberFormat="1" applyFont="1" applyAlignment="1">
      <alignment horizontal="center"/>
    </xf>
    <xf numFmtId="2" fontId="6" fillId="0" borderId="3" xfId="0" applyNumberFormat="1" applyFont="1" applyBorder="1" applyAlignment="1">
      <alignment horizontal="center" vertical="center"/>
    </xf>
    <xf numFmtId="0" fontId="163" fillId="0" borderId="0" xfId="0" applyFont="1" applyAlignment="1">
      <alignment horizontal="center"/>
    </xf>
    <xf numFmtId="0" fontId="163" fillId="0" borderId="0" xfId="0" applyFont="1"/>
    <xf numFmtId="1" fontId="6" fillId="0" borderId="2" xfId="0" applyNumberFormat="1" applyFont="1" applyBorder="1" applyAlignment="1">
      <alignment horizontal="center" vertical="center"/>
    </xf>
    <xf numFmtId="1" fontId="6" fillId="0" borderId="2" xfId="0" applyNumberFormat="1" applyFont="1" applyBorder="1" applyAlignment="1">
      <alignment horizontal="center"/>
    </xf>
    <xf numFmtId="2" fontId="164" fillId="0" borderId="2" xfId="0" applyNumberFormat="1" applyFont="1" applyBorder="1" applyAlignment="1">
      <alignment horizontal="center"/>
    </xf>
    <xf numFmtId="2" fontId="6" fillId="0" borderId="3" xfId="0" applyNumberFormat="1" applyFont="1" applyBorder="1" applyAlignment="1">
      <alignment horizontal="center"/>
    </xf>
    <xf numFmtId="1" fontId="6" fillId="0" borderId="0" xfId="0" applyNumberFormat="1" applyFont="1" applyAlignment="1">
      <alignment horizontal="center"/>
    </xf>
    <xf numFmtId="2" fontId="6" fillId="0" borderId="0" xfId="0" applyNumberFormat="1" applyFont="1" applyAlignment="1">
      <alignment horizontal="center"/>
    </xf>
    <xf numFmtId="10" fontId="6" fillId="0" borderId="0" xfId="0" applyNumberFormat="1" applyFont="1" applyAlignment="1">
      <alignment horizontal="center"/>
    </xf>
    <xf numFmtId="1" fontId="6" fillId="0" borderId="27" xfId="0" applyNumberFormat="1" applyFont="1" applyBorder="1" applyAlignment="1">
      <alignment horizontal="center"/>
    </xf>
    <xf numFmtId="2" fontId="6" fillId="0" borderId="27" xfId="0" applyNumberFormat="1" applyFont="1" applyBorder="1" applyAlignment="1">
      <alignment horizontal="center"/>
    </xf>
    <xf numFmtId="10" fontId="6" fillId="0" borderId="27" xfId="0" applyNumberFormat="1" applyFont="1" applyBorder="1" applyAlignment="1">
      <alignment horizontal="center"/>
    </xf>
    <xf numFmtId="2" fontId="10" fillId="0" borderId="27" xfId="0" applyNumberFormat="1" applyFont="1" applyBorder="1" applyAlignment="1">
      <alignment horizontal="center"/>
    </xf>
    <xf numFmtId="10" fontId="6" fillId="0" borderId="0" xfId="0" applyNumberFormat="1" applyFont="1" applyAlignment="1">
      <alignment horizontal="center" vertical="center"/>
    </xf>
    <xf numFmtId="10" fontId="165" fillId="0" borderId="0" xfId="0" applyNumberFormat="1" applyFont="1" applyAlignment="1">
      <alignment horizontal="left"/>
    </xf>
    <xf numFmtId="10" fontId="165" fillId="0" borderId="0" xfId="0" applyNumberFormat="1" applyFont="1" applyAlignment="1">
      <alignment horizontal="center"/>
    </xf>
    <xf numFmtId="0" fontId="158" fillId="0" borderId="0" xfId="0" applyFont="1"/>
    <xf numFmtId="0" fontId="165" fillId="0" borderId="2" xfId="0" applyFont="1" applyBorder="1" applyAlignment="1">
      <alignment horizontal="center"/>
    </xf>
    <xf numFmtId="0" fontId="165" fillId="0" borderId="2" xfId="0" applyFont="1" applyBorder="1"/>
    <xf numFmtId="0" fontId="158" fillId="0" borderId="2" xfId="0" applyFont="1" applyBorder="1" applyAlignment="1">
      <alignment horizontal="center"/>
    </xf>
    <xf numFmtId="10" fontId="158" fillId="0" borderId="2" xfId="0" applyNumberFormat="1" applyFont="1" applyBorder="1" applyAlignment="1">
      <alignment horizontal="center"/>
    </xf>
    <xf numFmtId="0" fontId="158" fillId="44" borderId="2" xfId="0" applyFont="1" applyFill="1" applyBorder="1" applyAlignment="1">
      <alignment horizontal="center"/>
    </xf>
    <xf numFmtId="0" fontId="65" fillId="0" borderId="114" xfId="0" applyFont="1" applyBorder="1"/>
    <xf numFmtId="0" fontId="65" fillId="0" borderId="35" xfId="0" applyFont="1" applyBorder="1" applyAlignment="1">
      <alignment horizontal="center"/>
    </xf>
    <xf numFmtId="0" fontId="65" fillId="0" borderId="35" xfId="0" applyFont="1" applyBorder="1" applyAlignment="1">
      <alignment horizontal="center" wrapText="1"/>
    </xf>
    <xf numFmtId="0" fontId="1" fillId="0" borderId="35" xfId="0" applyFont="1" applyBorder="1" applyAlignment="1">
      <alignment horizontal="center" wrapText="1"/>
    </xf>
    <xf numFmtId="0" fontId="1" fillId="0" borderId="104" xfId="0" applyFont="1" applyBorder="1" applyAlignment="1">
      <alignment horizontal="center" wrapText="1"/>
    </xf>
    <xf numFmtId="0" fontId="1" fillId="0" borderId="5" xfId="0" applyFont="1" applyBorder="1"/>
    <xf numFmtId="10" fontId="29" fillId="0" borderId="3" xfId="0" applyNumberFormat="1" applyFont="1" applyBorder="1" applyAlignment="1">
      <alignment horizontal="center"/>
    </xf>
    <xf numFmtId="0" fontId="6" fillId="0" borderId="0" xfId="0" applyFont="1"/>
    <xf numFmtId="10" fontId="47" fillId="0" borderId="2" xfId="0" applyNumberFormat="1" applyFont="1" applyBorder="1" applyAlignment="1">
      <alignment horizontal="center"/>
    </xf>
    <xf numFmtId="0" fontId="37" fillId="0" borderId="2" xfId="0" applyFont="1" applyBorder="1" applyAlignment="1">
      <alignment horizontal="center"/>
    </xf>
    <xf numFmtId="10" fontId="47" fillId="0" borderId="3" xfId="0" applyNumberFormat="1" applyFont="1" applyBorder="1" applyAlignment="1">
      <alignment horizontal="center"/>
    </xf>
    <xf numFmtId="10" fontId="166" fillId="0" borderId="2" xfId="0" applyNumberFormat="1" applyFont="1" applyBorder="1" applyAlignment="1">
      <alignment horizontal="center"/>
    </xf>
    <xf numFmtId="0" fontId="164" fillId="0" borderId="0" xfId="0" applyFont="1"/>
    <xf numFmtId="0" fontId="1" fillId="0" borderId="115" xfId="0" applyFont="1" applyBorder="1"/>
    <xf numFmtId="0" fontId="1" fillId="0" borderId="27" xfId="0" applyFont="1" applyBorder="1" applyAlignment="1">
      <alignment horizontal="center"/>
    </xf>
    <xf numFmtId="10" fontId="29" fillId="0" borderId="27" xfId="0" applyNumberFormat="1" applyFont="1" applyBorder="1" applyAlignment="1">
      <alignment horizontal="center"/>
    </xf>
    <xf numFmtId="10" fontId="29" fillId="0" borderId="34" xfId="0" applyNumberFormat="1" applyFont="1" applyBorder="1" applyAlignment="1">
      <alignment horizontal="center"/>
    </xf>
    <xf numFmtId="0" fontId="167" fillId="0" borderId="0" xfId="0" applyFont="1" applyAlignment="1">
      <alignment vertical="center" wrapText="1"/>
    </xf>
    <xf numFmtId="0" fontId="65" fillId="0" borderId="114" xfId="0" applyFont="1" applyBorder="1" applyAlignment="1">
      <alignment wrapText="1"/>
    </xf>
    <xf numFmtId="0" fontId="65" fillId="0" borderId="104" xfId="0" applyFont="1" applyBorder="1" applyAlignment="1">
      <alignment horizontal="center" wrapText="1"/>
    </xf>
    <xf numFmtId="170" fontId="1" fillId="0" borderId="2" xfId="0" applyNumberFormat="1" applyFont="1" applyBorder="1" applyAlignment="1">
      <alignment horizontal="center"/>
    </xf>
    <xf numFmtId="170" fontId="29" fillId="0" borderId="2" xfId="0" applyNumberFormat="1" applyFont="1" applyBorder="1" applyAlignment="1">
      <alignment horizontal="center"/>
    </xf>
    <xf numFmtId="2" fontId="1" fillId="0" borderId="3" xfId="0" applyNumberFormat="1" applyFont="1" applyBorder="1" applyAlignment="1">
      <alignment horizontal="center"/>
    </xf>
    <xf numFmtId="0" fontId="1" fillId="5" borderId="50" xfId="0" applyFont="1" applyFill="1" applyBorder="1"/>
    <xf numFmtId="170" fontId="1" fillId="5" borderId="2" xfId="0" applyNumberFormat="1" applyFont="1" applyFill="1" applyBorder="1" applyAlignment="1">
      <alignment horizontal="center"/>
    </xf>
    <xf numFmtId="170" fontId="29" fillId="5" borderId="2" xfId="0" applyNumberFormat="1" applyFont="1" applyFill="1" applyBorder="1" applyAlignment="1">
      <alignment horizontal="center"/>
    </xf>
    <xf numFmtId="2" fontId="1" fillId="5" borderId="51" xfId="0" applyNumberFormat="1" applyFont="1" applyFill="1" applyBorder="1" applyAlignment="1">
      <alignment horizontal="center"/>
    </xf>
    <xf numFmtId="0" fontId="47" fillId="0" borderId="5" xfId="0" applyFont="1" applyBorder="1"/>
    <xf numFmtId="0" fontId="47" fillId="0" borderId="2" xfId="0" applyFont="1" applyBorder="1" applyAlignment="1">
      <alignment horizontal="center"/>
    </xf>
    <xf numFmtId="170" fontId="47" fillId="0" borderId="2" xfId="0" applyNumberFormat="1" applyFont="1" applyBorder="1" applyAlignment="1">
      <alignment horizontal="center"/>
    </xf>
    <xf numFmtId="2" fontId="47" fillId="0" borderId="3" xfId="0" applyNumberFormat="1" applyFont="1" applyBorder="1" applyAlignment="1">
      <alignment horizontal="center"/>
    </xf>
    <xf numFmtId="0" fontId="47" fillId="0" borderId="115" xfId="0" applyFont="1" applyBorder="1"/>
    <xf numFmtId="0" fontId="47" fillId="0" borderId="27" xfId="0" applyFont="1" applyBorder="1" applyAlignment="1">
      <alignment horizontal="center"/>
    </xf>
    <xf numFmtId="170" fontId="47" fillId="0" borderId="27" xfId="0" applyNumberFormat="1" applyFont="1" applyBorder="1" applyAlignment="1">
      <alignment horizontal="center"/>
    </xf>
    <xf numFmtId="10" fontId="47" fillId="0" borderId="27" xfId="0" applyNumberFormat="1" applyFont="1" applyBorder="1" applyAlignment="1">
      <alignment horizontal="center"/>
    </xf>
    <xf numFmtId="2" fontId="47" fillId="0" borderId="34" xfId="0" applyNumberFormat="1" applyFont="1" applyBorder="1" applyAlignment="1">
      <alignment horizontal="center"/>
    </xf>
    <xf numFmtId="49" fontId="25" fillId="0" borderId="2" xfId="0" quotePrefix="1" applyNumberFormat="1" applyFont="1" applyBorder="1" applyAlignment="1">
      <alignment horizontal="center"/>
    </xf>
    <xf numFmtId="175" fontId="4" fillId="0" borderId="2" xfId="0" applyNumberFormat="1" applyFont="1" applyBorder="1"/>
    <xf numFmtId="0" fontId="23" fillId="0" borderId="2" xfId="0" applyFont="1" applyBorder="1"/>
    <xf numFmtId="9" fontId="4" fillId="0" borderId="2" xfId="0" applyNumberFormat="1" applyFont="1" applyBorder="1"/>
    <xf numFmtId="167" fontId="168" fillId="0" borderId="0" xfId="0" applyNumberFormat="1" applyFont="1"/>
    <xf numFmtId="167" fontId="1" fillId="0" borderId="1" xfId="0" applyNumberFormat="1" applyFont="1" applyBorder="1"/>
    <xf numFmtId="0" fontId="169" fillId="0" borderId="0" xfId="0" applyFont="1"/>
    <xf numFmtId="0" fontId="170" fillId="0" borderId="2" xfId="0" applyFont="1" applyBorder="1"/>
    <xf numFmtId="10" fontId="170" fillId="0" borderId="2" xfId="0" applyNumberFormat="1" applyFont="1" applyBorder="1"/>
    <xf numFmtId="10" fontId="37" fillId="0" borderId="2" xfId="0" applyNumberFormat="1" applyFont="1" applyBorder="1"/>
    <xf numFmtId="9" fontId="170" fillId="0" borderId="2" xfId="0" applyNumberFormat="1" applyFont="1" applyBorder="1"/>
    <xf numFmtId="0" fontId="171" fillId="0" borderId="0" xfId="0" applyFont="1"/>
    <xf numFmtId="0" fontId="172" fillId="0" borderId="2" xfId="0" applyFont="1" applyBorder="1"/>
    <xf numFmtId="0" fontId="79" fillId="0" borderId="2" xfId="0" applyFont="1" applyBorder="1"/>
    <xf numFmtId="10" fontId="79" fillId="0" borderId="2" xfId="0" applyNumberFormat="1" applyFont="1" applyBorder="1"/>
    <xf numFmtId="0" fontId="173" fillId="0" borderId="0" xfId="0" applyFont="1"/>
    <xf numFmtId="9" fontId="79" fillId="0" borderId="2" xfId="0" applyNumberFormat="1" applyFont="1" applyBorder="1"/>
    <xf numFmtId="10" fontId="67" fillId="0" borderId="2" xfId="0" applyNumberFormat="1" applyFont="1" applyBorder="1"/>
    <xf numFmtId="0" fontId="174" fillId="0" borderId="0" xfId="0" applyFont="1" applyAlignment="1">
      <alignment horizontal="left"/>
    </xf>
    <xf numFmtId="0" fontId="174" fillId="0" borderId="0" xfId="0" applyFont="1" applyAlignment="1">
      <alignment horizontal="center"/>
    </xf>
    <xf numFmtId="0" fontId="175" fillId="0" borderId="0" xfId="0" applyFont="1" applyAlignment="1">
      <alignment horizontal="left"/>
    </xf>
    <xf numFmtId="190" fontId="175" fillId="0" borderId="2" xfId="0" applyNumberFormat="1" applyFont="1" applyBorder="1" applyAlignment="1">
      <alignment horizontal="center"/>
    </xf>
    <xf numFmtId="0" fontId="143" fillId="0" borderId="0" xfId="0" applyFont="1" applyAlignment="1">
      <alignment horizontal="left"/>
    </xf>
    <xf numFmtId="10" fontId="143" fillId="0" borderId="2" xfId="0" applyNumberFormat="1" applyFont="1" applyBorder="1" applyAlignment="1">
      <alignment horizontal="center"/>
    </xf>
    <xf numFmtId="0" fontId="143" fillId="0" borderId="0" xfId="0" applyFont="1" applyAlignment="1">
      <alignment horizontal="center"/>
    </xf>
    <xf numFmtId="2" fontId="143" fillId="0" borderId="2" xfId="0" applyNumberFormat="1" applyFont="1" applyBorder="1" applyAlignment="1">
      <alignment horizontal="center"/>
    </xf>
    <xf numFmtId="0" fontId="65" fillId="0" borderId="0" xfId="0" applyFont="1" applyAlignment="1">
      <alignment horizontal="left"/>
    </xf>
    <xf numFmtId="0" fontId="176" fillId="0" borderId="114" xfId="0" applyFont="1" applyBorder="1" applyAlignment="1">
      <alignment horizontal="left"/>
    </xf>
    <xf numFmtId="0" fontId="143" fillId="0" borderId="35" xfId="0" applyFont="1" applyBorder="1" applyAlignment="1">
      <alignment horizontal="left"/>
    </xf>
    <xf numFmtId="0" fontId="175" fillId="0" borderId="35" xfId="0" applyFont="1" applyBorder="1" applyAlignment="1">
      <alignment horizontal="center"/>
    </xf>
    <xf numFmtId="0" fontId="176" fillId="0" borderId="35" xfId="0" applyFont="1" applyBorder="1" applyAlignment="1">
      <alignment horizontal="center"/>
    </xf>
    <xf numFmtId="0" fontId="176" fillId="0" borderId="35" xfId="0" applyFont="1" applyBorder="1" applyAlignment="1">
      <alignment horizontal="center" wrapText="1"/>
    </xf>
    <xf numFmtId="0" fontId="176" fillId="0" borderId="104" xfId="0" applyFont="1" applyBorder="1" applyAlignment="1">
      <alignment horizontal="center"/>
    </xf>
    <xf numFmtId="0" fontId="175" fillId="0" borderId="5" xfId="0" applyFont="1" applyBorder="1" applyAlignment="1">
      <alignment horizontal="left"/>
    </xf>
    <xf numFmtId="0" fontId="143" fillId="0" borderId="2" xfId="0" applyFont="1" applyBorder="1" applyAlignment="1">
      <alignment horizontal="left"/>
    </xf>
    <xf numFmtId="0" fontId="175" fillId="0" borderId="2" xfId="0" applyFont="1" applyBorder="1" applyAlignment="1">
      <alignment horizontal="center"/>
    </xf>
    <xf numFmtId="10" fontId="175" fillId="0" borderId="2" xfId="0" applyNumberFormat="1" applyFont="1" applyBorder="1" applyAlignment="1">
      <alignment horizontal="center"/>
    </xf>
    <xf numFmtId="10" fontId="175" fillId="0" borderId="3" xfId="0" applyNumberFormat="1" applyFont="1" applyBorder="1" applyAlignment="1">
      <alignment horizontal="center"/>
    </xf>
    <xf numFmtId="0" fontId="65" fillId="0" borderId="2" xfId="0" applyFont="1" applyBorder="1" applyAlignment="1">
      <alignment horizontal="center"/>
    </xf>
    <xf numFmtId="1" fontId="143" fillId="0" borderId="2" xfId="0" applyNumberFormat="1" applyFont="1" applyBorder="1" applyAlignment="1">
      <alignment horizontal="center" vertical="center"/>
    </xf>
    <xf numFmtId="0" fontId="143" fillId="0" borderId="2" xfId="0" applyFont="1" applyBorder="1" applyAlignment="1">
      <alignment horizontal="center" vertical="center"/>
    </xf>
    <xf numFmtId="0" fontId="175" fillId="0" borderId="115" xfId="0" applyFont="1" applyBorder="1" applyAlignment="1">
      <alignment horizontal="left"/>
    </xf>
    <xf numFmtId="0" fontId="143" fillId="0" borderId="27" xfId="0" applyFont="1" applyBorder="1" applyAlignment="1">
      <alignment horizontal="left"/>
    </xf>
    <xf numFmtId="0" fontId="175" fillId="0" borderId="27" xfId="0" applyFont="1" applyBorder="1" applyAlignment="1">
      <alignment horizontal="center"/>
    </xf>
    <xf numFmtId="10" fontId="175" fillId="0" borderId="27" xfId="0" applyNumberFormat="1" applyFont="1" applyBorder="1" applyAlignment="1">
      <alignment horizontal="center"/>
    </xf>
    <xf numFmtId="10" fontId="175" fillId="0" borderId="34" xfId="0" applyNumberFormat="1" applyFont="1" applyBorder="1" applyAlignment="1">
      <alignment horizontal="center"/>
    </xf>
    <xf numFmtId="0" fontId="175" fillId="0" borderId="2" xfId="0" applyFont="1" applyBorder="1" applyAlignment="1">
      <alignment horizontal="left"/>
    </xf>
    <xf numFmtId="10" fontId="175" fillId="0" borderId="0" xfId="0" applyNumberFormat="1" applyFont="1" applyAlignment="1">
      <alignment horizontal="center"/>
    </xf>
    <xf numFmtId="0" fontId="65" fillId="0" borderId="0" xfId="0" applyFont="1" applyAlignment="1">
      <alignment horizontal="center"/>
    </xf>
    <xf numFmtId="10" fontId="177" fillId="0" borderId="0" xfId="0" applyNumberFormat="1" applyFont="1" applyAlignment="1">
      <alignment horizontal="center"/>
    </xf>
    <xf numFmtId="191" fontId="29" fillId="0" borderId="35" xfId="0" applyNumberFormat="1" applyFont="1" applyBorder="1" applyAlignment="1">
      <alignment horizontal="left"/>
    </xf>
    <xf numFmtId="10" fontId="175" fillId="0" borderId="35" xfId="0" applyNumberFormat="1" applyFont="1" applyBorder="1" applyAlignment="1">
      <alignment horizontal="center"/>
    </xf>
    <xf numFmtId="10" fontId="175" fillId="0" borderId="0" xfId="0" applyNumberFormat="1" applyFont="1"/>
    <xf numFmtId="1" fontId="143" fillId="0" borderId="2" xfId="0" applyNumberFormat="1" applyFont="1" applyBorder="1" applyAlignment="1">
      <alignment horizontal="center"/>
    </xf>
    <xf numFmtId="2" fontId="1" fillId="5" borderId="2" xfId="0" applyNumberFormat="1" applyFont="1" applyFill="1" applyBorder="1" applyAlignment="1">
      <alignment horizontal="center"/>
    </xf>
    <xf numFmtId="0" fontId="1" fillId="0" borderId="35" xfId="0" applyFont="1" applyBorder="1" applyAlignment="1">
      <alignment horizontal="left"/>
    </xf>
    <xf numFmtId="0" fontId="1" fillId="0" borderId="2" xfId="0" applyFont="1" applyBorder="1" applyAlignment="1">
      <alignment horizontal="left"/>
    </xf>
    <xf numFmtId="10" fontId="175" fillId="9" borderId="2" xfId="0" applyNumberFormat="1" applyFont="1" applyFill="1" applyBorder="1" applyAlignment="1">
      <alignment horizontal="center"/>
    </xf>
    <xf numFmtId="1" fontId="1" fillId="0" borderId="2" xfId="0" applyNumberFormat="1" applyFont="1" applyBorder="1" applyAlignment="1">
      <alignment horizontal="center" vertical="center"/>
    </xf>
    <xf numFmtId="0" fontId="1" fillId="0" borderId="2" xfId="0" applyFont="1" applyBorder="1" applyAlignment="1">
      <alignment horizontal="center" vertical="center"/>
    </xf>
    <xf numFmtId="0" fontId="174" fillId="11" borderId="102" xfId="0" applyFont="1" applyFill="1" applyBorder="1" applyAlignment="1">
      <alignment horizontal="center"/>
    </xf>
    <xf numFmtId="0" fontId="1" fillId="11" borderId="102" xfId="0" applyFont="1" applyFill="1" applyBorder="1"/>
    <xf numFmtId="10" fontId="175" fillId="11" borderId="102" xfId="0" applyNumberFormat="1" applyFont="1" applyFill="1" applyBorder="1" applyAlignment="1">
      <alignment horizontal="center"/>
    </xf>
    <xf numFmtId="10" fontId="175" fillId="11" borderId="23" xfId="0" applyNumberFormat="1" applyFont="1" applyFill="1" applyBorder="1" applyAlignment="1">
      <alignment horizontal="center"/>
    </xf>
    <xf numFmtId="0" fontId="143" fillId="11" borderId="23" xfId="0" applyFont="1" applyFill="1" applyBorder="1"/>
    <xf numFmtId="10" fontId="177" fillId="8" borderId="23" xfId="0" applyNumberFormat="1" applyFont="1" applyFill="1" applyBorder="1" applyAlignment="1">
      <alignment horizontal="center"/>
    </xf>
    <xf numFmtId="0" fontId="143" fillId="8" borderId="23" xfId="0" applyFont="1" applyFill="1" applyBorder="1"/>
    <xf numFmtId="10" fontId="175" fillId="11" borderId="123" xfId="0" applyNumberFormat="1" applyFont="1" applyFill="1" applyBorder="1" applyAlignment="1">
      <alignment horizontal="center"/>
    </xf>
    <xf numFmtId="0" fontId="65" fillId="11" borderId="23" xfId="0" applyFont="1" applyFill="1" applyBorder="1" applyAlignment="1">
      <alignment horizontal="center"/>
    </xf>
    <xf numFmtId="10" fontId="175" fillId="8" borderId="123" xfId="0" applyNumberFormat="1" applyFont="1" applyFill="1" applyBorder="1" applyAlignment="1">
      <alignment horizontal="center"/>
    </xf>
    <xf numFmtId="10" fontId="175" fillId="8" borderId="23" xfId="0" applyNumberFormat="1" applyFont="1" applyFill="1" applyBorder="1" applyAlignment="1">
      <alignment horizontal="center"/>
    </xf>
    <xf numFmtId="0" fontId="143" fillId="8" borderId="102" xfId="0" applyFont="1" applyFill="1" applyBorder="1" applyAlignment="1">
      <alignment horizontal="left"/>
    </xf>
    <xf numFmtId="0" fontId="65" fillId="8" borderId="54" xfId="0" applyFont="1" applyFill="1" applyBorder="1" applyAlignment="1">
      <alignment horizontal="center"/>
    </xf>
    <xf numFmtId="0" fontId="143" fillId="8" borderId="54" xfId="0" applyFont="1" applyFill="1" applyBorder="1"/>
    <xf numFmtId="0" fontId="143" fillId="8" borderId="102" xfId="0" applyFont="1" applyFill="1" applyBorder="1"/>
    <xf numFmtId="0" fontId="143" fillId="11" borderId="23" xfId="0" applyFont="1" applyFill="1" applyBorder="1" applyAlignment="1">
      <alignment horizontal="left"/>
    </xf>
    <xf numFmtId="0" fontId="143" fillId="11" borderId="54" xfId="0" applyFont="1" applyFill="1" applyBorder="1" applyAlignment="1">
      <alignment horizontal="center"/>
    </xf>
    <xf numFmtId="1" fontId="143" fillId="11" borderId="54" xfId="0" applyNumberFormat="1" applyFont="1" applyFill="1" applyBorder="1" applyAlignment="1">
      <alignment horizontal="center"/>
    </xf>
    <xf numFmtId="0" fontId="143" fillId="11" borderId="123" xfId="0" applyFont="1" applyFill="1" applyBorder="1"/>
    <xf numFmtId="0" fontId="143" fillId="8" borderId="23" xfId="0" applyFont="1" applyFill="1" applyBorder="1" applyAlignment="1">
      <alignment horizontal="left"/>
    </xf>
    <xf numFmtId="0" fontId="143" fillId="8" borderId="54" xfId="0" applyFont="1" applyFill="1" applyBorder="1" applyAlignment="1">
      <alignment horizontal="center"/>
    </xf>
    <xf numFmtId="1" fontId="143" fillId="8" borderId="54" xfId="0" applyNumberFormat="1" applyFont="1" applyFill="1" applyBorder="1" applyAlignment="1">
      <alignment horizontal="center"/>
    </xf>
    <xf numFmtId="0" fontId="143" fillId="8" borderId="123" xfId="0" applyFont="1" applyFill="1" applyBorder="1"/>
    <xf numFmtId="0" fontId="143" fillId="8" borderId="51" xfId="0" applyFont="1" applyFill="1" applyBorder="1" applyAlignment="1">
      <alignment horizontal="center"/>
    </xf>
    <xf numFmtId="0" fontId="178" fillId="0" borderId="3" xfId="0" applyFont="1" applyBorder="1" applyAlignment="1">
      <alignment horizontal="left"/>
    </xf>
    <xf numFmtId="0" fontId="179" fillId="45" borderId="23" xfId="0" applyFont="1" applyFill="1" applyBorder="1" applyAlignment="1">
      <alignment horizontal="center" wrapText="1"/>
    </xf>
    <xf numFmtId="0" fontId="179" fillId="46" borderId="132" xfId="0" applyFont="1" applyFill="1" applyBorder="1" applyAlignment="1">
      <alignment horizontal="center" wrapText="1"/>
    </xf>
    <xf numFmtId="14" fontId="180" fillId="0" borderId="133" xfId="0" applyNumberFormat="1" applyFont="1" applyBorder="1" applyAlignment="1">
      <alignment vertical="top" wrapText="1"/>
    </xf>
    <xf numFmtId="2" fontId="180" fillId="0" borderId="133" xfId="0" applyNumberFormat="1" applyFont="1" applyBorder="1" applyAlignment="1">
      <alignment horizontal="right" vertical="top" wrapText="1"/>
    </xf>
    <xf numFmtId="14" fontId="180" fillId="47" borderId="134" xfId="0" applyNumberFormat="1" applyFont="1" applyFill="1" applyBorder="1" applyAlignment="1">
      <alignment vertical="top" wrapText="1"/>
    </xf>
    <xf numFmtId="0" fontId="37" fillId="0" borderId="0" xfId="0" applyFont="1" applyAlignment="1">
      <alignment horizontal="center" vertical="center"/>
    </xf>
    <xf numFmtId="167" fontId="1" fillId="0" borderId="0" xfId="0" applyNumberFormat="1" applyFont="1" applyAlignment="1">
      <alignment horizontal="center"/>
    </xf>
    <xf numFmtId="0" fontId="0" fillId="0" borderId="0" xfId="0"/>
    <xf numFmtId="167" fontId="26" fillId="0" borderId="0" xfId="0" applyNumberFormat="1" applyFont="1" applyAlignment="1">
      <alignment horizontal="center"/>
    </xf>
    <xf numFmtId="9" fontId="2" fillId="0" borderId="1" xfId="0" applyNumberFormat="1" applyFont="1" applyBorder="1" applyAlignment="1">
      <alignment horizontal="center"/>
    </xf>
    <xf numFmtId="0" fontId="3" fillId="0" borderId="1" xfId="0" applyFont="1" applyBorder="1"/>
    <xf numFmtId="0" fontId="5" fillId="0" borderId="3" xfId="0" applyFont="1" applyBorder="1"/>
    <xf numFmtId="0" fontId="3" fillId="0" borderId="4" xfId="0" applyFont="1" applyBorder="1"/>
    <xf numFmtId="0" fontId="3" fillId="0" borderId="5" xfId="0" applyFont="1" applyBorder="1"/>
    <xf numFmtId="0" fontId="8" fillId="0" borderId="3" xfId="0" applyFont="1" applyBorder="1"/>
    <xf numFmtId="0" fontId="6" fillId="0" borderId="3" xfId="0" applyFont="1" applyBorder="1"/>
    <xf numFmtId="0" fontId="9" fillId="0" borderId="3" xfId="0" applyFont="1" applyBorder="1" applyAlignment="1">
      <alignment horizontal="left"/>
    </xf>
    <xf numFmtId="0" fontId="15" fillId="2" borderId="6" xfId="0" applyFont="1" applyFill="1" applyBorder="1" applyAlignment="1">
      <alignment horizontal="center"/>
    </xf>
    <xf numFmtId="0" fontId="3" fillId="0" borderId="7" xfId="0" applyFont="1" applyBorder="1"/>
    <xf numFmtId="0" fontId="17" fillId="0" borderId="11" xfId="0" applyFont="1" applyBorder="1" applyAlignment="1">
      <alignment horizontal="center"/>
    </xf>
    <xf numFmtId="0" fontId="3" fillId="0" borderId="12" xfId="0" applyFont="1" applyBorder="1"/>
    <xf numFmtId="0" fontId="3" fillId="0" borderId="13" xfId="0" applyFont="1" applyBorder="1"/>
    <xf numFmtId="0" fontId="16" fillId="3" borderId="8" xfId="0" applyFont="1" applyFill="1" applyBorder="1" applyAlignment="1">
      <alignment horizontal="center"/>
    </xf>
    <xf numFmtId="0" fontId="3" fillId="0" borderId="9" xfId="0" applyFont="1" applyBorder="1"/>
    <xf numFmtId="0" fontId="3" fillId="0" borderId="10" xfId="0" applyFont="1" applyBorder="1"/>
    <xf numFmtId="0" fontId="18" fillId="0" borderId="14" xfId="0" applyFont="1" applyBorder="1" applyAlignment="1">
      <alignment horizontal="center"/>
    </xf>
    <xf numFmtId="0" fontId="3" fillId="0" borderId="15" xfId="0" applyFont="1" applyBorder="1"/>
    <xf numFmtId="0" fontId="24" fillId="0" borderId="0" xfId="0" applyFont="1" applyAlignment="1">
      <alignment horizontal="center"/>
    </xf>
    <xf numFmtId="0" fontId="32" fillId="0" borderId="3" xfId="0" applyFont="1" applyBorder="1"/>
    <xf numFmtId="0" fontId="34" fillId="0" borderId="3" xfId="0" applyFont="1" applyBorder="1" applyAlignment="1">
      <alignment horizontal="left"/>
    </xf>
    <xf numFmtId="0" fontId="15" fillId="6" borderId="6" xfId="0" applyFont="1" applyFill="1" applyBorder="1" applyAlignment="1">
      <alignment horizontal="center"/>
    </xf>
    <xf numFmtId="0" fontId="16" fillId="7" borderId="8" xfId="0" applyFont="1" applyFill="1" applyBorder="1" applyAlignment="1">
      <alignment horizontal="center"/>
    </xf>
    <xf numFmtId="0" fontId="52" fillId="0" borderId="20" xfId="0" applyFont="1" applyBorder="1" applyAlignment="1">
      <alignment horizontal="center"/>
    </xf>
    <xf numFmtId="0" fontId="3" fillId="0" borderId="21" xfId="0" applyFont="1" applyBorder="1"/>
    <xf numFmtId="0" fontId="3" fillId="0" borderId="22" xfId="0" applyFont="1" applyBorder="1"/>
    <xf numFmtId="15" fontId="45" fillId="0" borderId="25" xfId="0" applyNumberFormat="1" applyFont="1" applyBorder="1" applyAlignment="1">
      <alignment horizontal="left"/>
    </xf>
    <xf numFmtId="0" fontId="3" fillId="0" borderId="26" xfId="0" applyFont="1" applyBorder="1"/>
    <xf numFmtId="0" fontId="46" fillId="9" borderId="27" xfId="0" applyFont="1" applyFill="1" applyBorder="1" applyAlignment="1">
      <alignment horizontal="center" vertical="center" wrapText="1"/>
    </xf>
    <xf numFmtId="0" fontId="3" fillId="0" borderId="30" xfId="0" applyFont="1" applyBorder="1"/>
    <xf numFmtId="0" fontId="3" fillId="0" borderId="35" xfId="0" applyFont="1" applyBorder="1"/>
    <xf numFmtId="0" fontId="47" fillId="0" borderId="26" xfId="0" applyFont="1" applyBorder="1" applyAlignment="1">
      <alignment horizontal="center"/>
    </xf>
    <xf numFmtId="0" fontId="3" fillId="0" borderId="28" xfId="0" applyFont="1" applyBorder="1"/>
    <xf numFmtId="0" fontId="48" fillId="0" borderId="3" xfId="0" applyFont="1" applyBorder="1" applyAlignment="1">
      <alignment horizontal="left"/>
    </xf>
    <xf numFmtId="0" fontId="29" fillId="0" borderId="31" xfId="0" applyFont="1" applyBorder="1" applyAlignment="1">
      <alignment horizontal="left" vertical="top" wrapText="1"/>
    </xf>
    <xf numFmtId="0" fontId="3" fillId="0" borderId="31" xfId="0" applyFont="1" applyBorder="1"/>
    <xf numFmtId="0" fontId="3" fillId="0" borderId="32" xfId="0" applyFont="1" applyBorder="1"/>
    <xf numFmtId="0" fontId="3" fillId="0" borderId="18" xfId="0" applyFont="1" applyBorder="1"/>
    <xf numFmtId="0" fontId="3" fillId="0" borderId="19" xfId="0" applyFont="1" applyBorder="1"/>
    <xf numFmtId="0" fontId="29" fillId="0" borderId="3" xfId="0" applyFont="1" applyBorder="1" applyAlignment="1">
      <alignment horizontal="left"/>
    </xf>
    <xf numFmtId="15" fontId="49" fillId="0" borderId="3" xfId="0" applyNumberFormat="1" applyFont="1" applyBorder="1" applyAlignment="1">
      <alignment horizontal="left"/>
    </xf>
    <xf numFmtId="0" fontId="54" fillId="0" borderId="1" xfId="0" applyFont="1" applyBorder="1" applyAlignment="1">
      <alignment horizontal="center"/>
    </xf>
    <xf numFmtId="0" fontId="50" fillId="0" borderId="34" xfId="0" applyFont="1" applyBorder="1" applyAlignment="1">
      <alignment horizontal="left"/>
    </xf>
    <xf numFmtId="0" fontId="37" fillId="0" borderId="0" xfId="0" applyFont="1" applyAlignment="1">
      <alignment horizontal="center"/>
    </xf>
    <xf numFmtId="0" fontId="59" fillId="0" borderId="0" xfId="0" applyFont="1" applyAlignment="1">
      <alignment horizontal="center"/>
    </xf>
    <xf numFmtId="10" fontId="37" fillId="0" borderId="0" xfId="0" applyNumberFormat="1" applyFont="1" applyAlignment="1">
      <alignment horizontal="center"/>
    </xf>
    <xf numFmtId="0" fontId="60" fillId="0" borderId="27" xfId="0" applyFont="1" applyBorder="1" applyAlignment="1">
      <alignment horizontal="center" wrapText="1"/>
    </xf>
    <xf numFmtId="0" fontId="62" fillId="0" borderId="43" xfId="0" applyFont="1" applyBorder="1" applyAlignment="1">
      <alignment horizontal="center" vertical="center" wrapText="1"/>
    </xf>
    <xf numFmtId="0" fontId="3" fillId="0" borderId="44" xfId="0" applyFont="1" applyBorder="1"/>
    <xf numFmtId="0" fontId="62" fillId="0" borderId="43" xfId="0" applyFont="1" applyBorder="1" applyAlignment="1">
      <alignment horizontal="center" vertical="top" wrapText="1"/>
    </xf>
    <xf numFmtId="0" fontId="57" fillId="14" borderId="37" xfId="0" applyFont="1" applyFill="1" applyBorder="1" applyAlignment="1">
      <alignment horizontal="center"/>
    </xf>
    <xf numFmtId="0" fontId="3" fillId="0" borderId="46" xfId="0" applyFont="1" applyBorder="1"/>
    <xf numFmtId="0" fontId="64" fillId="0" borderId="47" xfId="0" applyFont="1" applyBorder="1" applyAlignment="1">
      <alignment horizontal="left"/>
    </xf>
    <xf numFmtId="0" fontId="3" fillId="0" borderId="39" xfId="0" applyFont="1" applyBorder="1"/>
    <xf numFmtId="0" fontId="3" fillId="0" borderId="40" xfId="0" applyFont="1" applyBorder="1"/>
    <xf numFmtId="0" fontId="79" fillId="0" borderId="0" xfId="0" applyFont="1" applyAlignment="1">
      <alignment horizontal="center"/>
    </xf>
    <xf numFmtId="0" fontId="68" fillId="0" borderId="0" xfId="0" applyFont="1" applyAlignment="1">
      <alignment horizontal="center" wrapText="1"/>
    </xf>
    <xf numFmtId="0" fontId="15" fillId="0" borderId="58" xfId="0" applyFont="1" applyBorder="1" applyAlignment="1">
      <alignment horizontal="center"/>
    </xf>
    <xf numFmtId="0" fontId="3" fillId="0" borderId="56" xfId="0" applyFont="1" applyBorder="1"/>
    <xf numFmtId="0" fontId="15" fillId="0" borderId="11" xfId="0" applyFont="1" applyBorder="1" applyAlignment="1">
      <alignment horizontal="center"/>
    </xf>
    <xf numFmtId="0" fontId="67" fillId="0" borderId="20" xfId="0" applyFont="1" applyBorder="1" applyAlignment="1">
      <alignment horizontal="center"/>
    </xf>
    <xf numFmtId="0" fontId="58" fillId="0" borderId="27" xfId="0" applyFont="1" applyBorder="1" applyAlignment="1">
      <alignment horizontal="center" wrapText="1"/>
    </xf>
    <xf numFmtId="0" fontId="102" fillId="0" borderId="0" xfId="0" applyFont="1" applyAlignment="1">
      <alignment horizontal="left" wrapText="1"/>
    </xf>
    <xf numFmtId="0" fontId="100" fillId="0" borderId="31" xfId="0" applyFont="1" applyBorder="1" applyAlignment="1">
      <alignment horizontal="center" vertical="center"/>
    </xf>
    <xf numFmtId="0" fontId="82" fillId="19" borderId="37" xfId="0" applyFont="1" applyFill="1" applyBorder="1" applyAlignment="1">
      <alignment horizontal="center" vertical="center"/>
    </xf>
    <xf numFmtId="0" fontId="83" fillId="0" borderId="14" xfId="0" applyFont="1" applyBorder="1" applyAlignment="1">
      <alignment horizontal="center" vertical="center" wrapText="1"/>
    </xf>
    <xf numFmtId="0" fontId="94" fillId="16" borderId="34" xfId="0" applyFont="1" applyFill="1" applyBorder="1" applyAlignment="1">
      <alignment horizontal="center" vertical="center"/>
    </xf>
    <xf numFmtId="0" fontId="3" fillId="0" borderId="98" xfId="0" applyFont="1" applyBorder="1"/>
    <xf numFmtId="0" fontId="1" fillId="0" borderId="0" xfId="0" applyFont="1"/>
    <xf numFmtId="0" fontId="25" fillId="0" borderId="11" xfId="0" applyFont="1" applyBorder="1" applyAlignment="1">
      <alignment horizontal="center" wrapText="1"/>
    </xf>
    <xf numFmtId="0" fontId="3" fillId="0" borderId="17" xfId="0" applyFont="1" applyBorder="1"/>
    <xf numFmtId="10" fontId="110" fillId="29" borderId="73" xfId="0" applyNumberFormat="1" applyFont="1" applyFill="1" applyBorder="1" applyAlignment="1">
      <alignment horizontal="center" vertical="center"/>
    </xf>
    <xf numFmtId="0" fontId="3" fillId="0" borderId="96" xfId="0" applyFont="1" applyBorder="1"/>
    <xf numFmtId="0" fontId="94" fillId="28" borderId="6" xfId="0" applyFont="1" applyFill="1" applyBorder="1" applyAlignment="1">
      <alignment horizontal="center"/>
    </xf>
    <xf numFmtId="2" fontId="93" fillId="0" borderId="0" xfId="0" applyNumberFormat="1" applyFont="1" applyAlignment="1">
      <alignment horizontal="center"/>
    </xf>
    <xf numFmtId="0" fontId="110" fillId="0" borderId="11" xfId="0" applyFont="1" applyBorder="1" applyAlignment="1">
      <alignment horizontal="center" wrapText="1"/>
    </xf>
    <xf numFmtId="10" fontId="110" fillId="0" borderId="73" xfId="0" applyNumberFormat="1" applyFont="1" applyBorder="1" applyAlignment="1">
      <alignment horizontal="center" vertical="center"/>
    </xf>
    <xf numFmtId="0" fontId="93" fillId="0" borderId="0" xfId="0" applyFont="1" applyAlignment="1">
      <alignment horizontal="center"/>
    </xf>
    <xf numFmtId="0" fontId="93" fillId="0" borderId="98" xfId="0" applyFont="1" applyBorder="1" applyAlignment="1">
      <alignment horizontal="center"/>
    </xf>
    <xf numFmtId="0" fontId="112" fillId="0" borderId="11" xfId="0" applyFont="1" applyBorder="1" applyAlignment="1">
      <alignment horizontal="center"/>
    </xf>
    <xf numFmtId="0" fontId="3" fillId="0" borderId="14" xfId="0" applyFont="1" applyBorder="1"/>
    <xf numFmtId="0" fontId="101" fillId="0" borderId="43" xfId="0" applyFont="1" applyBorder="1" applyAlignment="1">
      <alignment horizontal="center" vertical="center" wrapText="1"/>
    </xf>
    <xf numFmtId="0" fontId="101" fillId="0" borderId="43" xfId="0" applyFont="1" applyBorder="1" applyAlignment="1">
      <alignment horizontal="center" vertical="top" wrapText="1"/>
    </xf>
    <xf numFmtId="0" fontId="116" fillId="0" borderId="0" xfId="0" applyFont="1" applyAlignment="1">
      <alignment horizontal="center" wrapText="1"/>
    </xf>
    <xf numFmtId="0" fontId="58" fillId="0" borderId="20" xfId="0" applyFont="1" applyBorder="1" applyAlignment="1">
      <alignment horizontal="center"/>
    </xf>
    <xf numFmtId="0" fontId="120" fillId="0" borderId="21" xfId="0" applyFont="1" applyBorder="1" applyAlignment="1">
      <alignment horizontal="center" shrinkToFit="1"/>
    </xf>
    <xf numFmtId="0" fontId="108" fillId="0" borderId="20" xfId="0" applyFont="1" applyBorder="1" applyAlignment="1">
      <alignment horizontal="center"/>
    </xf>
    <xf numFmtId="0" fontId="58" fillId="0" borderId="11" xfId="0" applyFont="1" applyBorder="1" applyAlignment="1">
      <alignment horizontal="center"/>
    </xf>
    <xf numFmtId="0" fontId="120" fillId="0" borderId="20" xfId="0" applyFont="1" applyBorder="1" applyAlignment="1">
      <alignment horizontal="center" shrinkToFit="1"/>
    </xf>
    <xf numFmtId="169" fontId="110" fillId="0" borderId="20" xfId="0" applyNumberFormat="1" applyFont="1" applyBorder="1" applyAlignment="1">
      <alignment horizontal="center" shrinkToFit="1"/>
    </xf>
    <xf numFmtId="0" fontId="120" fillId="0" borderId="20" xfId="0" applyFont="1" applyBorder="1" applyAlignment="1">
      <alignment horizontal="center"/>
    </xf>
    <xf numFmtId="174" fontId="110" fillId="0" borderId="20" xfId="0" applyNumberFormat="1" applyFont="1" applyBorder="1" applyAlignment="1">
      <alignment horizontal="center"/>
    </xf>
    <xf numFmtId="0" fontId="123" fillId="0" borderId="20" xfId="0" applyFont="1" applyBorder="1" applyAlignment="1">
      <alignment horizontal="center"/>
    </xf>
    <xf numFmtId="0" fontId="120" fillId="0" borderId="20" xfId="0" applyFont="1" applyBorder="1" applyAlignment="1">
      <alignment horizontal="center" vertical="center"/>
    </xf>
    <xf numFmtId="0" fontId="58" fillId="0" borderId="18" xfId="0" applyFont="1" applyBorder="1" applyAlignment="1">
      <alignment horizontal="center"/>
    </xf>
    <xf numFmtId="0" fontId="123" fillId="0" borderId="20" xfId="0" applyFont="1" applyBorder="1" applyAlignment="1">
      <alignment horizontal="center" wrapText="1"/>
    </xf>
    <xf numFmtId="0" fontId="120" fillId="0" borderId="0" xfId="0" applyFont="1" applyAlignment="1">
      <alignment horizontal="center" shrinkToFit="1"/>
    </xf>
    <xf numFmtId="0" fontId="108" fillId="0" borderId="11" xfId="0" applyFont="1" applyBorder="1" applyAlignment="1">
      <alignment horizontal="center"/>
    </xf>
    <xf numFmtId="0" fontId="127" fillId="0" borderId="20" xfId="0" applyFont="1" applyBorder="1" applyAlignment="1">
      <alignment horizontal="center"/>
    </xf>
    <xf numFmtId="170" fontId="128" fillId="0" borderId="20" xfId="0" applyNumberFormat="1" applyFont="1" applyBorder="1" applyAlignment="1">
      <alignment horizontal="center"/>
    </xf>
    <xf numFmtId="3" fontId="110" fillId="0" borderId="20" xfId="0" applyNumberFormat="1" applyFont="1" applyBorder="1" applyAlignment="1">
      <alignment horizontal="center"/>
    </xf>
    <xf numFmtId="170" fontId="110" fillId="0" borderId="20" xfId="0" applyNumberFormat="1" applyFont="1" applyBorder="1" applyAlignment="1">
      <alignment horizontal="center"/>
    </xf>
    <xf numFmtId="0" fontId="120" fillId="0" borderId="20" xfId="0" applyFont="1" applyBorder="1" applyAlignment="1">
      <alignment horizontal="center" wrapText="1"/>
    </xf>
    <xf numFmtId="170" fontId="129" fillId="0" borderId="20" xfId="0" applyNumberFormat="1" applyFont="1" applyBorder="1" applyAlignment="1">
      <alignment horizontal="center"/>
    </xf>
    <xf numFmtId="0" fontId="25" fillId="0" borderId="3" xfId="0" applyFont="1" applyBorder="1"/>
    <xf numFmtId="0" fontId="25" fillId="0" borderId="104" xfId="0" applyFont="1" applyBorder="1"/>
    <xf numFmtId="0" fontId="3" fillId="0" borderId="114" xfId="0" applyFont="1" applyBorder="1"/>
    <xf numFmtId="174" fontId="125" fillId="0" borderId="20" xfId="0" applyNumberFormat="1" applyFont="1" applyBorder="1" applyAlignment="1">
      <alignment horizontal="center"/>
    </xf>
    <xf numFmtId="0" fontId="122" fillId="0" borderId="21" xfId="0" applyFont="1" applyBorder="1" applyAlignment="1">
      <alignment horizontal="center" wrapText="1" shrinkToFit="1"/>
    </xf>
    <xf numFmtId="0" fontId="120" fillId="0" borderId="12" xfId="0" applyFont="1" applyBorder="1" applyAlignment="1">
      <alignment horizontal="center" shrinkToFit="1"/>
    </xf>
    <xf numFmtId="10" fontId="110" fillId="0" borderId="20" xfId="0" applyNumberFormat="1" applyFont="1" applyBorder="1" applyAlignment="1">
      <alignment horizontal="center"/>
    </xf>
    <xf numFmtId="0" fontId="58" fillId="0" borderId="0" xfId="0" applyFont="1" applyAlignment="1">
      <alignment horizontal="center"/>
    </xf>
    <xf numFmtId="0" fontId="120" fillId="0" borderId="0" xfId="0" applyFont="1" applyAlignment="1">
      <alignment horizontal="center"/>
    </xf>
    <xf numFmtId="0" fontId="120" fillId="0" borderId="18" xfId="0" applyFont="1" applyBorder="1" applyAlignment="1">
      <alignment horizontal="center"/>
    </xf>
    <xf numFmtId="0" fontId="119" fillId="0" borderId="0" xfId="0" applyFont="1" applyAlignment="1">
      <alignment horizontal="center"/>
    </xf>
    <xf numFmtId="0" fontId="94" fillId="19" borderId="117" xfId="0" applyFont="1" applyFill="1" applyBorder="1" applyAlignment="1">
      <alignment horizontal="center"/>
    </xf>
    <xf numFmtId="0" fontId="3" fillId="0" borderId="118" xfId="0" applyFont="1" applyBorder="1"/>
    <xf numFmtId="0" fontId="3" fillId="0" borderId="119" xfId="0" applyFont="1" applyBorder="1"/>
    <xf numFmtId="0" fontId="94" fillId="19" borderId="20" xfId="0" applyFont="1" applyFill="1" applyBorder="1" applyAlignment="1">
      <alignment horizontal="center"/>
    </xf>
    <xf numFmtId="0" fontId="85" fillId="0" borderId="11" xfId="0" applyFont="1" applyBorder="1" applyAlignment="1">
      <alignment horizontal="center"/>
    </xf>
    <xf numFmtId="0" fontId="84" fillId="0" borderId="11" xfId="0" applyFont="1" applyBorder="1" applyAlignment="1">
      <alignment horizontal="center" vertical="center"/>
    </xf>
    <xf numFmtId="0" fontId="132" fillId="7" borderId="6" xfId="0" applyFont="1" applyFill="1" applyBorder="1" applyAlignment="1">
      <alignment horizontal="center"/>
    </xf>
    <xf numFmtId="0" fontId="117" fillId="0" borderId="20" xfId="0" applyFont="1" applyBorder="1" applyAlignment="1">
      <alignment horizontal="center"/>
    </xf>
    <xf numFmtId="0" fontId="117" fillId="0" borderId="0" xfId="0" applyFont="1" applyAlignment="1">
      <alignment horizontal="center"/>
    </xf>
    <xf numFmtId="0" fontId="85" fillId="7" borderId="8" xfId="0" applyFont="1" applyFill="1" applyBorder="1" applyAlignment="1">
      <alignment horizontal="center" vertical="center"/>
    </xf>
    <xf numFmtId="0" fontId="53" fillId="0" borderId="1" xfId="0" applyFont="1" applyBorder="1" applyAlignment="1">
      <alignment horizontal="center"/>
    </xf>
    <xf numFmtId="15" fontId="135" fillId="0" borderId="3" xfId="0" applyNumberFormat="1" applyFont="1" applyBorder="1" applyAlignment="1">
      <alignment horizontal="left"/>
    </xf>
    <xf numFmtId="0" fontId="94" fillId="7" borderId="6" xfId="0" applyFont="1" applyFill="1" applyBorder="1" applyAlignment="1">
      <alignment horizontal="center"/>
    </xf>
    <xf numFmtId="0" fontId="4" fillId="22" borderId="38" xfId="0" applyFont="1" applyFill="1" applyBorder="1" applyAlignment="1">
      <alignment horizontal="left" vertical="center" wrapText="1"/>
    </xf>
    <xf numFmtId="0" fontId="37" fillId="0" borderId="34" xfId="0" applyFont="1" applyBorder="1" applyAlignment="1">
      <alignment horizontal="center" vertical="center"/>
    </xf>
    <xf numFmtId="0" fontId="3" fillId="0" borderId="104" xfId="0" applyFont="1" applyBorder="1"/>
    <xf numFmtId="0" fontId="4" fillId="22" borderId="20" xfId="0" applyFont="1" applyFill="1" applyBorder="1" applyAlignment="1">
      <alignment horizontal="left" vertical="center" wrapText="1"/>
    </xf>
    <xf numFmtId="0" fontId="4" fillId="22" borderId="20" xfId="0" applyFont="1" applyFill="1" applyBorder="1" applyAlignment="1">
      <alignment horizontal="center" vertical="center" wrapText="1"/>
    </xf>
    <xf numFmtId="0" fontId="141" fillId="0" borderId="0" xfId="0" applyFont="1" applyAlignment="1">
      <alignment horizontal="center" vertical="top" wrapText="1"/>
    </xf>
    <xf numFmtId="0" fontId="156" fillId="0" borderId="3" xfId="0" applyFont="1" applyBorder="1"/>
    <xf numFmtId="0" fontId="145" fillId="0" borderId="3" xfId="0" applyFont="1" applyBorder="1" applyAlignment="1">
      <alignment horizontal="center"/>
    </xf>
    <xf numFmtId="15" fontId="157" fillId="0" borderId="25" xfId="0" applyNumberFormat="1" applyFont="1" applyBorder="1" applyAlignment="1">
      <alignment horizontal="left"/>
    </xf>
    <xf numFmtId="0" fontId="161" fillId="0" borderId="3" xfId="0" applyFont="1" applyBorder="1"/>
    <xf numFmtId="0" fontId="159" fillId="0" borderId="3" xfId="0" applyFont="1" applyBorder="1" applyAlignment="1">
      <alignment horizontal="left"/>
    </xf>
    <xf numFmtId="15" fontId="160" fillId="0" borderId="3" xfId="0" applyNumberFormat="1" applyFont="1" applyBorder="1" applyAlignment="1">
      <alignment horizontal="left"/>
    </xf>
    <xf numFmtId="0" fontId="67" fillId="0" borderId="34" xfId="0" applyFont="1" applyBorder="1" applyAlignment="1">
      <alignment horizontal="center" wrapText="1"/>
    </xf>
    <xf numFmtId="0" fontId="3" fillId="0" borderId="115" xfId="0" applyFont="1" applyBorder="1"/>
    <xf numFmtId="0" fontId="67" fillId="0" borderId="34" xfId="0" applyFont="1" applyBorder="1" applyAlignment="1">
      <alignment horizontal="center" vertical="center" wrapText="1"/>
    </xf>
    <xf numFmtId="0" fontId="3" fillId="0" borderId="113" xfId="0" applyFont="1" applyBorder="1"/>
    <xf numFmtId="0" fontId="174" fillId="0" borderId="0" xfId="0" applyFont="1" applyAlignment="1">
      <alignment horizontal="center"/>
    </xf>
  </cellXfs>
  <cellStyles count="1">
    <cellStyle name="Normal" xfId="0" builtinId="0"/>
  </cellStyles>
  <dxfs count="23">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DBE5F1"/>
          <bgColor rgb="FFDBE5F1"/>
        </patternFill>
      </fill>
    </dxf>
    <dxf>
      <fill>
        <patternFill patternType="solid">
          <fgColor rgb="FFD8D8D8"/>
          <bgColor rgb="FFD8D8D8"/>
        </patternFill>
      </fill>
    </dxf>
    <dxf>
      <fill>
        <patternFill patternType="solid">
          <fgColor theme="0"/>
          <bgColor theme="0"/>
        </patternFill>
      </fill>
    </dxf>
    <dxf>
      <fill>
        <patternFill patternType="solid">
          <fgColor rgb="FFDBE5F1"/>
          <bgColor rgb="FFDBE5F1"/>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DBE5F1"/>
          <bgColor rgb="FFDBE5F1"/>
        </patternFill>
      </fill>
    </dxf>
    <dxf>
      <fill>
        <patternFill patternType="solid">
          <fgColor rgb="FFD8D8D8"/>
          <bgColor rgb="FFD8D8D8"/>
        </patternFill>
      </fill>
    </dxf>
    <dxf>
      <fill>
        <patternFill patternType="solid">
          <fgColor theme="0"/>
          <bgColor theme="0"/>
        </patternFill>
      </fill>
    </dxf>
    <dxf>
      <fill>
        <patternFill patternType="solid">
          <fgColor rgb="FFDBE5F1"/>
          <bgColor rgb="FFDBE5F1"/>
        </patternFill>
      </fill>
    </dxf>
    <dxf>
      <fill>
        <patternFill patternType="solid">
          <fgColor rgb="FFD8D8D8"/>
          <bgColor rgb="FFD8D8D8"/>
        </patternFill>
      </fill>
    </dxf>
    <dxf>
      <fill>
        <patternFill patternType="solid">
          <fgColor theme="0"/>
          <bgColor theme="0"/>
        </patternFill>
      </fill>
    </dxf>
  </dxfs>
  <tableStyles count="6">
    <tableStyle name="Historical Impl Premiums-style" pivot="0" count="3" xr9:uid="{00000000-0011-0000-FFFF-FFFF00000000}">
      <tableStyleElement type="headerRow" dxfId="22"/>
      <tableStyleElement type="firstRowStripe" dxfId="21"/>
      <tableStyleElement type="secondRowStripe" dxfId="20"/>
    </tableStyle>
    <tableStyle name="EXPECTED GROWTH-style" pivot="0" count="3" xr9:uid="{00000000-0011-0000-FFFF-FFFF01000000}">
      <tableStyleElement type="headerRow" dxfId="19"/>
      <tableStyleElement type="firstRowStripe" dxfId="18"/>
      <tableStyleElement type="secondRowStripe" dxfId="17"/>
    </tableStyle>
    <tableStyle name="Industry Averages_REINVESTMENT-style" pivot="0" count="3" xr9:uid="{00000000-0011-0000-FFFF-FFFF02000000}">
      <tableStyleElement type="headerRow" dxfId="16"/>
      <tableStyleElement type="firstRowStripe" dxfId="15"/>
      <tableStyleElement type="secondRowStripe" dxfId="14"/>
    </tableStyle>
    <tableStyle name="ERPs 2021-style" pivot="0" count="3" xr9:uid="{00000000-0011-0000-FFFF-FFFF03000000}">
      <tableStyleElement type="headerRow" dxfId="13"/>
      <tableStyleElement type="firstRowStripe" dxfId="12"/>
      <tableStyleElement type="secondRowStripe" dxfId="11"/>
    </tableStyle>
    <tableStyle name="ERPs 2021-style 2" pivot="0" count="3" xr9:uid="{00000000-0011-0000-FFFF-FFFF04000000}">
      <tableStyleElement type="headerRow" dxfId="10"/>
      <tableStyleElement type="firstRowStripe" dxfId="9"/>
      <tableStyleElement type="secondRowStripe" dxfId="8"/>
    </tableStyle>
    <tableStyle name="ERPs by country 25-style" pivot="0" count="3" xr9:uid="{00000000-0011-0000-FFFF-FFFF05000000}">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jpg"/><Relationship Id="rId1" Type="http://schemas.openxmlformats.org/officeDocument/2006/relationships/image" Target="../media/image1.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12" Type="http://schemas.openxmlformats.org/officeDocument/2006/relationships/image" Target="../media/image20.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png"/><Relationship Id="rId5" Type="http://schemas.openxmlformats.org/officeDocument/2006/relationships/image" Target="../media/image13.png"/><Relationship Id="rId10" Type="http://schemas.openxmlformats.org/officeDocument/2006/relationships/image" Target="../media/image18.png"/><Relationship Id="rId4" Type="http://schemas.openxmlformats.org/officeDocument/2006/relationships/image" Target="../media/image12.png"/><Relationship Id="rId9" Type="http://schemas.openxmlformats.org/officeDocument/2006/relationships/image" Target="../media/image17.png"/></Relationships>
</file>

<file path=xl/drawings/_rels/drawing6.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21.png"/><Relationship Id="rId3" Type="http://schemas.openxmlformats.org/officeDocument/2006/relationships/image" Target="../media/image11.png"/><Relationship Id="rId7" Type="http://schemas.openxmlformats.org/officeDocument/2006/relationships/image" Target="../media/image15.png"/><Relationship Id="rId12" Type="http://schemas.openxmlformats.org/officeDocument/2006/relationships/image" Target="../media/image20.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png"/><Relationship Id="rId5" Type="http://schemas.openxmlformats.org/officeDocument/2006/relationships/image" Target="../media/image13.png"/><Relationship Id="rId10" Type="http://schemas.openxmlformats.org/officeDocument/2006/relationships/image" Target="../media/image18.png"/><Relationship Id="rId4" Type="http://schemas.openxmlformats.org/officeDocument/2006/relationships/image" Target="../media/image12.png"/><Relationship Id="rId9" Type="http://schemas.openxmlformats.org/officeDocument/2006/relationships/image" Target="../media/image17.png"/></Relationships>
</file>

<file path=xl/drawings/_rels/drawing7.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22.png"/><Relationship Id="rId3" Type="http://schemas.openxmlformats.org/officeDocument/2006/relationships/image" Target="../media/image11.png"/><Relationship Id="rId7" Type="http://schemas.openxmlformats.org/officeDocument/2006/relationships/image" Target="../media/image15.png"/><Relationship Id="rId12" Type="http://schemas.openxmlformats.org/officeDocument/2006/relationships/image" Target="../media/image20.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png"/><Relationship Id="rId5" Type="http://schemas.openxmlformats.org/officeDocument/2006/relationships/image" Target="../media/image13.png"/><Relationship Id="rId10" Type="http://schemas.openxmlformats.org/officeDocument/2006/relationships/image" Target="../media/image18.png"/><Relationship Id="rId4" Type="http://schemas.openxmlformats.org/officeDocument/2006/relationships/image" Target="../media/image12.png"/><Relationship Id="rId9" Type="http://schemas.openxmlformats.org/officeDocument/2006/relationships/image" Target="../media/image17.png"/></Relationships>
</file>

<file path=xl/drawings/_rels/drawing8.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jpg"/><Relationship Id="rId1" Type="http://schemas.openxmlformats.org/officeDocument/2006/relationships/image" Target="../media/image23.png"/><Relationship Id="rId4" Type="http://schemas.openxmlformats.org/officeDocument/2006/relationships/image" Target="../media/image26.png"/></Relationships>
</file>

<file path=xl/drawings/_rels/drawing9.xml.rels><?xml version="1.0" encoding="UTF-8" standalone="yes"?>
<Relationships xmlns="http://schemas.openxmlformats.org/package/2006/relationships"><Relationship Id="rId1"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oneCellAnchor>
    <xdr:from>
      <xdr:col>5</xdr:col>
      <xdr:colOff>19050</xdr:colOff>
      <xdr:row>16</xdr:row>
      <xdr:rowOff>114300</xdr:rowOff>
    </xdr:from>
    <xdr:ext cx="2562225" cy="504825"/>
    <xdr:pic>
      <xdr:nvPicPr>
        <xdr:cNvPr id="2" name="image1.png" descr="WACC(cpp)= K_e {\frac{CAA}{CAA+D}} + K_d (1-T) {\frac{D}{CAA+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171450</xdr:colOff>
      <xdr:row>7</xdr:row>
      <xdr:rowOff>104775</xdr:rowOff>
    </xdr:from>
    <xdr:ext cx="2486025" cy="619125"/>
    <xdr:pic>
      <xdr:nvPicPr>
        <xdr:cNvPr id="3" name="image2.jpg" descr="Resultado de imagen para formula beta apalancada">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419100</xdr:colOff>
      <xdr:row>0</xdr:row>
      <xdr:rowOff>0</xdr:rowOff>
    </xdr:from>
    <xdr:ext cx="11972925" cy="4191000"/>
    <xdr:pic>
      <xdr:nvPicPr>
        <xdr:cNvPr id="2" name="image3.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19050</xdr:colOff>
      <xdr:row>16</xdr:row>
      <xdr:rowOff>114300</xdr:rowOff>
    </xdr:from>
    <xdr:ext cx="2562225" cy="504825"/>
    <xdr:pic>
      <xdr:nvPicPr>
        <xdr:cNvPr id="2" name="image1.png" descr="WACC(cpp)= K_e {\frac{CAA}{CAA+D}} + K_d (1-T) {\frac{D}{CAA+D}}">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314325</xdr:colOff>
      <xdr:row>7</xdr:row>
      <xdr:rowOff>57150</xdr:rowOff>
    </xdr:from>
    <xdr:ext cx="2466975" cy="619125"/>
    <xdr:pic>
      <xdr:nvPicPr>
        <xdr:cNvPr id="3" name="image2.jpg" descr="Resultado de imagen para formula beta apalancada" title="Imagen">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19050</xdr:colOff>
      <xdr:row>16</xdr:row>
      <xdr:rowOff>114300</xdr:rowOff>
    </xdr:from>
    <xdr:ext cx="2562225" cy="504825"/>
    <xdr:pic>
      <xdr:nvPicPr>
        <xdr:cNvPr id="4" name="image1.png" descr="WACC(cpp)= K_e {\frac{CAA}{CAA+D}} + K_d (1-T) {\frac{D}{CAA+D}}">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19050</xdr:colOff>
      <xdr:row>16</xdr:row>
      <xdr:rowOff>114300</xdr:rowOff>
    </xdr:from>
    <xdr:ext cx="2562225" cy="533400"/>
    <xdr:pic>
      <xdr:nvPicPr>
        <xdr:cNvPr id="5" name="image5.png" descr="WACC(cpp)= K_e {\frac{CAA}{CAA+D}} + K_d (1-T) {\frac{D}{CAA+D}}">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47625</xdr:colOff>
      <xdr:row>0</xdr:row>
      <xdr:rowOff>57150</xdr:rowOff>
    </xdr:from>
    <xdr:ext cx="5457825" cy="2752725"/>
    <xdr:pic>
      <xdr:nvPicPr>
        <xdr:cNvPr id="6" name="image4.png">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457200</xdr:colOff>
      <xdr:row>2</xdr:row>
      <xdr:rowOff>238125</xdr:rowOff>
    </xdr:from>
    <xdr:ext cx="2590800" cy="1095375"/>
    <xdr:pic>
      <xdr:nvPicPr>
        <xdr:cNvPr id="2" name="image20.png" title="Imagen">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274</xdr:row>
      <xdr:rowOff>171450</xdr:rowOff>
    </xdr:from>
    <xdr:ext cx="3762375" cy="857250"/>
    <xdr:pic>
      <xdr:nvPicPr>
        <xdr:cNvPr id="3" name="image20.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20</xdr:col>
      <xdr:colOff>666750</xdr:colOff>
      <xdr:row>210</xdr:row>
      <xdr:rowOff>85725</xdr:rowOff>
    </xdr:from>
    <xdr:ext cx="7400925" cy="4591050"/>
    <xdr:pic>
      <xdr:nvPicPr>
        <xdr:cNvPr id="4" name="image6.png" title="Imagen">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742950</xdr:colOff>
      <xdr:row>27</xdr:row>
      <xdr:rowOff>180975</xdr:rowOff>
    </xdr:from>
    <xdr:ext cx="5753100" cy="3810000"/>
    <xdr:pic>
      <xdr:nvPicPr>
        <xdr:cNvPr id="5" name="image7.png" title="Imagen">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-314325</xdr:colOff>
      <xdr:row>46</xdr:row>
      <xdr:rowOff>19050</xdr:rowOff>
    </xdr:from>
    <xdr:ext cx="7210425" cy="628650"/>
    <xdr:sp macro="" textlink="">
      <xdr:nvSpPr>
        <xdr:cNvPr id="3" name="Shape 3">
          <a:extLst>
            <a:ext uri="{FF2B5EF4-FFF2-40B4-BE49-F238E27FC236}">
              <a16:creationId xmlns:a16="http://schemas.microsoft.com/office/drawing/2014/main" id="{00000000-0008-0000-0B00-000003000000}"/>
            </a:ext>
          </a:extLst>
        </xdr:cNvPr>
        <xdr:cNvSpPr txBox="1"/>
      </xdr:nvSpPr>
      <xdr:spPr>
        <a:xfrm>
          <a:off x="1745550" y="3470438"/>
          <a:ext cx="7200900" cy="6191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Análisis: </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Se aplico las metodologías siguientes para obtener un comparativo de tasas de crecimiento. </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Por promedio, es decir, se hizo una comparación entre años y a este se le resta una unidad; arrojando como resultado 60%.</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CAGR: Se considero el valor 2020 entre el año 2016, ya que en el año 2015 se visualiza una perdida, elevando el resultado entre el número de periodos, según la forma, además a este se le resta una unidad, arrojando como resultado 47.67%</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Roe/Dividendos: Arroja una tasa del 13.71% misma que manifiesta que el porcentaje de reinversión es del 100% ya que no cuenta con un pago de dividendos. </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G: Por sector, vía Damodaran.</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En conclusión, se considero la tasa de Roe/Dividendos, siendo esta la mas adecuada para la valuación, ya que no se encuentra en un parámetro alto, ni tampoco bajo, es decir, es una tasa "estándar".</a:t>
          </a:r>
          <a:endParaRPr sz="1400"/>
        </a:p>
      </xdr:txBody>
    </xdr:sp>
    <xdr:clientData fLocksWithSheet="0"/>
  </xdr:oneCellAnchor>
  <xdr:oneCellAnchor>
    <xdr:from>
      <xdr:col>7</xdr:col>
      <xdr:colOff>85725</xdr:colOff>
      <xdr:row>18</xdr:row>
      <xdr:rowOff>142875</xdr:rowOff>
    </xdr:from>
    <xdr:ext cx="1076325" cy="190500"/>
    <xdr:pic>
      <xdr:nvPicPr>
        <xdr:cNvPr id="2" name="image17.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400050</xdr:colOff>
      <xdr:row>21</xdr:row>
      <xdr:rowOff>28575</xdr:rowOff>
    </xdr:from>
    <xdr:ext cx="1704975" cy="428625"/>
    <xdr:pic>
      <xdr:nvPicPr>
        <xdr:cNvPr id="4" name="image21.png">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85725</xdr:colOff>
      <xdr:row>25</xdr:row>
      <xdr:rowOff>57150</xdr:rowOff>
    </xdr:from>
    <xdr:ext cx="752475" cy="161925"/>
    <xdr:pic>
      <xdr:nvPicPr>
        <xdr:cNvPr id="5" name="image12.png">
          <a:extLst>
            <a:ext uri="{FF2B5EF4-FFF2-40B4-BE49-F238E27FC236}">
              <a16:creationId xmlns:a16="http://schemas.microsoft.com/office/drawing/2014/main" id="{00000000-0008-0000-0B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57150</xdr:colOff>
      <xdr:row>27</xdr:row>
      <xdr:rowOff>28575</xdr:rowOff>
    </xdr:from>
    <xdr:ext cx="828675" cy="161925"/>
    <xdr:pic>
      <xdr:nvPicPr>
        <xdr:cNvPr id="6" name="image9.png">
          <a:extLst>
            <a:ext uri="{FF2B5EF4-FFF2-40B4-BE49-F238E27FC236}">
              <a16:creationId xmlns:a16="http://schemas.microsoft.com/office/drawing/2014/main" id="{00000000-0008-0000-0B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7</xdr:col>
      <xdr:colOff>47625</xdr:colOff>
      <xdr:row>26</xdr:row>
      <xdr:rowOff>38100</xdr:rowOff>
    </xdr:from>
    <xdr:ext cx="1266825" cy="190500"/>
    <xdr:pic>
      <xdr:nvPicPr>
        <xdr:cNvPr id="7" name="image15.png" title="Imagen">
          <a:extLst>
            <a:ext uri="{FF2B5EF4-FFF2-40B4-BE49-F238E27FC236}">
              <a16:creationId xmlns:a16="http://schemas.microsoft.com/office/drawing/2014/main" id="{00000000-0008-0000-0B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64</xdr:col>
      <xdr:colOff>66675</xdr:colOff>
      <xdr:row>23</xdr:row>
      <xdr:rowOff>38100</xdr:rowOff>
    </xdr:from>
    <xdr:ext cx="2762250" cy="161925"/>
    <xdr:pic>
      <xdr:nvPicPr>
        <xdr:cNvPr id="8" name="image13.png">
          <a:extLst>
            <a:ext uri="{FF2B5EF4-FFF2-40B4-BE49-F238E27FC236}">
              <a16:creationId xmlns:a16="http://schemas.microsoft.com/office/drawing/2014/main" id="{00000000-0008-0000-0B00-000008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64</xdr:col>
      <xdr:colOff>85725</xdr:colOff>
      <xdr:row>34</xdr:row>
      <xdr:rowOff>38100</xdr:rowOff>
    </xdr:from>
    <xdr:ext cx="2066925" cy="209550"/>
    <xdr:pic>
      <xdr:nvPicPr>
        <xdr:cNvPr id="9" name="image8.png">
          <a:extLst>
            <a:ext uri="{FF2B5EF4-FFF2-40B4-BE49-F238E27FC236}">
              <a16:creationId xmlns:a16="http://schemas.microsoft.com/office/drawing/2014/main" id="{00000000-0008-0000-0B00-000009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64</xdr:col>
      <xdr:colOff>152400</xdr:colOff>
      <xdr:row>25</xdr:row>
      <xdr:rowOff>85725</xdr:rowOff>
    </xdr:from>
    <xdr:ext cx="1514475" cy="342900"/>
    <xdr:pic>
      <xdr:nvPicPr>
        <xdr:cNvPr id="10" name="image16.png">
          <a:extLst>
            <a:ext uri="{FF2B5EF4-FFF2-40B4-BE49-F238E27FC236}">
              <a16:creationId xmlns:a16="http://schemas.microsoft.com/office/drawing/2014/main" id="{00000000-0008-0000-0B00-00000A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64</xdr:col>
      <xdr:colOff>19050</xdr:colOff>
      <xdr:row>22</xdr:row>
      <xdr:rowOff>19050</xdr:rowOff>
    </xdr:from>
    <xdr:ext cx="3305175" cy="180975"/>
    <xdr:pic>
      <xdr:nvPicPr>
        <xdr:cNvPr id="11" name="image14.png">
          <a:extLst>
            <a:ext uri="{FF2B5EF4-FFF2-40B4-BE49-F238E27FC236}">
              <a16:creationId xmlns:a16="http://schemas.microsoft.com/office/drawing/2014/main" id="{00000000-0008-0000-0B00-00000B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64</xdr:col>
      <xdr:colOff>104775</xdr:colOff>
      <xdr:row>31</xdr:row>
      <xdr:rowOff>28575</xdr:rowOff>
    </xdr:from>
    <xdr:ext cx="2809875" cy="152400"/>
    <xdr:pic>
      <xdr:nvPicPr>
        <xdr:cNvPr id="12" name="image11.png">
          <a:extLst>
            <a:ext uri="{FF2B5EF4-FFF2-40B4-BE49-F238E27FC236}">
              <a16:creationId xmlns:a16="http://schemas.microsoft.com/office/drawing/2014/main" id="{00000000-0008-0000-0B00-00000C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64</xdr:col>
      <xdr:colOff>57150</xdr:colOff>
      <xdr:row>36</xdr:row>
      <xdr:rowOff>19050</xdr:rowOff>
    </xdr:from>
    <xdr:ext cx="2638425" cy="190500"/>
    <xdr:pic>
      <xdr:nvPicPr>
        <xdr:cNvPr id="13" name="image10.png">
          <a:extLst>
            <a:ext uri="{FF2B5EF4-FFF2-40B4-BE49-F238E27FC236}">
              <a16:creationId xmlns:a16="http://schemas.microsoft.com/office/drawing/2014/main" id="{00000000-0008-0000-0B00-00000D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64</xdr:col>
      <xdr:colOff>19050</xdr:colOff>
      <xdr:row>17</xdr:row>
      <xdr:rowOff>66675</xdr:rowOff>
    </xdr:from>
    <xdr:ext cx="3038475" cy="428625"/>
    <xdr:pic>
      <xdr:nvPicPr>
        <xdr:cNvPr id="14" name="image18.png">
          <a:extLst>
            <a:ext uri="{FF2B5EF4-FFF2-40B4-BE49-F238E27FC236}">
              <a16:creationId xmlns:a16="http://schemas.microsoft.com/office/drawing/2014/main" id="{00000000-0008-0000-0B00-00000E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48</xdr:col>
      <xdr:colOff>85725</xdr:colOff>
      <xdr:row>34</xdr:row>
      <xdr:rowOff>38100</xdr:rowOff>
    </xdr:from>
    <xdr:ext cx="2905125" cy="209550"/>
    <xdr:pic>
      <xdr:nvPicPr>
        <xdr:cNvPr id="15" name="image8.png">
          <a:extLst>
            <a:ext uri="{FF2B5EF4-FFF2-40B4-BE49-F238E27FC236}">
              <a16:creationId xmlns:a16="http://schemas.microsoft.com/office/drawing/2014/main" id="{00000000-0008-0000-0B00-00000F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48</xdr:col>
      <xdr:colOff>200025</xdr:colOff>
      <xdr:row>25</xdr:row>
      <xdr:rowOff>38100</xdr:rowOff>
    </xdr:from>
    <xdr:ext cx="2352675" cy="342900"/>
    <xdr:pic>
      <xdr:nvPicPr>
        <xdr:cNvPr id="16" name="image16.png" title="Imagen">
          <a:extLst>
            <a:ext uri="{FF2B5EF4-FFF2-40B4-BE49-F238E27FC236}">
              <a16:creationId xmlns:a16="http://schemas.microsoft.com/office/drawing/2014/main" id="{00000000-0008-0000-0B00-000010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48</xdr:col>
      <xdr:colOff>104775</xdr:colOff>
      <xdr:row>31</xdr:row>
      <xdr:rowOff>28575</xdr:rowOff>
    </xdr:from>
    <xdr:ext cx="4133850" cy="152400"/>
    <xdr:pic>
      <xdr:nvPicPr>
        <xdr:cNvPr id="17" name="image11.png">
          <a:extLst>
            <a:ext uri="{FF2B5EF4-FFF2-40B4-BE49-F238E27FC236}">
              <a16:creationId xmlns:a16="http://schemas.microsoft.com/office/drawing/2014/main" id="{00000000-0008-0000-0B00-000011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48</xdr:col>
      <xdr:colOff>57150</xdr:colOff>
      <xdr:row>36</xdr:row>
      <xdr:rowOff>19050</xdr:rowOff>
    </xdr:from>
    <xdr:ext cx="3962400" cy="190500"/>
    <xdr:pic>
      <xdr:nvPicPr>
        <xdr:cNvPr id="18" name="image10.png">
          <a:extLst>
            <a:ext uri="{FF2B5EF4-FFF2-40B4-BE49-F238E27FC236}">
              <a16:creationId xmlns:a16="http://schemas.microsoft.com/office/drawing/2014/main" id="{00000000-0008-0000-0B00-000012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48</xdr:col>
      <xdr:colOff>66675</xdr:colOff>
      <xdr:row>23</xdr:row>
      <xdr:rowOff>38100</xdr:rowOff>
    </xdr:from>
    <xdr:ext cx="4086225" cy="161925"/>
    <xdr:pic>
      <xdr:nvPicPr>
        <xdr:cNvPr id="19" name="image13.png">
          <a:extLst>
            <a:ext uri="{FF2B5EF4-FFF2-40B4-BE49-F238E27FC236}">
              <a16:creationId xmlns:a16="http://schemas.microsoft.com/office/drawing/2014/main" id="{00000000-0008-0000-0B00-000013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48</xdr:col>
      <xdr:colOff>19050</xdr:colOff>
      <xdr:row>22</xdr:row>
      <xdr:rowOff>19050</xdr:rowOff>
    </xdr:from>
    <xdr:ext cx="4629150" cy="180975"/>
    <xdr:pic>
      <xdr:nvPicPr>
        <xdr:cNvPr id="20" name="image14.png">
          <a:extLst>
            <a:ext uri="{FF2B5EF4-FFF2-40B4-BE49-F238E27FC236}">
              <a16:creationId xmlns:a16="http://schemas.microsoft.com/office/drawing/2014/main" id="{00000000-0008-0000-0B00-000014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7</xdr:col>
      <xdr:colOff>85725</xdr:colOff>
      <xdr:row>18</xdr:row>
      <xdr:rowOff>142875</xdr:rowOff>
    </xdr:from>
    <xdr:ext cx="1076325" cy="190500"/>
    <xdr:pic>
      <xdr:nvPicPr>
        <xdr:cNvPr id="2" name="image17.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400050</xdr:colOff>
      <xdr:row>21</xdr:row>
      <xdr:rowOff>28575</xdr:rowOff>
    </xdr:from>
    <xdr:ext cx="1704975" cy="428625"/>
    <xdr:pic>
      <xdr:nvPicPr>
        <xdr:cNvPr id="3" name="image21.png">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85725</xdr:colOff>
      <xdr:row>25</xdr:row>
      <xdr:rowOff>57150</xdr:rowOff>
    </xdr:from>
    <xdr:ext cx="752475" cy="161925"/>
    <xdr:pic>
      <xdr:nvPicPr>
        <xdr:cNvPr id="4" name="image12.png">
          <a:extLst>
            <a:ext uri="{FF2B5EF4-FFF2-40B4-BE49-F238E27FC236}">
              <a16:creationId xmlns:a16="http://schemas.microsoft.com/office/drawing/2014/main" id="{00000000-0008-0000-0C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57150</xdr:colOff>
      <xdr:row>27</xdr:row>
      <xdr:rowOff>28575</xdr:rowOff>
    </xdr:from>
    <xdr:ext cx="828675" cy="161925"/>
    <xdr:pic>
      <xdr:nvPicPr>
        <xdr:cNvPr id="5" name="image9.png">
          <a:extLst>
            <a:ext uri="{FF2B5EF4-FFF2-40B4-BE49-F238E27FC236}">
              <a16:creationId xmlns:a16="http://schemas.microsoft.com/office/drawing/2014/main" id="{00000000-0008-0000-0C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7</xdr:col>
      <xdr:colOff>47625</xdr:colOff>
      <xdr:row>26</xdr:row>
      <xdr:rowOff>38100</xdr:rowOff>
    </xdr:from>
    <xdr:ext cx="1266825" cy="190500"/>
    <xdr:pic>
      <xdr:nvPicPr>
        <xdr:cNvPr id="6" name="image15.png" title="Imagen">
          <a:extLst>
            <a:ext uri="{FF2B5EF4-FFF2-40B4-BE49-F238E27FC236}">
              <a16:creationId xmlns:a16="http://schemas.microsoft.com/office/drawing/2014/main" id="{00000000-0008-0000-0C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64</xdr:col>
      <xdr:colOff>66675</xdr:colOff>
      <xdr:row>23</xdr:row>
      <xdr:rowOff>38100</xdr:rowOff>
    </xdr:from>
    <xdr:ext cx="2762250" cy="161925"/>
    <xdr:pic>
      <xdr:nvPicPr>
        <xdr:cNvPr id="7" name="image13.png">
          <a:extLst>
            <a:ext uri="{FF2B5EF4-FFF2-40B4-BE49-F238E27FC236}">
              <a16:creationId xmlns:a16="http://schemas.microsoft.com/office/drawing/2014/main" id="{00000000-0008-0000-0C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64</xdr:col>
      <xdr:colOff>85725</xdr:colOff>
      <xdr:row>34</xdr:row>
      <xdr:rowOff>38100</xdr:rowOff>
    </xdr:from>
    <xdr:ext cx="2066925" cy="209550"/>
    <xdr:pic>
      <xdr:nvPicPr>
        <xdr:cNvPr id="8" name="image8.png">
          <a:extLst>
            <a:ext uri="{FF2B5EF4-FFF2-40B4-BE49-F238E27FC236}">
              <a16:creationId xmlns:a16="http://schemas.microsoft.com/office/drawing/2014/main" id="{00000000-0008-0000-0C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64</xdr:col>
      <xdr:colOff>152400</xdr:colOff>
      <xdr:row>25</xdr:row>
      <xdr:rowOff>85725</xdr:rowOff>
    </xdr:from>
    <xdr:ext cx="1514475" cy="342900"/>
    <xdr:pic>
      <xdr:nvPicPr>
        <xdr:cNvPr id="9" name="image16.png">
          <a:extLst>
            <a:ext uri="{FF2B5EF4-FFF2-40B4-BE49-F238E27FC236}">
              <a16:creationId xmlns:a16="http://schemas.microsoft.com/office/drawing/2014/main" id="{00000000-0008-0000-0C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64</xdr:col>
      <xdr:colOff>19050</xdr:colOff>
      <xdr:row>22</xdr:row>
      <xdr:rowOff>19050</xdr:rowOff>
    </xdr:from>
    <xdr:ext cx="3305175" cy="180975"/>
    <xdr:pic>
      <xdr:nvPicPr>
        <xdr:cNvPr id="10" name="image14.png">
          <a:extLst>
            <a:ext uri="{FF2B5EF4-FFF2-40B4-BE49-F238E27FC236}">
              <a16:creationId xmlns:a16="http://schemas.microsoft.com/office/drawing/2014/main" id="{00000000-0008-0000-0C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64</xdr:col>
      <xdr:colOff>104775</xdr:colOff>
      <xdr:row>31</xdr:row>
      <xdr:rowOff>28575</xdr:rowOff>
    </xdr:from>
    <xdr:ext cx="2809875" cy="152400"/>
    <xdr:pic>
      <xdr:nvPicPr>
        <xdr:cNvPr id="11" name="image11.png">
          <a:extLst>
            <a:ext uri="{FF2B5EF4-FFF2-40B4-BE49-F238E27FC236}">
              <a16:creationId xmlns:a16="http://schemas.microsoft.com/office/drawing/2014/main" id="{00000000-0008-0000-0C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64</xdr:col>
      <xdr:colOff>57150</xdr:colOff>
      <xdr:row>36</xdr:row>
      <xdr:rowOff>19050</xdr:rowOff>
    </xdr:from>
    <xdr:ext cx="2638425" cy="190500"/>
    <xdr:pic>
      <xdr:nvPicPr>
        <xdr:cNvPr id="12" name="image10.png">
          <a:extLst>
            <a:ext uri="{FF2B5EF4-FFF2-40B4-BE49-F238E27FC236}">
              <a16:creationId xmlns:a16="http://schemas.microsoft.com/office/drawing/2014/main" id="{00000000-0008-0000-0C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64</xdr:col>
      <xdr:colOff>19050</xdr:colOff>
      <xdr:row>17</xdr:row>
      <xdr:rowOff>66675</xdr:rowOff>
    </xdr:from>
    <xdr:ext cx="3038475" cy="428625"/>
    <xdr:pic>
      <xdr:nvPicPr>
        <xdr:cNvPr id="13" name="image18.png">
          <a:extLst>
            <a:ext uri="{FF2B5EF4-FFF2-40B4-BE49-F238E27FC236}">
              <a16:creationId xmlns:a16="http://schemas.microsoft.com/office/drawing/2014/main" id="{00000000-0008-0000-0C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48</xdr:col>
      <xdr:colOff>85725</xdr:colOff>
      <xdr:row>34</xdr:row>
      <xdr:rowOff>38100</xdr:rowOff>
    </xdr:from>
    <xdr:ext cx="2905125" cy="209550"/>
    <xdr:pic>
      <xdr:nvPicPr>
        <xdr:cNvPr id="14" name="image8.png">
          <a:extLst>
            <a:ext uri="{FF2B5EF4-FFF2-40B4-BE49-F238E27FC236}">
              <a16:creationId xmlns:a16="http://schemas.microsoft.com/office/drawing/2014/main" id="{00000000-0008-0000-0C00-00000E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48</xdr:col>
      <xdr:colOff>152400</xdr:colOff>
      <xdr:row>25</xdr:row>
      <xdr:rowOff>85725</xdr:rowOff>
    </xdr:from>
    <xdr:ext cx="2352675" cy="342900"/>
    <xdr:pic>
      <xdr:nvPicPr>
        <xdr:cNvPr id="15" name="image16.png">
          <a:extLst>
            <a:ext uri="{FF2B5EF4-FFF2-40B4-BE49-F238E27FC236}">
              <a16:creationId xmlns:a16="http://schemas.microsoft.com/office/drawing/2014/main" id="{00000000-0008-0000-0C00-00000F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48</xdr:col>
      <xdr:colOff>104775</xdr:colOff>
      <xdr:row>31</xdr:row>
      <xdr:rowOff>28575</xdr:rowOff>
    </xdr:from>
    <xdr:ext cx="4133850" cy="152400"/>
    <xdr:pic>
      <xdr:nvPicPr>
        <xdr:cNvPr id="16" name="image11.png">
          <a:extLst>
            <a:ext uri="{FF2B5EF4-FFF2-40B4-BE49-F238E27FC236}">
              <a16:creationId xmlns:a16="http://schemas.microsoft.com/office/drawing/2014/main" id="{00000000-0008-0000-0C00-000010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48</xdr:col>
      <xdr:colOff>57150</xdr:colOff>
      <xdr:row>36</xdr:row>
      <xdr:rowOff>19050</xdr:rowOff>
    </xdr:from>
    <xdr:ext cx="3962400" cy="190500"/>
    <xdr:pic>
      <xdr:nvPicPr>
        <xdr:cNvPr id="17" name="image10.png">
          <a:extLst>
            <a:ext uri="{FF2B5EF4-FFF2-40B4-BE49-F238E27FC236}">
              <a16:creationId xmlns:a16="http://schemas.microsoft.com/office/drawing/2014/main" id="{00000000-0008-0000-0C00-000011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48</xdr:col>
      <xdr:colOff>66675</xdr:colOff>
      <xdr:row>23</xdr:row>
      <xdr:rowOff>38100</xdr:rowOff>
    </xdr:from>
    <xdr:ext cx="4086225" cy="161925"/>
    <xdr:pic>
      <xdr:nvPicPr>
        <xdr:cNvPr id="18" name="image13.png">
          <a:extLst>
            <a:ext uri="{FF2B5EF4-FFF2-40B4-BE49-F238E27FC236}">
              <a16:creationId xmlns:a16="http://schemas.microsoft.com/office/drawing/2014/main" id="{00000000-0008-0000-0C00-000012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48</xdr:col>
      <xdr:colOff>19050</xdr:colOff>
      <xdr:row>22</xdr:row>
      <xdr:rowOff>19050</xdr:rowOff>
    </xdr:from>
    <xdr:ext cx="4629150" cy="180975"/>
    <xdr:pic>
      <xdr:nvPicPr>
        <xdr:cNvPr id="19" name="image14.png">
          <a:extLst>
            <a:ext uri="{FF2B5EF4-FFF2-40B4-BE49-F238E27FC236}">
              <a16:creationId xmlns:a16="http://schemas.microsoft.com/office/drawing/2014/main" id="{00000000-0008-0000-0C00-000013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47</xdr:col>
      <xdr:colOff>123825</xdr:colOff>
      <xdr:row>10</xdr:row>
      <xdr:rowOff>123825</xdr:rowOff>
    </xdr:from>
    <xdr:ext cx="5838825" cy="1924050"/>
    <xdr:pic>
      <xdr:nvPicPr>
        <xdr:cNvPr id="20" name="image19.png">
          <a:extLst>
            <a:ext uri="{FF2B5EF4-FFF2-40B4-BE49-F238E27FC236}">
              <a16:creationId xmlns:a16="http://schemas.microsoft.com/office/drawing/2014/main" id="{00000000-0008-0000-0C00-000014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4</xdr:col>
      <xdr:colOff>95250</xdr:colOff>
      <xdr:row>43</xdr:row>
      <xdr:rowOff>0</xdr:rowOff>
    </xdr:from>
    <xdr:ext cx="7210425" cy="628650"/>
    <xdr:sp macro="" textlink="">
      <xdr:nvSpPr>
        <xdr:cNvPr id="4" name="Shape 4">
          <a:extLst>
            <a:ext uri="{FF2B5EF4-FFF2-40B4-BE49-F238E27FC236}">
              <a16:creationId xmlns:a16="http://schemas.microsoft.com/office/drawing/2014/main" id="{00000000-0008-0000-0F00-000004000000}"/>
            </a:ext>
          </a:extLst>
        </xdr:cNvPr>
        <xdr:cNvSpPr txBox="1"/>
      </xdr:nvSpPr>
      <xdr:spPr>
        <a:xfrm>
          <a:off x="1745550" y="3470438"/>
          <a:ext cx="7200900" cy="6191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Análisis: </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Se aplico las metodologías siguientes para obtener un comparativo de tasas de crecimiento. </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Por promedio, es decir, se hizo una comparación entre años y a este se le resta una unidad; arrojando como resultado 60%.</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CAGR: Se considero el valor 2020 entre el año 2016, ya que en el año 2015 se visualiza una perdida, elevando el resultado entre el número de periodos, según la forma, además a este se le resta una unidad, arrojando como resultado 47.67%</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Roe/Dividendos: Arroja una tasa del 13.71% misma que manifiesta que el porcentaje de reinversión es del 100% ya que no cuenta con un pago de dividendos. </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G: Por sector, vía Damodaran.</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En conclusión, se considero la tasa de Roe/Dividendos, siendo esta la mas adecuada para la valuación, ya que no se encuentra en un parámetro alto, ni tampoco bajo, es decir, es una tasa "estándar".</a:t>
          </a:r>
          <a:endParaRPr sz="1400"/>
        </a:p>
      </xdr:txBody>
    </xdr:sp>
    <xdr:clientData fLocksWithSheet="0"/>
  </xdr:oneCellAnchor>
  <xdr:oneCellAnchor>
    <xdr:from>
      <xdr:col>7</xdr:col>
      <xdr:colOff>85725</xdr:colOff>
      <xdr:row>18</xdr:row>
      <xdr:rowOff>142875</xdr:rowOff>
    </xdr:from>
    <xdr:ext cx="1076325" cy="190500"/>
    <xdr:pic>
      <xdr:nvPicPr>
        <xdr:cNvPr id="2" name="image17.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400050</xdr:colOff>
      <xdr:row>21</xdr:row>
      <xdr:rowOff>28575</xdr:rowOff>
    </xdr:from>
    <xdr:ext cx="1704975" cy="428625"/>
    <xdr:pic>
      <xdr:nvPicPr>
        <xdr:cNvPr id="3" name="image21.png">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85725</xdr:colOff>
      <xdr:row>25</xdr:row>
      <xdr:rowOff>57150</xdr:rowOff>
    </xdr:from>
    <xdr:ext cx="752475" cy="161925"/>
    <xdr:pic>
      <xdr:nvPicPr>
        <xdr:cNvPr id="5" name="image12.png">
          <a:extLst>
            <a:ext uri="{FF2B5EF4-FFF2-40B4-BE49-F238E27FC236}">
              <a16:creationId xmlns:a16="http://schemas.microsoft.com/office/drawing/2014/main" id="{00000000-0008-0000-0F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57150</xdr:colOff>
      <xdr:row>27</xdr:row>
      <xdr:rowOff>28575</xdr:rowOff>
    </xdr:from>
    <xdr:ext cx="828675" cy="161925"/>
    <xdr:pic>
      <xdr:nvPicPr>
        <xdr:cNvPr id="6" name="image9.png">
          <a:extLst>
            <a:ext uri="{FF2B5EF4-FFF2-40B4-BE49-F238E27FC236}">
              <a16:creationId xmlns:a16="http://schemas.microsoft.com/office/drawing/2014/main" id="{00000000-0008-0000-0F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7</xdr:col>
      <xdr:colOff>47625</xdr:colOff>
      <xdr:row>26</xdr:row>
      <xdr:rowOff>38100</xdr:rowOff>
    </xdr:from>
    <xdr:ext cx="1266825" cy="190500"/>
    <xdr:pic>
      <xdr:nvPicPr>
        <xdr:cNvPr id="7" name="image15.png" title="Imagen">
          <a:extLst>
            <a:ext uri="{FF2B5EF4-FFF2-40B4-BE49-F238E27FC236}">
              <a16:creationId xmlns:a16="http://schemas.microsoft.com/office/drawing/2014/main" id="{00000000-0008-0000-0F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64</xdr:col>
      <xdr:colOff>66675</xdr:colOff>
      <xdr:row>23</xdr:row>
      <xdr:rowOff>38100</xdr:rowOff>
    </xdr:from>
    <xdr:ext cx="2762250" cy="161925"/>
    <xdr:pic>
      <xdr:nvPicPr>
        <xdr:cNvPr id="8" name="image13.png">
          <a:extLst>
            <a:ext uri="{FF2B5EF4-FFF2-40B4-BE49-F238E27FC236}">
              <a16:creationId xmlns:a16="http://schemas.microsoft.com/office/drawing/2014/main" id="{00000000-0008-0000-0F00-000008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64</xdr:col>
      <xdr:colOff>85725</xdr:colOff>
      <xdr:row>34</xdr:row>
      <xdr:rowOff>38100</xdr:rowOff>
    </xdr:from>
    <xdr:ext cx="2066925" cy="209550"/>
    <xdr:pic>
      <xdr:nvPicPr>
        <xdr:cNvPr id="9" name="image8.png">
          <a:extLst>
            <a:ext uri="{FF2B5EF4-FFF2-40B4-BE49-F238E27FC236}">
              <a16:creationId xmlns:a16="http://schemas.microsoft.com/office/drawing/2014/main" id="{00000000-0008-0000-0F00-000009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64</xdr:col>
      <xdr:colOff>152400</xdr:colOff>
      <xdr:row>25</xdr:row>
      <xdr:rowOff>85725</xdr:rowOff>
    </xdr:from>
    <xdr:ext cx="1514475" cy="342900"/>
    <xdr:pic>
      <xdr:nvPicPr>
        <xdr:cNvPr id="10" name="image16.png">
          <a:extLst>
            <a:ext uri="{FF2B5EF4-FFF2-40B4-BE49-F238E27FC236}">
              <a16:creationId xmlns:a16="http://schemas.microsoft.com/office/drawing/2014/main" id="{00000000-0008-0000-0F00-00000A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64</xdr:col>
      <xdr:colOff>19050</xdr:colOff>
      <xdr:row>22</xdr:row>
      <xdr:rowOff>19050</xdr:rowOff>
    </xdr:from>
    <xdr:ext cx="3305175" cy="180975"/>
    <xdr:pic>
      <xdr:nvPicPr>
        <xdr:cNvPr id="11" name="image14.png">
          <a:extLst>
            <a:ext uri="{FF2B5EF4-FFF2-40B4-BE49-F238E27FC236}">
              <a16:creationId xmlns:a16="http://schemas.microsoft.com/office/drawing/2014/main" id="{00000000-0008-0000-0F00-00000B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64</xdr:col>
      <xdr:colOff>104775</xdr:colOff>
      <xdr:row>31</xdr:row>
      <xdr:rowOff>28575</xdr:rowOff>
    </xdr:from>
    <xdr:ext cx="2809875" cy="152400"/>
    <xdr:pic>
      <xdr:nvPicPr>
        <xdr:cNvPr id="12" name="image11.png">
          <a:extLst>
            <a:ext uri="{FF2B5EF4-FFF2-40B4-BE49-F238E27FC236}">
              <a16:creationId xmlns:a16="http://schemas.microsoft.com/office/drawing/2014/main" id="{00000000-0008-0000-0F00-00000C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64</xdr:col>
      <xdr:colOff>57150</xdr:colOff>
      <xdr:row>36</xdr:row>
      <xdr:rowOff>19050</xdr:rowOff>
    </xdr:from>
    <xdr:ext cx="2638425" cy="190500"/>
    <xdr:pic>
      <xdr:nvPicPr>
        <xdr:cNvPr id="13" name="image10.png">
          <a:extLst>
            <a:ext uri="{FF2B5EF4-FFF2-40B4-BE49-F238E27FC236}">
              <a16:creationId xmlns:a16="http://schemas.microsoft.com/office/drawing/2014/main" id="{00000000-0008-0000-0F00-00000D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64</xdr:col>
      <xdr:colOff>19050</xdr:colOff>
      <xdr:row>17</xdr:row>
      <xdr:rowOff>66675</xdr:rowOff>
    </xdr:from>
    <xdr:ext cx="3038475" cy="428625"/>
    <xdr:pic>
      <xdr:nvPicPr>
        <xdr:cNvPr id="14" name="image18.png">
          <a:extLst>
            <a:ext uri="{FF2B5EF4-FFF2-40B4-BE49-F238E27FC236}">
              <a16:creationId xmlns:a16="http://schemas.microsoft.com/office/drawing/2014/main" id="{00000000-0008-0000-0F00-00000E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48</xdr:col>
      <xdr:colOff>85725</xdr:colOff>
      <xdr:row>34</xdr:row>
      <xdr:rowOff>38100</xdr:rowOff>
    </xdr:from>
    <xdr:ext cx="2905125" cy="209550"/>
    <xdr:pic>
      <xdr:nvPicPr>
        <xdr:cNvPr id="15" name="image8.png">
          <a:extLst>
            <a:ext uri="{FF2B5EF4-FFF2-40B4-BE49-F238E27FC236}">
              <a16:creationId xmlns:a16="http://schemas.microsoft.com/office/drawing/2014/main" id="{00000000-0008-0000-0F00-00000F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48</xdr:col>
      <xdr:colOff>152400</xdr:colOff>
      <xdr:row>25</xdr:row>
      <xdr:rowOff>85725</xdr:rowOff>
    </xdr:from>
    <xdr:ext cx="2352675" cy="342900"/>
    <xdr:pic>
      <xdr:nvPicPr>
        <xdr:cNvPr id="16" name="image16.png">
          <a:extLst>
            <a:ext uri="{FF2B5EF4-FFF2-40B4-BE49-F238E27FC236}">
              <a16:creationId xmlns:a16="http://schemas.microsoft.com/office/drawing/2014/main" id="{00000000-0008-0000-0F00-000010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48</xdr:col>
      <xdr:colOff>104775</xdr:colOff>
      <xdr:row>31</xdr:row>
      <xdr:rowOff>28575</xdr:rowOff>
    </xdr:from>
    <xdr:ext cx="4133850" cy="152400"/>
    <xdr:pic>
      <xdr:nvPicPr>
        <xdr:cNvPr id="17" name="image11.png">
          <a:extLst>
            <a:ext uri="{FF2B5EF4-FFF2-40B4-BE49-F238E27FC236}">
              <a16:creationId xmlns:a16="http://schemas.microsoft.com/office/drawing/2014/main" id="{00000000-0008-0000-0F00-000011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48</xdr:col>
      <xdr:colOff>57150</xdr:colOff>
      <xdr:row>36</xdr:row>
      <xdr:rowOff>19050</xdr:rowOff>
    </xdr:from>
    <xdr:ext cx="3962400" cy="190500"/>
    <xdr:pic>
      <xdr:nvPicPr>
        <xdr:cNvPr id="18" name="image10.png">
          <a:extLst>
            <a:ext uri="{FF2B5EF4-FFF2-40B4-BE49-F238E27FC236}">
              <a16:creationId xmlns:a16="http://schemas.microsoft.com/office/drawing/2014/main" id="{00000000-0008-0000-0F00-000012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48</xdr:col>
      <xdr:colOff>66675</xdr:colOff>
      <xdr:row>23</xdr:row>
      <xdr:rowOff>38100</xdr:rowOff>
    </xdr:from>
    <xdr:ext cx="4086225" cy="161925"/>
    <xdr:pic>
      <xdr:nvPicPr>
        <xdr:cNvPr id="19" name="image13.png">
          <a:extLst>
            <a:ext uri="{FF2B5EF4-FFF2-40B4-BE49-F238E27FC236}">
              <a16:creationId xmlns:a16="http://schemas.microsoft.com/office/drawing/2014/main" id="{00000000-0008-0000-0F00-000013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48</xdr:col>
      <xdr:colOff>19050</xdr:colOff>
      <xdr:row>22</xdr:row>
      <xdr:rowOff>19050</xdr:rowOff>
    </xdr:from>
    <xdr:ext cx="4629150" cy="180975"/>
    <xdr:pic>
      <xdr:nvPicPr>
        <xdr:cNvPr id="20" name="image14.png">
          <a:extLst>
            <a:ext uri="{FF2B5EF4-FFF2-40B4-BE49-F238E27FC236}">
              <a16:creationId xmlns:a16="http://schemas.microsoft.com/office/drawing/2014/main" id="{00000000-0008-0000-0F00-000014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24</xdr:col>
      <xdr:colOff>133350</xdr:colOff>
      <xdr:row>64</xdr:row>
      <xdr:rowOff>142875</xdr:rowOff>
    </xdr:from>
    <xdr:ext cx="19507200" cy="3686175"/>
    <xdr:pic>
      <xdr:nvPicPr>
        <xdr:cNvPr id="21" name="image22.png" title="Imagen">
          <a:extLst>
            <a:ext uri="{FF2B5EF4-FFF2-40B4-BE49-F238E27FC236}">
              <a16:creationId xmlns:a16="http://schemas.microsoft.com/office/drawing/2014/main" id="{00000000-0008-0000-0F00-000015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13</xdr:col>
      <xdr:colOff>133350</xdr:colOff>
      <xdr:row>57</xdr:row>
      <xdr:rowOff>9525</xdr:rowOff>
    </xdr:from>
    <xdr:ext cx="5153025" cy="2657475"/>
    <xdr:pic>
      <xdr:nvPicPr>
        <xdr:cNvPr id="2" name="image23.png" title="Imagen">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19050</xdr:colOff>
      <xdr:row>0</xdr:row>
      <xdr:rowOff>0</xdr:rowOff>
    </xdr:from>
    <xdr:ext cx="5705475" cy="3219450"/>
    <xdr:pic>
      <xdr:nvPicPr>
        <xdr:cNvPr id="3" name="image27.jpg">
          <a:extLst>
            <a:ext uri="{FF2B5EF4-FFF2-40B4-BE49-F238E27FC236}">
              <a16:creationId xmlns:a16="http://schemas.microsoft.com/office/drawing/2014/main" id="{00000000-0008-0000-1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342900</xdr:colOff>
      <xdr:row>19</xdr:row>
      <xdr:rowOff>190500</xdr:rowOff>
    </xdr:from>
    <xdr:ext cx="8534400" cy="8353425"/>
    <xdr:pic>
      <xdr:nvPicPr>
        <xdr:cNvPr id="4" name="image24.png" title="Imagen">
          <a:extLst>
            <a:ext uri="{FF2B5EF4-FFF2-40B4-BE49-F238E27FC236}">
              <a16:creationId xmlns:a16="http://schemas.microsoft.com/office/drawing/2014/main" id="{00000000-0008-0000-1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581025</xdr:colOff>
      <xdr:row>66</xdr:row>
      <xdr:rowOff>171450</xdr:rowOff>
    </xdr:from>
    <xdr:ext cx="8486775" cy="3676650"/>
    <xdr:pic>
      <xdr:nvPicPr>
        <xdr:cNvPr id="5" name="image25.png" title="Imagen">
          <a:extLst>
            <a:ext uri="{FF2B5EF4-FFF2-40B4-BE49-F238E27FC236}">
              <a16:creationId xmlns:a16="http://schemas.microsoft.com/office/drawing/2014/main" id="{00000000-0008-0000-1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19</xdr:col>
      <xdr:colOff>419100</xdr:colOff>
      <xdr:row>1</xdr:row>
      <xdr:rowOff>76200</xdr:rowOff>
    </xdr:from>
    <xdr:ext cx="6553200" cy="5800725"/>
    <xdr:pic>
      <xdr:nvPicPr>
        <xdr:cNvPr id="2" name="image26.png">
          <a:extLst>
            <a:ext uri="{FF2B5EF4-FFF2-40B4-BE49-F238E27FC236}">
              <a16:creationId xmlns:a16="http://schemas.microsoft.com/office/drawing/2014/main" id="{00000000-0008-0000-1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7:R71">
  <tableColumns count="18">
    <tableColumn id="1" xr3:uid="{00000000-0010-0000-0000-000001000000}" name="Year"/>
    <tableColumn id="2" xr3:uid="{00000000-0010-0000-0000-000002000000}" name="Earnings Yield"/>
    <tableColumn id="3" xr3:uid="{00000000-0010-0000-0000-000003000000}" name="Dividend Yield"/>
    <tableColumn id="4" xr3:uid="{00000000-0010-0000-0000-000004000000}" name="S&amp;P 500"/>
    <tableColumn id="5" xr3:uid="{00000000-0010-0000-0000-000005000000}" name="Earnings*"/>
    <tableColumn id="6" xr3:uid="{00000000-0010-0000-0000-000006000000}" name="Dividends*"/>
    <tableColumn id="7" xr3:uid="{00000000-0010-0000-0000-000007000000}" name="Dividends + Buybacks"/>
    <tableColumn id="8" xr3:uid="{00000000-0010-0000-0000-000008000000}" name="Change in Earnings"/>
    <tableColumn id="9" xr3:uid="{00000000-0010-0000-0000-000009000000}" name="Change in Dividends"/>
    <tableColumn id="10" xr3:uid="{00000000-0010-0000-0000-00000A000000}" name="T.Bill Rate"/>
    <tableColumn id="11" xr3:uid="{00000000-0010-0000-0000-00000B000000}" name="T.Bond Rate"/>
    <tableColumn id="12" xr3:uid="{00000000-0010-0000-0000-00000C000000}" name="Bond-Bill"/>
    <tableColumn id="13" xr3:uid="{00000000-0010-0000-0000-00000D000000}" name="Smoothed Growth"/>
    <tableColumn id="14" xr3:uid="{00000000-0010-0000-0000-00000E000000}" name="Implied Premium (DDM)"/>
    <tableColumn id="15" xr3:uid="{00000000-0010-0000-0000-00000F000000}" name="Analyst Growth Estimate"/>
    <tableColumn id="16" xr3:uid="{00000000-0010-0000-0000-000010000000}" name="Implied Premium (FCFE)"/>
    <tableColumn id="17" xr3:uid="{00000000-0010-0000-0000-000011000000}" name="Implied Premium (FCFE with sustainable Payout)"/>
    <tableColumn id="18" xr3:uid="{00000000-0010-0000-0000-000012000000}" name="ERP/Riskfree Rate"/>
  </tableColumns>
  <tableStyleInfo name="Historical Impl Premium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8:F104">
  <tableColumns count="6">
    <tableColumn id="1" xr3:uid="{00000000-0010-0000-0100-000001000000}" name="Industry Name"/>
    <tableColumn id="2" xr3:uid="{00000000-0010-0000-0100-000002000000}" name="Number of Firms"/>
    <tableColumn id="3" xr3:uid="{00000000-0010-0000-0100-000003000000}" name="CAGR in Net Income- Last 5 years"/>
    <tableColumn id="4" xr3:uid="{00000000-0010-0000-0100-000004000000}" name="CAGR in Revenues- Last 5 years"/>
    <tableColumn id="5" xr3:uid="{00000000-0010-0000-0100-000005000000}" name="Expected Growth in Revenues - Next 2 years"/>
    <tableColumn id="6" xr3:uid="{00000000-0010-0000-0100-000006000000}" name="Expected Growth in EPS - Next 5 years"/>
  </tableColumns>
  <tableStyleInfo name="EXPECTED GROWTH-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8:J104">
  <tableColumns count="10">
    <tableColumn id="1" xr3:uid="{00000000-0010-0000-0200-000001000000}" name="Industry Name"/>
    <tableColumn id="2" xr3:uid="{00000000-0010-0000-0200-000002000000}" name="Number of Firms"/>
    <tableColumn id="3" xr3:uid="{00000000-0010-0000-0200-000003000000}" name="Capital Expenditures (US $ millions)"/>
    <tableColumn id="4" xr3:uid="{00000000-0010-0000-0200-000004000000}" name="Depreciation &amp; Amort ((US $ millions)"/>
    <tableColumn id="5" xr3:uid="{00000000-0010-0000-0200-000005000000}" name="Cap Ex/Deprecn"/>
    <tableColumn id="6" xr3:uid="{00000000-0010-0000-0200-000006000000}" name="Acquisitions (US $ millions)"/>
    <tableColumn id="7" xr3:uid="{00000000-0010-0000-0200-000007000000}" name="Net R&amp;D (US $ millions)"/>
    <tableColumn id="8" xr3:uid="{00000000-0010-0000-0200-000008000000}" name="Net Cap Ex/Sales"/>
    <tableColumn id="9" xr3:uid="{00000000-0010-0000-0200-000009000000}" name="Net Cap Ex/ EBIT (1-t)"/>
    <tableColumn id="10" xr3:uid="{00000000-0010-0000-0200-00000A000000}" name="Sales/ Invested Capital (LTM)"/>
  </tableColumns>
  <tableStyleInfo name="Industry Averages_REINVESTMEN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7:I160">
  <tableColumns count="9">
    <tableColumn id="1" xr3:uid="{00000000-0010-0000-0300-000001000000}" name="Country"/>
    <tableColumn id="2" xr3:uid="{00000000-0010-0000-0300-000002000000}" name="Africa"/>
    <tableColumn id="3" xr3:uid="{00000000-0010-0000-0300-000003000000}" name="Moody's rating"/>
    <tableColumn id="4" xr3:uid="{00000000-0010-0000-0300-000004000000}" name="Rating-based Default Spread"/>
    <tableColumn id="5" xr3:uid="{00000000-0010-0000-0300-000005000000}" name="Total Equity Risk Premium"/>
    <tableColumn id="6" xr3:uid="{00000000-0010-0000-0300-000006000000}" name="Country Risk Premium"/>
    <tableColumn id="7" xr3:uid="{00000000-0010-0000-0300-000007000000}" name="Sovereign CDS, net of US"/>
    <tableColumn id="8" xr3:uid="{00000000-0010-0000-0300-000008000000}" name="Total Equity Risk Premium2"/>
    <tableColumn id="9" xr3:uid="{00000000-0010-0000-0300-000009000000}" name="Country Risk Premium3"/>
  </tableColumns>
  <tableStyleInfo name="ERPs 202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66:E186">
  <tableColumns count="5">
    <tableColumn id="1" xr3:uid="{00000000-0010-0000-0400-000001000000}" name="Country"/>
    <tableColumn id="2" xr3:uid="{00000000-0010-0000-0400-000002000000}" name="PRS Composite Risk Score"/>
    <tableColumn id="3" xr3:uid="{00000000-0010-0000-0400-000003000000}" name="ERP"/>
    <tableColumn id="4" xr3:uid="{00000000-0010-0000-0400-000004000000}" name="CRP"/>
    <tableColumn id="5" xr3:uid="{00000000-0010-0000-0400-000005000000}" name="Default Spread"/>
  </tableColumns>
  <tableStyleInfo name="ERPs 2021-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66:E187">
  <tableColumns count="5">
    <tableColumn id="1" xr3:uid="{00000000-0010-0000-0500-000001000000}" name="Country"/>
    <tableColumn id="2" xr3:uid="{00000000-0010-0000-0500-000002000000}" name="PRS Composite Risk Score"/>
    <tableColumn id="3" xr3:uid="{00000000-0010-0000-0500-000003000000}" name="ERP"/>
    <tableColumn id="4" xr3:uid="{00000000-0010-0000-0500-000004000000}" name="CRP"/>
    <tableColumn id="5" xr3:uid="{00000000-0010-0000-0500-000005000000}" name="Default Spread"/>
  </tableColumns>
  <tableStyleInfo name="ERPs by country 25-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stadisticas.bcrp.gob.pe/estadisticas/series/diarias/resultados/PD04713XD/html" TargetMode="External"/><Relationship Id="rId2" Type="http://schemas.openxmlformats.org/officeDocument/2006/relationships/hyperlink" Target="https://www.cnbc.com/quotes/US10Y" TargetMode="External"/><Relationship Id="rId1" Type="http://schemas.openxmlformats.org/officeDocument/2006/relationships/hyperlink" Target="http://pages.stern.nyu.edu/~adamodar/New_Home_Page/datafile/Betas.htm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atlas.kpmg.com/de/en/deal-advisory-services/cost-of-capital-and-multiples/industry-specific-multiples?utm_source=chatgpt.com" TargetMode="External"/><Relationship Id="rId1" Type="http://schemas.openxmlformats.org/officeDocument/2006/relationships/hyperlink" Target="https://atlas.kpmg.com/de/en/deal-advisory-services/cost-of-capital-and-multiples/industry-specific-multiples?utm_source=chatgpt.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cnbc.com/quotes/US10Y" TargetMode="External"/><Relationship Id="rId2" Type="http://schemas.openxmlformats.org/officeDocument/2006/relationships/hyperlink" Target="http://pages.stern.nyu.edu/~adamodar/New_Home_Page/datafile/Betas.html" TargetMode="External"/><Relationship Id="rId1" Type="http://schemas.openxmlformats.org/officeDocument/2006/relationships/hyperlink" Target="http://pages.stern.nyu.edu/~adamodar/New_Home_Page/datafile/Betas.html" TargetMode="External"/><Relationship Id="rId6" Type="http://schemas.openxmlformats.org/officeDocument/2006/relationships/drawing" Target="../drawings/drawing3.xml"/><Relationship Id="rId5" Type="http://schemas.openxmlformats.org/officeDocument/2006/relationships/hyperlink" Target="https://estadisticas.bcrp.gob.pe/estadisticas/series/diarias/resultados/PD04713XD/html" TargetMode="External"/><Relationship Id="rId4" Type="http://schemas.openxmlformats.org/officeDocument/2006/relationships/hyperlink" Target="http://pages.stern.nyu.edu/~adamodar/New_Home_Page/datafile/ctryprem.html"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pages.stern.nyu.edu/~adamodar/New_Home_Page/datafile/Betas.html" TargetMode="Externa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5" Type="http://schemas.openxmlformats.org/officeDocument/2006/relationships/hyperlink" Target="http://www.stern.nyu.edu/~adamodar/New_Home_Page/datafile/variable.htm" TargetMode="External"/><Relationship Id="rId4" Type="http://schemas.openxmlformats.org/officeDocument/2006/relationships/hyperlink" Target="http://www.stern.nyu.edu/~adamodar/pc/datasets/indname.xls"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hyperlink" Target="https://pages.stern.nyu.edu/~adamodar/pc/datasets/histgr.xls" TargetMode="Externa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5" Type="http://schemas.openxmlformats.org/officeDocument/2006/relationships/hyperlink" Target="http://www.stern.nyu.edu/~adamodar/New_Home_Page/datafile/variable.htm" TargetMode="External"/><Relationship Id="rId4" Type="http://schemas.openxmlformats.org/officeDocument/2006/relationships/hyperlink" Target="http://www.stern.nyu.edu/~adamodar/pc/datasets/indname.xl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medicalcentertecamac.com/especialidades-1"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pages.stern.nyu.edu/~adamodar/pc/datasets/vebitdaGlobal.xls" TargetMode="Externa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5" Type="http://schemas.openxmlformats.org/officeDocument/2006/relationships/hyperlink" Target="http://www.stern.nyu.edu/~adamodar/New_Home_Page/datafile/variable.htm" TargetMode="External"/><Relationship Id="rId4" Type="http://schemas.openxmlformats.org/officeDocument/2006/relationships/hyperlink" Target="http://www.stern.nyu.edu/~adamodar/pc/datasets/indname.xls" TargetMode="Externa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3" Type="http://schemas.openxmlformats.org/officeDocument/2006/relationships/hyperlink" Target="https://pages.stern.nyu.edu/adamodar/pc/datasets/fundgrEB.xls" TargetMode="Externa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5" Type="http://schemas.openxmlformats.org/officeDocument/2006/relationships/hyperlink" Target="http://www.stern.nyu.edu/~adamodar/New_Home_Page/datafile/variable.htm" TargetMode="External"/><Relationship Id="rId4" Type="http://schemas.openxmlformats.org/officeDocument/2006/relationships/hyperlink" Target="http://www.stern.nyu.edu/~adamodar/pc/datasets/indname.xls"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3" Type="http://schemas.openxmlformats.org/officeDocument/2006/relationships/hyperlink" Target="https://pages.stern.nyu.edu/adamodar/pc/datasets/waccGlobal.xls" TargetMode="Externa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5" Type="http://schemas.openxmlformats.org/officeDocument/2006/relationships/hyperlink" Target="http://www.stern.nyu.edu/~adamodar/New_Home_Page/datafile/variable.htm" TargetMode="External"/><Relationship Id="rId4" Type="http://schemas.openxmlformats.org/officeDocument/2006/relationships/hyperlink" Target="http://www.stern.nyu.edu/~adamodar/pc/datasets/indname.xls" TargetMode="External"/></Relationships>
</file>

<file path=xl/worksheets/_rels/sheet2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9.xml"/></Relationships>
</file>

<file path=xl/worksheets/_rels/sheet22.xml.rels><?xml version="1.0" encoding="UTF-8" standalone="yes"?>
<Relationships xmlns="http://schemas.openxmlformats.org/package/2006/relationships"><Relationship Id="rId3" Type="http://schemas.openxmlformats.org/officeDocument/2006/relationships/hyperlink" Target="http://www.stern.nyu.edu/~adamodar/pc/datasets/indname.xls" TargetMode="Externa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4" Type="http://schemas.openxmlformats.org/officeDocument/2006/relationships/hyperlink" Target="http://www.stern.nyu.edu/~adamodar/New_Home_Page/datafile/variable.htm"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pages.stern.nyu.edu/~adamodar/pc/datasets/margin.xls" TargetMode="Externa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5" Type="http://schemas.openxmlformats.org/officeDocument/2006/relationships/hyperlink" Target="http://www.stern.nyu.edu/~adamodar/New_Home_Page/datafile/variable.htm" TargetMode="External"/><Relationship Id="rId4" Type="http://schemas.openxmlformats.org/officeDocument/2006/relationships/hyperlink" Target="http://www.stern.nyu.edu/~adamodar/pc/datasets/indname.xls"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s://pages.stern.nyu.edu/~adamodar/New_Home_Page/datafile/fundgrEB.html" TargetMode="Externa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5" Type="http://schemas.openxmlformats.org/officeDocument/2006/relationships/hyperlink" Target="http://www.stern.nyu.edu/~adamodar/New_Home_Page/datafile/variable.htm" TargetMode="External"/><Relationship Id="rId4" Type="http://schemas.openxmlformats.org/officeDocument/2006/relationships/hyperlink" Target="http://www.stern.nyu.edu/~adamodar/pc/datasets/indname.xls"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www.stern.nyu.edu/~adamodar/New_Home_Page/data.html" TargetMode="Externa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4" Type="http://schemas.openxmlformats.org/officeDocument/2006/relationships/table" Target="../tables/table1.xml"/></Relationships>
</file>

<file path=xl/worksheets/_rels/sheet27.xml.rels><?xml version="1.0" encoding="UTF-8" standalone="yes"?>
<Relationships xmlns="http://schemas.openxmlformats.org/package/2006/relationships"><Relationship Id="rId3" Type="http://schemas.openxmlformats.org/officeDocument/2006/relationships/hyperlink" Target="http://www.stern.nyu.edu/~adamodar/New_Home_Page/data.html" TargetMode="Externa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6" Type="http://schemas.openxmlformats.org/officeDocument/2006/relationships/table" Target="../tables/table2.xml"/><Relationship Id="rId5" Type="http://schemas.openxmlformats.org/officeDocument/2006/relationships/hyperlink" Target="http://www.stern.nyu.edu/~adamodar/New_Home_Page/datafile/variable.htm" TargetMode="External"/><Relationship Id="rId4" Type="http://schemas.openxmlformats.org/officeDocument/2006/relationships/hyperlink" Target="http://www.stern.nyu.edu/~adamodar/pc/datasets/indname.xls"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https://pages.stern.nyu.edu/~adamodar/pc/datasets/capex.xls" TargetMode="Externa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6" Type="http://schemas.openxmlformats.org/officeDocument/2006/relationships/table" Target="../tables/table3.xml"/><Relationship Id="rId5" Type="http://schemas.openxmlformats.org/officeDocument/2006/relationships/hyperlink" Target="http://www.stern.nyu.edu/~adamodar/New_Home_Page/datafile/variable.htm" TargetMode="External"/><Relationship Id="rId4" Type="http://schemas.openxmlformats.org/officeDocument/2006/relationships/hyperlink" Target="http://www.stern.nyu.edu/~adamodar/pc/datasets/indname.xls" TargetMode="External"/></Relationships>
</file>

<file path=xl/worksheets/_rels/sheet2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hyperlink" Target="http://web.uqroo.mx/archivos/jlesparza/acpef140/Razones%20fins.pdf" TargetMode="External"/></Relationships>
</file>

<file path=xl/worksheets/_rels/sheet30.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vmlDrawing" Target="../drawings/vmlDrawing8.vml"/><Relationship Id="rId4" Type="http://schemas.openxmlformats.org/officeDocument/2006/relationships/comments" Target="../comments8.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6.xml"/><Relationship Id="rId1" Type="http://schemas.openxmlformats.org/officeDocument/2006/relationships/vmlDrawing" Target="../drawings/vmlDrawing9.vml"/></Relationships>
</file>

<file path=xl/worksheets/_rels/sheet32.xml.rels><?xml version="1.0" encoding="UTF-8" standalone="yes"?>
<Relationships xmlns="http://schemas.openxmlformats.org/package/2006/relationships"><Relationship Id="rId3" Type="http://schemas.openxmlformats.org/officeDocument/2006/relationships/hyperlink" Target="https://www.elfinanciero.com.mx/economia/cae-riesgo-pais-y-crece-apetito-por-deuda-mexicana" TargetMode="External"/><Relationship Id="rId2" Type="http://schemas.openxmlformats.org/officeDocument/2006/relationships/hyperlink" Target="https://lopezdoriga.com/economia-y-finanzas/economia/riesgo-pais-de-mexico-cierra-semana-sin-cambios/" TargetMode="External"/><Relationship Id="rId1" Type="http://schemas.openxmlformats.org/officeDocument/2006/relationships/hyperlink" Target="https://www.ambito.com/contenidos/riesgo-pais-mexico-historico.html" TargetMode="External"/><Relationship Id="rId4" Type="http://schemas.openxmlformats.org/officeDocument/2006/relationships/hyperlink" Target="https://www.elfinanciero.com.mx/economia/cae-riesgo-pais-y-crece-apetito-por-deuda-mexica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F3151"/>
  </sheetPr>
  <dimension ref="A1:Z1000"/>
  <sheetViews>
    <sheetView tabSelected="1" workbookViewId="0"/>
  </sheetViews>
  <sheetFormatPr baseColWidth="10" defaultColWidth="14.44140625" defaultRowHeight="15" customHeight="1"/>
  <cols>
    <col min="1" max="1" width="3.33203125" customWidth="1"/>
    <col min="2" max="2" width="31.44140625" customWidth="1"/>
    <col min="3" max="5" width="11" customWidth="1"/>
    <col min="6" max="6" width="13.33203125" customWidth="1"/>
    <col min="7" max="7" width="20.33203125" customWidth="1"/>
    <col min="8" max="8" width="23.33203125" customWidth="1"/>
    <col min="9" max="9" width="19.88671875" customWidth="1"/>
    <col min="10" max="10" width="11" customWidth="1"/>
    <col min="11" max="11" width="22.44140625" customWidth="1"/>
    <col min="12" max="26" width="11" customWidth="1"/>
  </cols>
  <sheetData>
    <row r="1" spans="1:26" ht="14.4">
      <c r="A1" s="1"/>
      <c r="B1" s="2" t="s">
        <v>0</v>
      </c>
      <c r="C1" s="1336" t="s">
        <v>1</v>
      </c>
      <c r="D1" s="1337"/>
      <c r="E1" s="1337"/>
      <c r="F1" s="1337"/>
      <c r="G1" s="2" t="s">
        <v>2</v>
      </c>
      <c r="H1" s="2" t="s">
        <v>3</v>
      </c>
      <c r="I1" s="1"/>
      <c r="J1" s="1"/>
      <c r="K1" s="1"/>
      <c r="L1" s="1"/>
      <c r="M1" s="1"/>
      <c r="N1" s="1"/>
      <c r="O1" s="1"/>
      <c r="P1" s="1"/>
      <c r="Q1" s="1"/>
      <c r="R1" s="1"/>
      <c r="S1" s="1"/>
      <c r="T1" s="1"/>
      <c r="U1" s="1"/>
      <c r="V1" s="1"/>
      <c r="W1" s="1"/>
      <c r="X1" s="1"/>
      <c r="Y1" s="1"/>
      <c r="Z1" s="1"/>
    </row>
    <row r="2" spans="1:26" ht="14.4">
      <c r="A2" s="1"/>
      <c r="B2" s="3" t="s">
        <v>4</v>
      </c>
      <c r="C2" s="1338" t="s">
        <v>5</v>
      </c>
      <c r="D2" s="1339"/>
      <c r="E2" s="1339"/>
      <c r="F2" s="1340"/>
      <c r="G2" s="4">
        <f>+'Betas 2025'!I117</f>
        <v>0.97913280000000003</v>
      </c>
      <c r="H2" s="5">
        <v>2023</v>
      </c>
      <c r="I2" s="1"/>
      <c r="J2" s="1"/>
      <c r="K2" s="1"/>
      <c r="L2" s="1"/>
      <c r="M2" s="1"/>
      <c r="N2" s="1"/>
      <c r="O2" s="1"/>
      <c r="P2" s="1"/>
      <c r="Q2" s="1"/>
      <c r="R2" s="1"/>
      <c r="S2" s="1"/>
      <c r="T2" s="1"/>
      <c r="U2" s="1"/>
      <c r="V2" s="1"/>
      <c r="W2" s="1"/>
      <c r="X2" s="1"/>
      <c r="Y2" s="1"/>
      <c r="Z2" s="1"/>
    </row>
    <row r="3" spans="1:26" ht="14.4">
      <c r="A3" s="1"/>
      <c r="B3" s="3" t="s">
        <v>6</v>
      </c>
      <c r="C3" s="6" t="s">
        <v>5</v>
      </c>
      <c r="D3" s="7"/>
      <c r="E3" s="7"/>
      <c r="F3" s="7"/>
      <c r="G3" s="8">
        <f>+'Betas 2025'!D117</f>
        <v>0.1792</v>
      </c>
      <c r="H3" s="5">
        <v>2023</v>
      </c>
      <c r="I3" s="1"/>
      <c r="J3" s="1"/>
      <c r="K3" s="1"/>
      <c r="L3" s="1"/>
      <c r="M3" s="1"/>
      <c r="N3" s="1"/>
      <c r="O3" s="1"/>
      <c r="P3" s="1"/>
      <c r="Q3" s="1"/>
      <c r="R3" s="1"/>
      <c r="S3" s="1"/>
      <c r="T3" s="1"/>
      <c r="U3" s="1"/>
      <c r="V3" s="1"/>
      <c r="W3" s="1"/>
      <c r="X3" s="1"/>
      <c r="Y3" s="1"/>
      <c r="Z3" s="1"/>
    </row>
    <row r="4" spans="1:26" ht="14.4">
      <c r="A4" s="1"/>
      <c r="B4" s="9" t="s">
        <v>7</v>
      </c>
      <c r="C4" s="1341" t="s">
        <v>8</v>
      </c>
      <c r="D4" s="1339"/>
      <c r="E4" s="1339"/>
      <c r="F4" s="1340"/>
      <c r="G4" s="8" t="s">
        <v>447</v>
      </c>
      <c r="H4" s="10">
        <v>44951</v>
      </c>
      <c r="I4" s="1"/>
      <c r="J4" s="1"/>
      <c r="K4" s="1"/>
      <c r="L4" s="1"/>
      <c r="M4" s="1"/>
      <c r="N4" s="1"/>
      <c r="O4" s="1"/>
      <c r="P4" s="1"/>
      <c r="Q4" s="1"/>
      <c r="R4" s="1"/>
      <c r="S4" s="1"/>
      <c r="T4" s="1"/>
      <c r="U4" s="1"/>
      <c r="V4" s="1"/>
      <c r="W4" s="1"/>
      <c r="X4" s="1"/>
      <c r="Y4" s="1"/>
      <c r="Z4" s="1"/>
    </row>
    <row r="5" spans="1:26" ht="14.4">
      <c r="A5" s="1"/>
      <c r="B5" s="9" t="s">
        <v>9</v>
      </c>
      <c r="C5" s="1342" t="s">
        <v>10</v>
      </c>
      <c r="D5" s="1339"/>
      <c r="E5" s="1339"/>
      <c r="F5" s="1340"/>
      <c r="G5" s="8" t="s">
        <v>447</v>
      </c>
      <c r="H5" s="5">
        <v>2023</v>
      </c>
      <c r="I5" s="1"/>
      <c r="J5" s="1"/>
      <c r="K5" s="1"/>
      <c r="L5" s="1"/>
      <c r="M5" s="1"/>
      <c r="N5" s="1"/>
      <c r="O5" s="1"/>
      <c r="P5" s="1"/>
      <c r="Q5" s="1"/>
      <c r="R5" s="1"/>
      <c r="S5" s="1"/>
      <c r="T5" s="1"/>
      <c r="U5" s="1"/>
      <c r="V5" s="1"/>
      <c r="W5" s="1"/>
      <c r="X5" s="1"/>
      <c r="Y5" s="1"/>
      <c r="Z5" s="1"/>
    </row>
    <row r="6" spans="1:26" ht="14.4">
      <c r="A6" s="1"/>
      <c r="B6" s="9" t="s">
        <v>11</v>
      </c>
      <c r="C6" s="1343" t="s">
        <v>12</v>
      </c>
      <c r="D6" s="1339"/>
      <c r="E6" s="1339"/>
      <c r="F6" s="1340"/>
      <c r="G6" s="8">
        <v>3.6299999999999999E-2</v>
      </c>
      <c r="H6" s="11">
        <v>44944</v>
      </c>
      <c r="I6" s="12"/>
      <c r="J6" s="1"/>
      <c r="K6" s="1"/>
      <c r="L6" s="1"/>
      <c r="M6" s="1"/>
      <c r="N6" s="1"/>
      <c r="O6" s="1"/>
      <c r="P6" s="1"/>
      <c r="Q6" s="1"/>
      <c r="R6" s="1"/>
      <c r="S6" s="1"/>
      <c r="T6" s="1"/>
      <c r="U6" s="1"/>
      <c r="V6" s="1"/>
      <c r="W6" s="1"/>
      <c r="X6" s="1"/>
      <c r="Y6" s="1"/>
      <c r="Z6" s="1"/>
    </row>
    <row r="7" spans="1:26" ht="14.4">
      <c r="A7" s="1"/>
      <c r="B7" s="1"/>
      <c r="C7" s="1"/>
      <c r="D7" s="1"/>
      <c r="E7" s="1"/>
      <c r="F7" s="1"/>
      <c r="G7" s="1"/>
      <c r="H7" s="1"/>
      <c r="I7" s="1"/>
      <c r="J7" s="1"/>
      <c r="K7" s="1"/>
      <c r="L7" s="1"/>
      <c r="M7" s="1"/>
      <c r="N7" s="1"/>
      <c r="O7" s="1"/>
      <c r="P7" s="1"/>
      <c r="Q7" s="1"/>
      <c r="R7" s="1"/>
      <c r="S7" s="1"/>
      <c r="T7" s="1"/>
      <c r="U7" s="1"/>
      <c r="V7" s="1"/>
      <c r="W7" s="1"/>
      <c r="X7" s="1"/>
      <c r="Y7" s="1"/>
      <c r="Z7" s="1"/>
    </row>
    <row r="8" spans="1:26" ht="15.6">
      <c r="A8" s="1"/>
      <c r="B8" s="13" t="s">
        <v>4</v>
      </c>
      <c r="C8" s="14" t="s">
        <v>13</v>
      </c>
      <c r="D8" s="15">
        <f t="shared" ref="D8:D9" si="0">+G2</f>
        <v>0.97913280000000003</v>
      </c>
      <c r="E8" s="1"/>
      <c r="F8" s="1"/>
      <c r="G8" s="1"/>
      <c r="H8" s="1"/>
      <c r="I8" s="1"/>
      <c r="J8" s="1"/>
      <c r="K8" s="1"/>
      <c r="L8" s="1"/>
      <c r="M8" s="1"/>
      <c r="N8" s="1"/>
      <c r="O8" s="1"/>
      <c r="P8" s="1"/>
      <c r="Q8" s="1"/>
      <c r="R8" s="1"/>
      <c r="S8" s="1"/>
      <c r="T8" s="1"/>
      <c r="U8" s="1"/>
      <c r="V8" s="1"/>
      <c r="W8" s="1"/>
      <c r="X8" s="1"/>
      <c r="Y8" s="1"/>
      <c r="Z8" s="1"/>
    </row>
    <row r="9" spans="1:26" ht="14.4">
      <c r="A9" s="1"/>
      <c r="B9" s="13" t="s">
        <v>6</v>
      </c>
      <c r="C9" s="14" t="s">
        <v>14</v>
      </c>
      <c r="D9" s="15">
        <f t="shared" si="0"/>
        <v>0.1792</v>
      </c>
      <c r="E9" s="1"/>
      <c r="F9" s="1"/>
      <c r="G9" s="1"/>
      <c r="H9" s="1"/>
      <c r="I9" s="1"/>
      <c r="J9" s="1"/>
      <c r="K9" s="1"/>
      <c r="L9" s="1"/>
      <c r="M9" s="1"/>
      <c r="N9" s="1"/>
      <c r="O9" s="1"/>
      <c r="P9" s="1"/>
      <c r="Q9" s="1"/>
      <c r="R9" s="1"/>
      <c r="S9" s="1"/>
      <c r="T9" s="1"/>
      <c r="U9" s="1"/>
      <c r="V9" s="1"/>
      <c r="W9" s="1"/>
      <c r="X9" s="1"/>
      <c r="Y9" s="1"/>
      <c r="Z9" s="1"/>
    </row>
    <row r="10" spans="1:26" ht="14.4">
      <c r="A10" s="1"/>
      <c r="B10" s="13" t="s">
        <v>15</v>
      </c>
      <c r="C10" s="14" t="s">
        <v>16</v>
      </c>
      <c r="D10" s="16">
        <v>0.3</v>
      </c>
      <c r="E10" s="1"/>
      <c r="F10" s="1"/>
      <c r="G10" s="1"/>
      <c r="H10" s="1"/>
      <c r="I10" s="1"/>
      <c r="J10" s="1"/>
      <c r="K10" s="1"/>
      <c r="L10" s="1"/>
      <c r="M10" s="1"/>
      <c r="N10" s="1"/>
      <c r="O10" s="1"/>
      <c r="P10" s="1"/>
      <c r="Q10" s="1"/>
      <c r="R10" s="1"/>
      <c r="S10" s="1"/>
      <c r="T10" s="1"/>
      <c r="U10" s="1"/>
      <c r="V10" s="1"/>
      <c r="W10" s="1"/>
      <c r="X10" s="1"/>
      <c r="Y10" s="1"/>
      <c r="Z10" s="1"/>
    </row>
    <row r="11" spans="1:26" ht="15.6">
      <c r="A11" s="1"/>
      <c r="B11" s="17" t="s">
        <v>17</v>
      </c>
      <c r="C11" s="18" t="s">
        <v>18</v>
      </c>
      <c r="D11" s="19">
        <f>+D8*(1+(1-D10)*D9)</f>
        <v>1.1019552184320001</v>
      </c>
      <c r="E11" s="1"/>
      <c r="F11" s="1"/>
      <c r="G11" s="1"/>
      <c r="H11" s="1"/>
      <c r="I11" s="1"/>
      <c r="J11" s="1"/>
      <c r="K11" s="1"/>
      <c r="L11" s="1"/>
      <c r="M11" s="1"/>
      <c r="N11" s="1"/>
      <c r="O11" s="1"/>
      <c r="P11" s="1"/>
      <c r="Q11" s="1"/>
      <c r="R11" s="1"/>
      <c r="S11" s="1"/>
      <c r="T11" s="1"/>
      <c r="U11" s="1"/>
      <c r="V11" s="1"/>
      <c r="W11" s="1"/>
      <c r="X11" s="1"/>
      <c r="Y11" s="1"/>
      <c r="Z11" s="1"/>
    </row>
    <row r="12" spans="1:26" ht="14.4">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4">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4">
      <c r="A14" s="1"/>
      <c r="B14" s="1344" t="s">
        <v>19</v>
      </c>
      <c r="C14" s="1345"/>
      <c r="D14" s="1345"/>
      <c r="E14" s="20"/>
      <c r="F14" s="21" t="s">
        <v>20</v>
      </c>
      <c r="G14" s="21"/>
      <c r="H14" s="21"/>
      <c r="I14" s="1"/>
      <c r="J14" s="1"/>
      <c r="K14" s="1"/>
      <c r="L14" s="1"/>
      <c r="M14" s="1"/>
      <c r="N14" s="1"/>
      <c r="O14" s="1"/>
      <c r="P14" s="1"/>
      <c r="Q14" s="1"/>
      <c r="R14" s="1"/>
      <c r="S14" s="1"/>
      <c r="T14" s="1"/>
      <c r="U14" s="1"/>
      <c r="V14" s="1"/>
      <c r="W14" s="1"/>
      <c r="X14" s="1"/>
      <c r="Y14" s="1"/>
      <c r="Z14" s="1"/>
    </row>
    <row r="15" spans="1:26" ht="14.4">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c r="A16" s="1"/>
      <c r="B16" s="1349" t="s">
        <v>21</v>
      </c>
      <c r="C16" s="1350"/>
      <c r="D16" s="1351"/>
      <c r="E16" s="1"/>
      <c r="F16" s="1346" t="s">
        <v>22</v>
      </c>
      <c r="G16" s="1347"/>
      <c r="H16" s="1348"/>
      <c r="I16" s="1"/>
      <c r="J16" s="1"/>
      <c r="K16" s="1"/>
      <c r="L16" s="1"/>
      <c r="M16" s="1"/>
      <c r="N16" s="1"/>
      <c r="O16" s="1"/>
      <c r="P16" s="1"/>
      <c r="Q16" s="1"/>
      <c r="R16" s="1"/>
      <c r="S16" s="1"/>
      <c r="T16" s="1"/>
      <c r="U16" s="1"/>
      <c r="V16" s="1"/>
      <c r="W16" s="1"/>
      <c r="X16" s="1"/>
      <c r="Y16" s="1"/>
      <c r="Z16" s="1"/>
    </row>
    <row r="17" spans="1:26" ht="14.4">
      <c r="A17" s="1"/>
      <c r="B17" s="1352" t="s">
        <v>23</v>
      </c>
      <c r="C17" s="1334"/>
      <c r="D17" s="1353"/>
      <c r="E17" s="1"/>
      <c r="F17" s="22"/>
      <c r="G17" s="23"/>
      <c r="H17" s="24"/>
      <c r="I17" s="1"/>
      <c r="J17" s="1"/>
      <c r="K17" s="1"/>
      <c r="L17" s="1"/>
      <c r="M17" s="1"/>
      <c r="N17" s="1"/>
      <c r="O17" s="1"/>
      <c r="P17" s="1"/>
      <c r="Q17" s="1"/>
      <c r="R17" s="1"/>
      <c r="S17" s="1"/>
      <c r="T17" s="1"/>
      <c r="U17" s="1"/>
      <c r="V17" s="1"/>
      <c r="W17" s="1"/>
      <c r="X17" s="1"/>
      <c r="Y17" s="1"/>
      <c r="Z17" s="1"/>
    </row>
    <row r="18" spans="1:26" ht="14.4">
      <c r="A18" s="1"/>
      <c r="B18" s="22"/>
      <c r="C18" s="25"/>
      <c r="D18" s="24"/>
      <c r="E18" s="1"/>
      <c r="F18" s="22"/>
      <c r="G18" s="23"/>
      <c r="H18" s="24"/>
      <c r="I18" s="1"/>
      <c r="J18" s="1"/>
      <c r="K18" s="1"/>
      <c r="L18" s="1"/>
      <c r="M18" s="1"/>
      <c r="N18" s="1"/>
      <c r="O18" s="1"/>
      <c r="P18" s="1"/>
      <c r="Q18" s="1"/>
      <c r="R18" s="1"/>
      <c r="S18" s="1"/>
      <c r="T18" s="1"/>
      <c r="U18" s="1"/>
      <c r="V18" s="1"/>
      <c r="W18" s="1"/>
      <c r="X18" s="1"/>
      <c r="Y18" s="1"/>
      <c r="Z18" s="1"/>
    </row>
    <row r="19" spans="1:26" ht="14.4">
      <c r="A19" s="1"/>
      <c r="B19" s="26" t="s">
        <v>24</v>
      </c>
      <c r="C19" s="27" t="e">
        <f>C22+(C24)*C23+C25+C26</f>
        <v>#VALUE!</v>
      </c>
      <c r="D19" s="24"/>
      <c r="E19" s="1"/>
      <c r="F19" s="22"/>
      <c r="G19" s="23"/>
      <c r="H19" s="24"/>
      <c r="I19" s="1"/>
      <c r="J19" s="1"/>
      <c r="K19" s="1"/>
      <c r="L19" s="1"/>
      <c r="M19" s="1"/>
      <c r="N19" s="1"/>
      <c r="O19" s="1"/>
      <c r="P19" s="1"/>
      <c r="Q19" s="1"/>
      <c r="R19" s="1"/>
      <c r="S19" s="1"/>
      <c r="T19" s="1"/>
      <c r="U19" s="1"/>
      <c r="V19" s="1"/>
      <c r="W19" s="1"/>
      <c r="X19" s="1"/>
      <c r="Y19" s="1"/>
      <c r="Z19" s="1"/>
    </row>
    <row r="20" spans="1:26" ht="14.4">
      <c r="A20" s="1"/>
      <c r="B20" s="28"/>
      <c r="C20" s="29"/>
      <c r="D20" s="30"/>
      <c r="E20" s="31"/>
      <c r="F20" s="22"/>
      <c r="G20" s="23"/>
      <c r="H20" s="24"/>
      <c r="I20" s="1"/>
      <c r="J20" s="1"/>
      <c r="K20" s="1"/>
      <c r="L20" s="1"/>
      <c r="M20" s="1"/>
      <c r="N20" s="1"/>
      <c r="O20" s="1"/>
      <c r="P20" s="1"/>
      <c r="Q20" s="1"/>
      <c r="R20" s="1"/>
      <c r="S20" s="1"/>
      <c r="T20" s="1"/>
      <c r="U20" s="1"/>
      <c r="V20" s="1"/>
      <c r="W20" s="1"/>
      <c r="X20" s="1"/>
      <c r="Y20" s="1"/>
      <c r="Z20" s="1"/>
    </row>
    <row r="21" spans="1:26" ht="15.75" customHeight="1">
      <c r="A21" s="1"/>
      <c r="B21" s="23"/>
      <c r="C21" s="23"/>
      <c r="D21" s="23"/>
      <c r="E21" s="31"/>
      <c r="F21" s="32" t="s">
        <v>25</v>
      </c>
      <c r="G21" s="25">
        <v>0.11409999999999999</v>
      </c>
      <c r="H21" s="24"/>
      <c r="I21" s="1"/>
      <c r="J21" s="1"/>
      <c r="K21" s="1"/>
      <c r="L21" s="1"/>
      <c r="M21" s="1"/>
      <c r="N21" s="1"/>
      <c r="O21" s="1"/>
      <c r="P21" s="1"/>
      <c r="Q21" s="1"/>
      <c r="R21" s="1"/>
      <c r="S21" s="1"/>
      <c r="T21" s="1"/>
      <c r="U21" s="1"/>
      <c r="V21" s="1"/>
      <c r="W21" s="1"/>
      <c r="X21" s="1"/>
      <c r="Y21" s="1"/>
      <c r="Z21" s="1"/>
    </row>
    <row r="22" spans="1:26" ht="15.75" customHeight="1">
      <c r="A22" s="1"/>
      <c r="B22" s="33" t="s">
        <v>26</v>
      </c>
      <c r="C22" s="34" t="str">
        <f>+G4</f>
        <v>#REF!</v>
      </c>
      <c r="D22" s="1"/>
      <c r="E22" s="35"/>
      <c r="F22" s="32" t="s">
        <v>27</v>
      </c>
      <c r="G22" s="25" t="e">
        <f>C19</f>
        <v>#VALUE!</v>
      </c>
      <c r="H22" s="24"/>
      <c r="I22" s="1"/>
      <c r="J22" s="1"/>
      <c r="K22" s="1"/>
      <c r="L22" s="1"/>
      <c r="M22" s="1"/>
      <c r="N22" s="1"/>
      <c r="O22" s="1"/>
      <c r="P22" s="1"/>
      <c r="Q22" s="1"/>
      <c r="R22" s="1"/>
      <c r="S22" s="1"/>
      <c r="T22" s="1"/>
      <c r="U22" s="1"/>
      <c r="V22" s="1"/>
      <c r="W22" s="1"/>
      <c r="X22" s="1"/>
      <c r="Y22" s="1"/>
      <c r="Z22" s="1"/>
    </row>
    <row r="23" spans="1:26" ht="15.75" customHeight="1">
      <c r="A23" s="1"/>
      <c r="B23" s="33" t="s">
        <v>28</v>
      </c>
      <c r="C23" s="36">
        <f>+D11</f>
        <v>1.1019552184320001</v>
      </c>
      <c r="D23" s="1"/>
      <c r="E23" s="35"/>
      <c r="F23" s="32" t="s">
        <v>29</v>
      </c>
      <c r="G23" s="37">
        <v>0.3</v>
      </c>
      <c r="H23" s="24"/>
      <c r="I23" s="1"/>
      <c r="J23" s="1"/>
      <c r="K23" s="1"/>
      <c r="L23" s="1"/>
      <c r="M23" s="1"/>
      <c r="N23" s="1"/>
      <c r="O23" s="1"/>
      <c r="P23" s="1"/>
      <c r="Q23" s="1"/>
      <c r="R23" s="1"/>
      <c r="S23" s="1"/>
      <c r="T23" s="1"/>
      <c r="U23" s="1"/>
      <c r="V23" s="1"/>
      <c r="W23" s="1"/>
      <c r="X23" s="1"/>
      <c r="Y23" s="1"/>
      <c r="Z23" s="1"/>
    </row>
    <row r="24" spans="1:26" ht="15.75" customHeight="1">
      <c r="A24" s="1"/>
      <c r="B24" s="33" t="s">
        <v>30</v>
      </c>
      <c r="C24" s="38" t="str">
        <f t="shared" ref="C24:C25" si="1">+G5</f>
        <v>#REF!</v>
      </c>
      <c r="D24" s="1"/>
      <c r="E24" s="35"/>
      <c r="F24" s="32" t="s">
        <v>31</v>
      </c>
      <c r="G24" s="25" t="e">
        <f>+H30/(H31+H30)</f>
        <v>#VALUE!</v>
      </c>
      <c r="H24" s="24"/>
      <c r="I24" s="1"/>
      <c r="J24" s="1"/>
      <c r="K24" s="1"/>
      <c r="L24" s="1"/>
      <c r="M24" s="1"/>
      <c r="N24" s="1"/>
      <c r="O24" s="1"/>
      <c r="P24" s="1"/>
      <c r="Q24" s="1"/>
      <c r="R24" s="1"/>
      <c r="S24" s="1"/>
      <c r="T24" s="1"/>
      <c r="U24" s="1"/>
      <c r="V24" s="1"/>
      <c r="W24" s="1"/>
      <c r="X24" s="1"/>
      <c r="Y24" s="1"/>
      <c r="Z24" s="1"/>
    </row>
    <row r="25" spans="1:26" ht="15.75" customHeight="1">
      <c r="A25" s="1"/>
      <c r="B25" s="33" t="s">
        <v>32</v>
      </c>
      <c r="C25" s="38">
        <f t="shared" si="1"/>
        <v>3.6299999999999999E-2</v>
      </c>
      <c r="D25" s="1"/>
      <c r="E25" s="35"/>
      <c r="F25" s="32" t="s">
        <v>33</v>
      </c>
      <c r="G25" s="25" t="e">
        <f>+H31/(H30+H31)</f>
        <v>#VALUE!</v>
      </c>
      <c r="H25" s="24"/>
      <c r="I25" s="39"/>
      <c r="J25" s="1"/>
      <c r="K25" s="1"/>
      <c r="L25" s="1"/>
      <c r="M25" s="1"/>
      <c r="N25" s="1"/>
      <c r="O25" s="1"/>
      <c r="P25" s="1"/>
      <c r="Q25" s="1"/>
      <c r="R25" s="1"/>
      <c r="S25" s="1"/>
      <c r="T25" s="1"/>
      <c r="U25" s="1"/>
      <c r="V25" s="1"/>
      <c r="W25" s="1"/>
      <c r="X25" s="1"/>
      <c r="Y25" s="1"/>
      <c r="Z25" s="1"/>
    </row>
    <row r="26" spans="1:26" ht="15.75" customHeight="1">
      <c r="A26" s="1"/>
      <c r="B26" s="33" t="s">
        <v>34</v>
      </c>
      <c r="C26" s="38">
        <v>0.01</v>
      </c>
      <c r="D26" s="40"/>
      <c r="E26" s="41"/>
      <c r="F26" s="42" t="s">
        <v>35</v>
      </c>
      <c r="G26" s="43" t="e">
        <f>((G25)*(G22)+((G24)*(1-G23)*(G21)))</f>
        <v>#VALUE!</v>
      </c>
      <c r="H26" s="44"/>
      <c r="I26" s="39"/>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45" t="s">
        <v>36</v>
      </c>
      <c r="G28" s="46" t="e">
        <f>+G26</f>
        <v>#VALUE!</v>
      </c>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45"/>
      <c r="G29" s="47"/>
      <c r="H29" s="47"/>
      <c r="I29" s="47"/>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48" t="s">
        <v>37</v>
      </c>
      <c r="H30" s="49" t="s">
        <v>447</v>
      </c>
      <c r="I30" s="48"/>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48" t="s">
        <v>38</v>
      </c>
      <c r="H31" s="49" t="s">
        <v>447</v>
      </c>
      <c r="I31" s="48"/>
      <c r="J31" s="1354"/>
      <c r="K31" s="1334"/>
      <c r="L31" s="1334"/>
      <c r="M31" s="1"/>
      <c r="N31" s="1"/>
      <c r="O31" s="1"/>
      <c r="P31" s="1"/>
      <c r="Q31" s="1"/>
      <c r="R31" s="1"/>
      <c r="S31" s="1"/>
      <c r="T31" s="1"/>
      <c r="U31" s="1"/>
      <c r="V31" s="1"/>
      <c r="W31" s="1"/>
      <c r="X31" s="1"/>
      <c r="Y31" s="1"/>
      <c r="Z31" s="1"/>
    </row>
    <row r="32" spans="1:26" ht="15.75" customHeight="1">
      <c r="A32" s="1"/>
      <c r="B32" s="1"/>
      <c r="C32" s="1"/>
      <c r="D32" s="1"/>
      <c r="E32" s="1"/>
      <c r="F32" s="1"/>
      <c r="G32" s="48" t="s">
        <v>39</v>
      </c>
      <c r="H32" s="46" t="s">
        <v>447</v>
      </c>
      <c r="I32" s="48"/>
      <c r="J32" s="1"/>
      <c r="K32" s="50"/>
      <c r="L32" s="1"/>
      <c r="M32" s="1"/>
      <c r="N32" s="1"/>
      <c r="O32" s="1"/>
      <c r="P32" s="1"/>
      <c r="Q32" s="1"/>
      <c r="R32" s="1"/>
      <c r="S32" s="1"/>
      <c r="T32" s="1"/>
      <c r="U32" s="1"/>
      <c r="V32" s="1"/>
      <c r="W32" s="1"/>
      <c r="X32" s="1"/>
      <c r="Y32" s="1"/>
      <c r="Z32" s="1"/>
    </row>
    <row r="33" spans="1:26" ht="15.75" customHeight="1">
      <c r="A33" s="1"/>
      <c r="B33" s="1"/>
      <c r="C33" s="1"/>
      <c r="D33" s="1"/>
      <c r="E33" s="1"/>
      <c r="F33" s="1"/>
      <c r="G33" s="48" t="s">
        <v>40</v>
      </c>
      <c r="H33" s="46" t="s">
        <v>447</v>
      </c>
      <c r="I33" s="48"/>
      <c r="J33" s="1"/>
      <c r="K33" s="1333"/>
      <c r="L33" s="1334"/>
      <c r="M33" s="1"/>
      <c r="N33" s="1"/>
      <c r="O33" s="1"/>
      <c r="P33" s="1"/>
      <c r="Q33" s="1"/>
      <c r="R33" s="1"/>
      <c r="S33" s="1"/>
      <c r="T33" s="1"/>
      <c r="U33" s="1"/>
      <c r="V33" s="1"/>
      <c r="W33" s="1"/>
      <c r="X33" s="1"/>
      <c r="Y33" s="1"/>
      <c r="Z33" s="1"/>
    </row>
    <row r="34" spans="1:26" ht="15.75" customHeight="1">
      <c r="A34" s="1"/>
      <c r="B34" s="1"/>
      <c r="C34" s="1"/>
      <c r="D34" s="1"/>
      <c r="E34" s="1"/>
      <c r="F34" s="1"/>
      <c r="G34" s="48"/>
      <c r="H34" s="48"/>
      <c r="I34" s="48"/>
      <c r="J34" s="1"/>
      <c r="K34" s="1333"/>
      <c r="L34" s="1334"/>
      <c r="M34" s="1"/>
      <c r="N34" s="1"/>
      <c r="O34" s="1"/>
      <c r="P34" s="1"/>
      <c r="Q34" s="1"/>
      <c r="R34" s="1"/>
      <c r="S34" s="1"/>
      <c r="T34" s="1"/>
      <c r="U34" s="1"/>
      <c r="V34" s="1"/>
      <c r="W34" s="1"/>
      <c r="X34" s="1"/>
      <c r="Y34" s="1"/>
      <c r="Z34" s="1"/>
    </row>
    <row r="35" spans="1:26" ht="15.75" customHeight="1">
      <c r="A35" s="1"/>
      <c r="B35" s="1"/>
      <c r="C35" s="1"/>
      <c r="D35" s="1"/>
      <c r="E35" s="1"/>
      <c r="F35" s="1"/>
      <c r="G35" s="51"/>
      <c r="H35" s="51"/>
      <c r="I35" s="51"/>
      <c r="J35" s="1"/>
      <c r="K35" s="1333"/>
      <c r="L35" s="1334"/>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333"/>
      <c r="L36" s="1334"/>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50"/>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52"/>
      <c r="K38" s="1335"/>
      <c r="L38" s="1334"/>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39"/>
      <c r="I40" s="1"/>
      <c r="J40" s="1"/>
      <c r="K40" s="53"/>
      <c r="L40" s="54"/>
      <c r="M40" s="1"/>
      <c r="N40" s="1"/>
      <c r="O40" s="1"/>
      <c r="P40" s="1"/>
      <c r="Q40" s="1"/>
      <c r="R40" s="1"/>
      <c r="S40" s="1"/>
      <c r="T40" s="1"/>
      <c r="U40" s="1"/>
      <c r="V40" s="1"/>
      <c r="W40" s="1"/>
      <c r="X40" s="1"/>
      <c r="Y40" s="1"/>
      <c r="Z40" s="1"/>
    </row>
    <row r="41" spans="1:26" ht="15.75" customHeight="1">
      <c r="A41" s="1"/>
      <c r="B41" s="1"/>
      <c r="C41" s="1"/>
      <c r="D41" s="1"/>
      <c r="E41" s="1"/>
      <c r="F41" s="1"/>
      <c r="G41" s="1"/>
      <c r="H41" s="39"/>
      <c r="I41" s="1"/>
      <c r="J41" s="1"/>
      <c r="K41" s="50"/>
      <c r="L41" s="54"/>
      <c r="M41" s="1"/>
      <c r="N41" s="1"/>
      <c r="O41" s="1"/>
      <c r="P41" s="1"/>
      <c r="Q41" s="1"/>
      <c r="R41" s="1"/>
      <c r="S41" s="1"/>
      <c r="T41" s="1"/>
      <c r="U41" s="1"/>
      <c r="V41" s="1"/>
      <c r="W41" s="1"/>
      <c r="X41" s="1"/>
      <c r="Y41" s="1"/>
      <c r="Z41" s="1"/>
    </row>
    <row r="42" spans="1:26" ht="15.75" customHeight="1">
      <c r="A42" s="1"/>
      <c r="B42" s="1"/>
      <c r="C42" s="1"/>
      <c r="D42" s="1"/>
      <c r="E42" s="1"/>
      <c r="F42" s="1"/>
      <c r="G42" s="1"/>
      <c r="H42" s="39"/>
      <c r="I42" s="1"/>
      <c r="J42" s="1"/>
      <c r="K42" s="1"/>
      <c r="L42" s="39"/>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39"/>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K35:L35"/>
    <mergeCell ref="K36:L36"/>
    <mergeCell ref="K38:L38"/>
    <mergeCell ref="C1:F1"/>
    <mergeCell ref="C2:F2"/>
    <mergeCell ref="C4:F4"/>
    <mergeCell ref="C5:F5"/>
    <mergeCell ref="C6:F6"/>
    <mergeCell ref="B14:D14"/>
    <mergeCell ref="F16:H16"/>
    <mergeCell ref="B16:D16"/>
    <mergeCell ref="B17:D17"/>
    <mergeCell ref="J31:L31"/>
    <mergeCell ref="K33:L33"/>
    <mergeCell ref="K34:L34"/>
  </mergeCells>
  <hyperlinks>
    <hyperlink ref="C2" r:id="rId1" xr:uid="{00000000-0004-0000-0000-000000000000}"/>
    <hyperlink ref="C4" r:id="rId2" xr:uid="{00000000-0004-0000-0000-000001000000}"/>
    <hyperlink ref="C6" r:id="rId3" xr:uid="{00000000-0004-0000-0000-000002000000}"/>
  </hyperlinks>
  <pageMargins left="0.7" right="0.7" top="0.75" bottom="0.75" header="0" footer="0"/>
  <pageSetup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00"/>
  <sheetViews>
    <sheetView workbookViewId="0"/>
  </sheetViews>
  <sheetFormatPr baseColWidth="10" defaultColWidth="14.44140625" defaultRowHeight="15" customHeight="1"/>
  <cols>
    <col min="1" max="1" width="36.44140625" customWidth="1"/>
    <col min="2" max="2" width="20.33203125" customWidth="1"/>
    <col min="3" max="3" width="61.44140625" customWidth="1"/>
    <col min="4" max="6" width="14.44140625" customWidth="1"/>
  </cols>
  <sheetData>
    <row r="1" spans="1:4" ht="17.399999999999999">
      <c r="A1" s="55" t="s">
        <v>41</v>
      </c>
      <c r="B1" s="55"/>
      <c r="C1" s="55"/>
    </row>
    <row r="2" spans="1:4" ht="17.399999999999999">
      <c r="A2" s="56" t="s">
        <v>42</v>
      </c>
      <c r="B2" s="56" t="s">
        <v>43</v>
      </c>
      <c r="C2" s="56" t="s">
        <v>44</v>
      </c>
    </row>
    <row r="3" spans="1:4" ht="18">
      <c r="A3" s="57"/>
      <c r="B3" s="58"/>
      <c r="C3" s="59"/>
    </row>
    <row r="4" spans="1:4" ht="43.8">
      <c r="A4" s="57" t="s">
        <v>45</v>
      </c>
      <c r="B4" s="58">
        <f>WACC!K26</f>
        <v>0.15953943204093804</v>
      </c>
      <c r="C4" s="59" t="s">
        <v>46</v>
      </c>
    </row>
    <row r="5" spans="1:4" ht="18">
      <c r="A5" s="57" t="s">
        <v>47</v>
      </c>
      <c r="B5" s="60">
        <f>'VALOR NETO CONTABLE'!C23</f>
        <v>0</v>
      </c>
      <c r="C5" s="59" t="s">
        <v>48</v>
      </c>
    </row>
    <row r="6" spans="1:4" ht="18">
      <c r="A6" s="57" t="s">
        <v>49</v>
      </c>
      <c r="B6" s="60">
        <f>'1. Datos'!J30</f>
        <v>0</v>
      </c>
      <c r="C6" s="59" t="s">
        <v>50</v>
      </c>
    </row>
    <row r="7" spans="1:4" ht="63" customHeight="1">
      <c r="A7" s="57" t="s">
        <v>51</v>
      </c>
      <c r="B7" s="60" t="e">
        <f>'4.Resumen-Escenario'!AP36</f>
        <v>#DIV/0!</v>
      </c>
      <c r="C7" s="59" t="s">
        <v>52</v>
      </c>
    </row>
    <row r="8" spans="1:4" ht="43.8">
      <c r="A8" s="57" t="s">
        <v>53</v>
      </c>
      <c r="B8" s="61" t="e">
        <f>B7/B6</f>
        <v>#DIV/0!</v>
      </c>
      <c r="C8" s="59" t="s">
        <v>54</v>
      </c>
    </row>
    <row r="9" spans="1:4" ht="18">
      <c r="A9" s="57"/>
      <c r="B9" s="62"/>
      <c r="C9" s="63"/>
    </row>
    <row r="10" spans="1:4" ht="18">
      <c r="A10" s="57"/>
      <c r="B10" s="62"/>
      <c r="C10" s="59"/>
    </row>
    <row r="11" spans="1:4" ht="18">
      <c r="A11" s="57" t="s">
        <v>55</v>
      </c>
      <c r="B11" s="64">
        <f>(12.2+6.5)/2</f>
        <v>9.35</v>
      </c>
      <c r="C11" s="59" t="s">
        <v>56</v>
      </c>
      <c r="D11" s="65" t="s">
        <v>57</v>
      </c>
    </row>
    <row r="12" spans="1:4" ht="18">
      <c r="A12" s="57" t="s">
        <v>58</v>
      </c>
      <c r="B12" s="60">
        <f>B6</f>
        <v>0</v>
      </c>
      <c r="C12" s="63"/>
    </row>
    <row r="13" spans="1:4" ht="18">
      <c r="A13" s="57" t="s">
        <v>59</v>
      </c>
      <c r="B13" s="60">
        <f>B11*B6</f>
        <v>0</v>
      </c>
      <c r="C13" s="63" t="s">
        <v>60</v>
      </c>
    </row>
    <row r="14" spans="1:4" ht="14.4">
      <c r="A14" s="66" t="s">
        <v>61</v>
      </c>
      <c r="B14" s="67"/>
    </row>
    <row r="21" spans="6:6" ht="15.75" customHeight="1"/>
    <row r="22" spans="6:6" ht="15.75" customHeight="1"/>
    <row r="23" spans="6:6" ht="15.75" customHeight="1"/>
    <row r="24" spans="6:6" ht="15.75" customHeight="1"/>
    <row r="25" spans="6:6" ht="15.75" customHeight="1"/>
    <row r="26" spans="6:6" ht="15.75" customHeight="1"/>
    <row r="27" spans="6:6" ht="15.75" customHeight="1">
      <c r="F27" s="65" t="s">
        <v>57</v>
      </c>
    </row>
    <row r="28" spans="6:6" ht="15.75" customHeight="1"/>
    <row r="29" spans="6:6" ht="15.75" customHeight="1"/>
    <row r="30" spans="6:6" ht="15.75" customHeight="1"/>
    <row r="31" spans="6:6" ht="15.75" customHeight="1"/>
    <row r="32" spans="6: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D11" r:id="rId1" xr:uid="{00000000-0004-0000-0100-000000000000}"/>
    <hyperlink ref="F27" r:id="rId2"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F3151"/>
  </sheetPr>
  <dimension ref="B1:L1000"/>
  <sheetViews>
    <sheetView showGridLines="0" workbookViewId="0"/>
  </sheetViews>
  <sheetFormatPr baseColWidth="10" defaultColWidth="14.44140625" defaultRowHeight="15" customHeight="1"/>
  <cols>
    <col min="1" max="1" width="3.33203125" customWidth="1"/>
    <col min="2" max="2" width="31.44140625" customWidth="1"/>
    <col min="3" max="5" width="10.6640625" customWidth="1"/>
    <col min="6" max="6" width="13.33203125" customWidth="1"/>
    <col min="7" max="7" width="20.33203125" customWidth="1"/>
    <col min="8" max="8" width="23.33203125" customWidth="1"/>
    <col min="9" max="9" width="19.88671875" customWidth="1"/>
    <col min="10" max="10" width="15.44140625" customWidth="1"/>
    <col min="11" max="11" width="22.44140625" customWidth="1"/>
    <col min="12" max="12" width="10.6640625" customWidth="1"/>
  </cols>
  <sheetData>
    <row r="1" spans="2:12" ht="14.4">
      <c r="B1" s="2" t="s">
        <v>0</v>
      </c>
      <c r="C1" s="1336" t="s">
        <v>1</v>
      </c>
      <c r="D1" s="1337"/>
      <c r="E1" s="1337"/>
      <c r="F1" s="1337"/>
      <c r="G1" s="2" t="s">
        <v>2</v>
      </c>
      <c r="H1" s="2" t="s">
        <v>3</v>
      </c>
      <c r="I1" s="1"/>
      <c r="J1" s="1"/>
      <c r="K1" s="1"/>
      <c r="L1" s="1"/>
    </row>
    <row r="2" spans="2:12" ht="14.4">
      <c r="B2" s="3" t="s">
        <v>4</v>
      </c>
      <c r="C2" s="1355" t="s">
        <v>5</v>
      </c>
      <c r="D2" s="1339"/>
      <c r="E2" s="1339"/>
      <c r="F2" s="1340"/>
      <c r="G2" s="4">
        <f>'Betas 2025'!I117</f>
        <v>0.97913280000000003</v>
      </c>
      <c r="H2" s="5">
        <v>2025</v>
      </c>
      <c r="I2" s="1"/>
      <c r="J2" s="1"/>
      <c r="K2" s="1"/>
      <c r="L2" s="1"/>
    </row>
    <row r="3" spans="2:12" ht="14.4">
      <c r="B3" s="3" t="s">
        <v>6</v>
      </c>
      <c r="C3" s="68" t="s">
        <v>5</v>
      </c>
      <c r="D3" s="7"/>
      <c r="E3" s="7"/>
      <c r="F3" s="7"/>
      <c r="G3" s="8">
        <f>'Betas 2025'!D117</f>
        <v>0.1792</v>
      </c>
      <c r="H3" s="5">
        <v>2025</v>
      </c>
      <c r="I3" s="1"/>
      <c r="J3" s="1"/>
      <c r="K3" s="1"/>
      <c r="L3" s="1"/>
    </row>
    <row r="4" spans="2:12" ht="14.4">
      <c r="B4" s="9" t="s">
        <v>7</v>
      </c>
      <c r="C4" s="1341" t="s">
        <v>8</v>
      </c>
      <c r="D4" s="1339"/>
      <c r="E4" s="1339"/>
      <c r="F4" s="1340"/>
      <c r="G4" s="8">
        <v>4.1700000000000001E-2</v>
      </c>
      <c r="H4" s="10">
        <f ca="1">TODAY()</f>
        <v>46072</v>
      </c>
      <c r="I4" s="1"/>
      <c r="J4" s="1"/>
      <c r="K4" s="1"/>
      <c r="L4" s="1"/>
    </row>
    <row r="5" spans="2:12" ht="14.4">
      <c r="B5" s="9" t="s">
        <v>9</v>
      </c>
      <c r="C5" s="1355" t="s">
        <v>10</v>
      </c>
      <c r="D5" s="1339"/>
      <c r="E5" s="1339"/>
      <c r="F5" s="1340"/>
      <c r="G5" s="8">
        <v>6.8699999999999997E-2</v>
      </c>
      <c r="H5" s="5">
        <v>2025</v>
      </c>
      <c r="I5" s="1"/>
      <c r="J5" s="1"/>
      <c r="K5" s="1"/>
      <c r="L5" s="1"/>
    </row>
    <row r="6" spans="2:12" ht="14.4">
      <c r="B6" s="9" t="s">
        <v>11</v>
      </c>
      <c r="C6" s="1356" t="s">
        <v>12</v>
      </c>
      <c r="D6" s="1339"/>
      <c r="E6" s="1339"/>
      <c r="F6" s="1340"/>
      <c r="G6" s="8">
        <v>2.5700000000000001E-2</v>
      </c>
      <c r="H6" s="11">
        <f ca="1">TODAY()</f>
        <v>46072</v>
      </c>
      <c r="I6" s="12"/>
      <c r="J6" s="1"/>
      <c r="K6" s="1"/>
      <c r="L6" s="1"/>
    </row>
    <row r="8" spans="2:12" ht="14.4">
      <c r="B8" s="13" t="s">
        <v>4</v>
      </c>
      <c r="C8" s="14" t="s">
        <v>1016</v>
      </c>
      <c r="D8" s="15">
        <f>+G2</f>
        <v>0.97913280000000003</v>
      </c>
      <c r="E8" s="1"/>
      <c r="F8" s="1"/>
      <c r="G8" s="1"/>
      <c r="H8" s="1"/>
      <c r="I8" s="69" t="s">
        <v>1</v>
      </c>
      <c r="J8" s="69" t="s">
        <v>62</v>
      </c>
      <c r="K8" s="1"/>
      <c r="L8" s="1"/>
    </row>
    <row r="9" spans="2:12" ht="14.4">
      <c r="B9" s="13" t="s">
        <v>6</v>
      </c>
      <c r="C9" s="14" t="s">
        <v>14</v>
      </c>
      <c r="D9" s="15">
        <f>G3</f>
        <v>0.1792</v>
      </c>
      <c r="E9" s="1"/>
      <c r="F9" s="1"/>
      <c r="G9" s="1"/>
      <c r="H9" s="1"/>
      <c r="I9" s="3" t="s">
        <v>63</v>
      </c>
      <c r="J9" s="70">
        <v>0.25</v>
      </c>
      <c r="K9" s="1"/>
      <c r="L9" s="1"/>
    </row>
    <row r="10" spans="2:12" ht="14.4">
      <c r="B10" s="13" t="s">
        <v>15</v>
      </c>
      <c r="C10" s="14" t="s">
        <v>16</v>
      </c>
      <c r="D10" s="16">
        <v>0.3</v>
      </c>
      <c r="E10" s="1"/>
      <c r="F10" s="1"/>
      <c r="G10" s="1"/>
      <c r="H10" s="1"/>
      <c r="I10" s="3" t="s">
        <v>64</v>
      </c>
      <c r="J10" s="70">
        <v>0.21149999999999999</v>
      </c>
      <c r="K10" s="1"/>
      <c r="L10" s="1"/>
    </row>
    <row r="11" spans="2:12" ht="14.4">
      <c r="B11" s="17" t="s">
        <v>17</v>
      </c>
      <c r="C11" s="71" t="s">
        <v>1017</v>
      </c>
      <c r="D11" s="72">
        <f>+D8*(1+(1-D10)*D9)</f>
        <v>1.1019552184320001</v>
      </c>
      <c r="E11" s="1"/>
      <c r="F11" s="1"/>
      <c r="G11" s="1"/>
      <c r="H11" s="1"/>
      <c r="I11" s="3" t="s">
        <v>65</v>
      </c>
      <c r="J11" s="70">
        <v>0.20599999999999999</v>
      </c>
      <c r="K11" s="1"/>
      <c r="L11" s="1"/>
    </row>
    <row r="12" spans="2:12" ht="15" customHeight="1">
      <c r="B12" s="1"/>
      <c r="C12" s="1"/>
      <c r="D12" s="1"/>
      <c r="E12" s="1"/>
      <c r="F12" s="1"/>
      <c r="G12" s="1"/>
      <c r="H12" s="1"/>
      <c r="I12" s="3"/>
      <c r="J12" s="70"/>
      <c r="K12" s="1"/>
      <c r="L12" s="1"/>
    </row>
    <row r="13" spans="2:12" ht="15" customHeight="1">
      <c r="B13" s="1"/>
      <c r="C13" s="1"/>
      <c r="D13" s="1"/>
      <c r="E13" s="1"/>
      <c r="F13" s="1"/>
      <c r="G13" s="1"/>
      <c r="H13" s="1"/>
      <c r="I13" s="1"/>
      <c r="J13" s="39">
        <f>AVERAGE(J9:J12)</f>
        <v>0.2225</v>
      </c>
      <c r="K13" s="1"/>
      <c r="L13" s="1"/>
    </row>
    <row r="14" spans="2:12" ht="14.4">
      <c r="B14" s="1357" t="s">
        <v>19</v>
      </c>
      <c r="C14" s="1345"/>
      <c r="D14" s="1345"/>
      <c r="E14" s="20"/>
      <c r="F14" s="21" t="s">
        <v>20</v>
      </c>
      <c r="G14" s="21"/>
      <c r="H14" s="48"/>
      <c r="I14" s="1"/>
      <c r="J14" s="1"/>
      <c r="K14" s="1"/>
      <c r="L14" s="1"/>
    </row>
    <row r="15" spans="2:12" ht="14.4">
      <c r="B15" s="1"/>
      <c r="C15" s="1"/>
      <c r="D15" s="1"/>
      <c r="E15" s="1"/>
      <c r="F15" s="1"/>
      <c r="G15" s="1"/>
      <c r="H15" s="1"/>
      <c r="I15" s="1"/>
      <c r="J15" s="1"/>
      <c r="K15" s="73" t="s">
        <v>66</v>
      </c>
      <c r="L15" s="1"/>
    </row>
    <row r="16" spans="2:12" ht="14.4">
      <c r="B16" s="1358" t="s">
        <v>21</v>
      </c>
      <c r="C16" s="1350"/>
      <c r="D16" s="1351"/>
      <c r="E16" s="1"/>
      <c r="F16" s="1346" t="s">
        <v>22</v>
      </c>
      <c r="G16" s="1347"/>
      <c r="H16" s="1348"/>
      <c r="I16" s="1"/>
      <c r="J16" s="1346" t="s">
        <v>22</v>
      </c>
      <c r="K16" s="1347"/>
      <c r="L16" s="1348"/>
    </row>
    <row r="17" spans="2:12" ht="14.4">
      <c r="B17" s="1352" t="s">
        <v>23</v>
      </c>
      <c r="C17" s="1334"/>
      <c r="D17" s="1353"/>
      <c r="E17" s="1"/>
      <c r="F17" s="22"/>
      <c r="G17" s="23"/>
      <c r="H17" s="24"/>
      <c r="I17" s="1"/>
      <c r="J17" s="22"/>
      <c r="K17" s="23"/>
      <c r="L17" s="24"/>
    </row>
    <row r="18" spans="2:12" ht="14.4">
      <c r="B18" s="22"/>
      <c r="C18" s="25"/>
      <c r="D18" s="24"/>
      <c r="E18" s="1"/>
      <c r="F18" s="22"/>
      <c r="G18" s="23"/>
      <c r="H18" s="24"/>
      <c r="I18" s="1"/>
      <c r="J18" s="22"/>
      <c r="K18" s="23"/>
      <c r="L18" s="24"/>
    </row>
    <row r="19" spans="2:12" ht="14.4">
      <c r="B19" s="26" t="s">
        <v>24</v>
      </c>
      <c r="C19" s="74">
        <f>C22+(C24)*C23+C25+C26</f>
        <v>0.16310432350627838</v>
      </c>
      <c r="D19" s="24"/>
      <c r="E19" s="1"/>
      <c r="F19" s="22"/>
      <c r="G19" s="23"/>
      <c r="H19" s="24"/>
      <c r="I19" s="1"/>
      <c r="J19" s="22"/>
      <c r="K19" s="23"/>
      <c r="L19" s="24"/>
    </row>
    <row r="20" spans="2:12" ht="14.4">
      <c r="B20" s="28"/>
      <c r="C20" s="29"/>
      <c r="D20" s="30"/>
      <c r="E20" s="31"/>
      <c r="F20" s="22"/>
      <c r="G20" s="23"/>
      <c r="H20" s="24"/>
      <c r="I20" s="1"/>
      <c r="J20" s="22"/>
      <c r="K20" s="23"/>
      <c r="L20" s="24"/>
    </row>
    <row r="21" spans="2:12" ht="11.25" customHeight="1">
      <c r="B21" s="23"/>
      <c r="C21" s="23"/>
      <c r="D21" s="23"/>
      <c r="E21" s="31"/>
      <c r="F21" s="26" t="s">
        <v>25</v>
      </c>
      <c r="G21" s="25">
        <f>J13</f>
        <v>0.2225</v>
      </c>
      <c r="H21" s="24"/>
      <c r="I21" s="1"/>
      <c r="J21" s="26" t="s">
        <v>25</v>
      </c>
      <c r="K21" s="75">
        <f>+J13</f>
        <v>0.2225</v>
      </c>
      <c r="L21" s="24"/>
    </row>
    <row r="22" spans="2:12" ht="15.75" customHeight="1">
      <c r="B22" s="13" t="s">
        <v>26</v>
      </c>
      <c r="C22" s="76">
        <f>+G4</f>
        <v>4.1700000000000001E-2</v>
      </c>
      <c r="D22" s="1"/>
      <c r="E22" s="35"/>
      <c r="F22" s="32" t="s">
        <v>27</v>
      </c>
      <c r="G22" s="25">
        <f>C19</f>
        <v>0.16310432350627838</v>
      </c>
      <c r="H22" s="24"/>
      <c r="I22" s="1"/>
      <c r="J22" s="32" t="s">
        <v>27</v>
      </c>
      <c r="K22" s="25">
        <f>+C19</f>
        <v>0.16310432350627838</v>
      </c>
      <c r="L22" s="24"/>
    </row>
    <row r="23" spans="2:12" ht="15.75" customHeight="1">
      <c r="B23" s="13" t="s">
        <v>28</v>
      </c>
      <c r="C23" s="77">
        <f>+D11</f>
        <v>1.1019552184320001</v>
      </c>
      <c r="D23" s="1"/>
      <c r="E23" s="35"/>
      <c r="F23" s="32" t="s">
        <v>29</v>
      </c>
      <c r="G23" s="37">
        <v>0.3</v>
      </c>
      <c r="H23" s="24"/>
      <c r="I23" s="1"/>
      <c r="J23" s="32" t="s">
        <v>29</v>
      </c>
      <c r="K23" s="37">
        <v>0.3</v>
      </c>
      <c r="L23" s="24"/>
    </row>
    <row r="24" spans="2:12" ht="15.75" customHeight="1">
      <c r="B24" s="13" t="s">
        <v>30</v>
      </c>
      <c r="C24" s="78">
        <f>+G5</f>
        <v>6.8699999999999997E-2</v>
      </c>
      <c r="D24" s="1"/>
      <c r="E24" s="35"/>
      <c r="F24" s="32" t="s">
        <v>31</v>
      </c>
      <c r="G24" s="25" t="e">
        <f>+I28</f>
        <v>#DIV/0!</v>
      </c>
      <c r="H24" s="24"/>
      <c r="I24" s="1"/>
      <c r="J24" s="32" t="s">
        <v>31</v>
      </c>
      <c r="K24" s="79">
        <f>I30</f>
        <v>0.48473411079849815</v>
      </c>
      <c r="L24" s="24"/>
    </row>
    <row r="25" spans="2:12" ht="15.75" customHeight="1">
      <c r="B25" s="13" t="s">
        <v>67</v>
      </c>
      <c r="C25" s="78">
        <f>+G6</f>
        <v>2.5700000000000001E-2</v>
      </c>
      <c r="D25" s="1"/>
      <c r="E25" s="35"/>
      <c r="F25" s="32" t="s">
        <v>33</v>
      </c>
      <c r="G25" s="25" t="e">
        <f>+I29</f>
        <v>#DIV/0!</v>
      </c>
      <c r="H25" s="24"/>
      <c r="I25" s="39"/>
      <c r="J25" s="32" t="s">
        <v>33</v>
      </c>
      <c r="K25" s="79">
        <f>I31</f>
        <v>0.51526588920150185</v>
      </c>
      <c r="L25" s="24"/>
    </row>
    <row r="26" spans="2:12" ht="15.75" customHeight="1">
      <c r="B26" s="13" t="s">
        <v>34</v>
      </c>
      <c r="C26" s="38">
        <v>0.02</v>
      </c>
      <c r="D26" s="40"/>
      <c r="E26" s="41"/>
      <c r="F26" s="42" t="s">
        <v>35</v>
      </c>
      <c r="G26" s="80" t="e">
        <f>((G25)*(G22)+((G24)*(1-G23)*(G21)))</f>
        <v>#DIV/0!</v>
      </c>
      <c r="H26" s="44"/>
      <c r="I26" s="39"/>
      <c r="J26" s="42" t="s">
        <v>35</v>
      </c>
      <c r="K26" s="80">
        <f>((K25)*(K22)+((K24)*(1-K23)*(K21)))</f>
        <v>0.15953943204093804</v>
      </c>
      <c r="L26" s="44"/>
    </row>
    <row r="27" spans="2:12" ht="15.75" customHeight="1">
      <c r="B27" s="1"/>
      <c r="C27" s="1"/>
      <c r="D27" s="1"/>
      <c r="E27" s="1"/>
      <c r="F27" s="1"/>
      <c r="G27" s="1"/>
      <c r="H27" s="1"/>
      <c r="I27" s="1"/>
      <c r="J27" s="1"/>
      <c r="K27" s="1"/>
      <c r="L27" s="1"/>
    </row>
    <row r="28" spans="2:12" ht="15.75" customHeight="1">
      <c r="B28" s="1"/>
      <c r="C28" s="1"/>
      <c r="D28" s="1"/>
      <c r="E28" s="1"/>
      <c r="F28" s="45" t="s">
        <v>36</v>
      </c>
      <c r="G28" s="46" t="e">
        <f>+G26</f>
        <v>#DIV/0!</v>
      </c>
      <c r="H28" s="1"/>
      <c r="I28" s="54" t="e">
        <f>+H30/H32</f>
        <v>#DIV/0!</v>
      </c>
      <c r="J28" s="1"/>
      <c r="K28" s="1"/>
      <c r="L28" s="1"/>
    </row>
    <row r="29" spans="2:12" ht="15.75" customHeight="1">
      <c r="B29" s="1"/>
      <c r="C29" s="1"/>
      <c r="D29" s="1"/>
      <c r="E29" s="1"/>
      <c r="F29" s="81"/>
      <c r="G29" s="82"/>
      <c r="H29" s="82"/>
      <c r="I29" s="83" t="e">
        <f>+H31/H32</f>
        <v>#DIV/0!</v>
      </c>
      <c r="J29" s="1"/>
      <c r="K29" s="1"/>
      <c r="L29" s="1"/>
    </row>
    <row r="30" spans="2:12" ht="15.75" customHeight="1">
      <c r="B30" s="1"/>
      <c r="C30" s="1"/>
      <c r="D30" s="1"/>
      <c r="E30" s="1"/>
      <c r="F30" s="84"/>
      <c r="G30" s="85" t="s">
        <v>37</v>
      </c>
      <c r="H30" s="86">
        <f>+'1. Datos'!J119</f>
        <v>0</v>
      </c>
      <c r="I30" s="39">
        <f>+'Estructura de deuda'!J49</f>
        <v>0.48473411079849815</v>
      </c>
      <c r="J30" s="1"/>
      <c r="K30" s="1"/>
      <c r="L30" s="1"/>
    </row>
    <row r="31" spans="2:12" ht="15.75" customHeight="1">
      <c r="B31" s="1"/>
      <c r="C31" s="1"/>
      <c r="D31" s="1"/>
      <c r="E31" s="1"/>
      <c r="F31" s="84"/>
      <c r="G31" s="85" t="s">
        <v>38</v>
      </c>
      <c r="H31" s="87">
        <f>+'1. Datos'!J125</f>
        <v>0</v>
      </c>
      <c r="I31" s="39">
        <f>+'Estructura de deuda'!E49</f>
        <v>0.51526588920150185</v>
      </c>
      <c r="J31" s="1354"/>
      <c r="K31" s="1334"/>
      <c r="L31" s="1334"/>
    </row>
    <row r="32" spans="2:12" ht="15.75" customHeight="1">
      <c r="B32" s="1"/>
      <c r="C32" s="1"/>
      <c r="D32" s="1"/>
      <c r="E32" s="1"/>
      <c r="F32" s="88" t="s">
        <v>66</v>
      </c>
      <c r="G32" s="85" t="s">
        <v>68</v>
      </c>
      <c r="H32" s="89">
        <f>SUM(H30+H31)</f>
        <v>0</v>
      </c>
      <c r="I32" s="85"/>
      <c r="J32" s="1"/>
      <c r="K32" s="50"/>
      <c r="L32" s="1"/>
    </row>
    <row r="33" spans="7:12" ht="15.75" customHeight="1">
      <c r="G33" s="48"/>
      <c r="H33" s="90"/>
      <c r="I33" s="48"/>
      <c r="J33" s="1"/>
      <c r="K33" s="1333"/>
      <c r="L33" s="1334"/>
    </row>
    <row r="34" spans="7:12" ht="15.75" customHeight="1">
      <c r="G34" s="48"/>
      <c r="H34" s="48"/>
      <c r="I34" s="48"/>
      <c r="J34" s="1"/>
      <c r="K34" s="1333"/>
      <c r="L34" s="1334"/>
    </row>
    <row r="35" spans="7:12" ht="15.75" customHeight="1">
      <c r="G35" s="51"/>
      <c r="H35" s="51"/>
      <c r="I35" s="51"/>
      <c r="J35" s="1"/>
      <c r="K35" s="1333"/>
      <c r="L35" s="1334"/>
    </row>
    <row r="36" spans="7:12" ht="15.75" customHeight="1">
      <c r="G36" s="1"/>
      <c r="H36" s="1"/>
      <c r="I36" s="1"/>
      <c r="J36" s="1"/>
      <c r="K36" s="1333"/>
      <c r="L36" s="1334"/>
    </row>
    <row r="37" spans="7:12" ht="15.75" customHeight="1">
      <c r="G37" s="1"/>
      <c r="H37" s="1"/>
      <c r="I37" s="1"/>
      <c r="J37" s="1"/>
      <c r="K37" s="50"/>
      <c r="L37" s="1"/>
    </row>
    <row r="38" spans="7:12" ht="15.75" customHeight="1">
      <c r="G38" s="1"/>
      <c r="H38" s="1"/>
      <c r="I38" s="1"/>
      <c r="J38" s="52"/>
      <c r="K38" s="1335"/>
      <c r="L38" s="1334"/>
    </row>
    <row r="39" spans="7:12" ht="15.75" customHeight="1">
      <c r="G39" s="1"/>
      <c r="H39" s="1"/>
      <c r="I39" s="1"/>
      <c r="J39" s="1"/>
      <c r="K39" s="1"/>
      <c r="L39" s="1"/>
    </row>
    <row r="40" spans="7:12" ht="15.75" customHeight="1">
      <c r="G40" s="1"/>
      <c r="H40" s="39"/>
      <c r="I40" s="1"/>
      <c r="J40" s="1"/>
      <c r="K40" s="53"/>
      <c r="L40" s="54"/>
    </row>
    <row r="41" spans="7:12" ht="15.75" customHeight="1">
      <c r="G41" s="1"/>
      <c r="H41" s="39"/>
      <c r="I41" s="1"/>
      <c r="J41" s="1"/>
      <c r="K41" s="50"/>
      <c r="L41" s="54"/>
    </row>
    <row r="42" spans="7:12" ht="15.75" customHeight="1">
      <c r="G42" s="1"/>
      <c r="H42" s="39"/>
      <c r="I42" s="1"/>
      <c r="J42" s="1"/>
      <c r="K42" s="1"/>
      <c r="L42" s="39"/>
    </row>
    <row r="43" spans="7:12" ht="15.75" customHeight="1">
      <c r="G43" s="1"/>
      <c r="H43" s="1"/>
      <c r="I43" s="1"/>
      <c r="J43" s="1"/>
      <c r="K43" s="39"/>
      <c r="L43" s="1"/>
    </row>
    <row r="44" spans="7:12" ht="15.75" customHeight="1">
      <c r="G44" s="1"/>
      <c r="H44" s="1"/>
      <c r="I44" s="1"/>
      <c r="J44" s="1"/>
      <c r="K44" s="1"/>
      <c r="L44" s="1"/>
    </row>
    <row r="45" spans="7:12" ht="15.75" customHeight="1">
      <c r="G45" s="1"/>
      <c r="H45" s="1"/>
      <c r="I45" s="1"/>
      <c r="J45" s="1"/>
      <c r="K45" s="1"/>
      <c r="L45" s="1"/>
    </row>
    <row r="46" spans="7:12" ht="15.75" customHeight="1">
      <c r="G46" s="1"/>
      <c r="H46" s="1"/>
      <c r="I46" s="1"/>
      <c r="J46" s="1"/>
      <c r="K46" s="1"/>
      <c r="L46" s="1"/>
    </row>
    <row r="47" spans="7:12" ht="15.75" customHeight="1">
      <c r="G47" s="1"/>
      <c r="H47" s="1"/>
      <c r="I47" s="1"/>
      <c r="J47" s="1"/>
      <c r="K47" s="1"/>
      <c r="L47" s="1"/>
    </row>
    <row r="48" spans="7:12" ht="15.75" customHeight="1">
      <c r="G48" s="1"/>
      <c r="H48" s="1"/>
      <c r="I48" s="1"/>
      <c r="J48" s="1"/>
      <c r="K48" s="1"/>
      <c r="L48" s="1"/>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K35:L35"/>
    <mergeCell ref="K36:L36"/>
    <mergeCell ref="K38:L38"/>
    <mergeCell ref="C1:F1"/>
    <mergeCell ref="C2:F2"/>
    <mergeCell ref="C4:F4"/>
    <mergeCell ref="C5:F5"/>
    <mergeCell ref="C6:F6"/>
    <mergeCell ref="B14:D14"/>
    <mergeCell ref="B16:D16"/>
    <mergeCell ref="B17:D17"/>
    <mergeCell ref="F16:H16"/>
    <mergeCell ref="J16:L16"/>
    <mergeCell ref="J31:L31"/>
    <mergeCell ref="K33:L33"/>
    <mergeCell ref="K34:L34"/>
  </mergeCells>
  <hyperlinks>
    <hyperlink ref="C2" r:id="rId1" xr:uid="{00000000-0004-0000-0200-000000000000}"/>
    <hyperlink ref="C3" r:id="rId2" xr:uid="{00000000-0004-0000-0200-000001000000}"/>
    <hyperlink ref="C4" r:id="rId3" xr:uid="{00000000-0004-0000-0200-000002000000}"/>
    <hyperlink ref="C5" r:id="rId4" xr:uid="{00000000-0004-0000-0200-000003000000}"/>
    <hyperlink ref="C6" r:id="rId5" xr:uid="{00000000-0004-0000-0200-000004000000}"/>
  </hyperlinks>
  <pageMargins left="0.7" right="0.7" top="0.75" bottom="0.75" header="0" footer="0"/>
  <pageSetup orientation="portrait"/>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Z1000"/>
  <sheetViews>
    <sheetView workbookViewId="0"/>
  </sheetViews>
  <sheetFormatPr baseColWidth="10" defaultColWidth="14.44140625" defaultRowHeight="15" customHeight="1"/>
  <cols>
    <col min="1" max="1" width="33.44140625" customWidth="1"/>
    <col min="2" max="2" width="20.109375" customWidth="1"/>
    <col min="3" max="3" width="12.6640625" customWidth="1"/>
    <col min="4" max="4" width="15.88671875" customWidth="1"/>
    <col min="5" max="5" width="12.44140625" customWidth="1"/>
    <col min="6" max="6" width="19" customWidth="1"/>
    <col min="7" max="7" width="20.109375" customWidth="1"/>
    <col min="8" max="8" width="37.109375" customWidth="1"/>
    <col min="9" max="9" width="13.33203125" customWidth="1"/>
    <col min="10" max="10" width="31.88671875" customWidth="1"/>
    <col min="11" max="11" width="21.109375" customWidth="1"/>
    <col min="12" max="15" width="11.44140625" customWidth="1"/>
    <col min="16" max="16" width="14.109375" customWidth="1"/>
    <col min="17" max="26" width="10.6640625" customWidth="1"/>
  </cols>
  <sheetData>
    <row r="1" spans="1:26" ht="15.75" customHeight="1">
      <c r="A1" s="91" t="s">
        <v>69</v>
      </c>
      <c r="B1" s="1362">
        <v>45662</v>
      </c>
      <c r="C1" s="1363"/>
      <c r="D1" s="1363"/>
      <c r="E1" s="1363"/>
      <c r="F1" s="1363"/>
      <c r="G1" s="1363"/>
      <c r="H1" s="1364" t="s">
        <v>70</v>
      </c>
      <c r="I1" s="1367" t="s">
        <v>71</v>
      </c>
      <c r="J1" s="1363"/>
      <c r="K1" s="1368"/>
      <c r="L1" s="92"/>
      <c r="M1" s="92"/>
      <c r="N1" s="92"/>
      <c r="O1" s="92"/>
      <c r="P1" s="93"/>
      <c r="Q1" s="92"/>
      <c r="R1" s="92"/>
      <c r="S1" s="92"/>
      <c r="T1" s="92"/>
      <c r="U1" s="92"/>
      <c r="V1" s="92"/>
      <c r="W1" s="92"/>
      <c r="X1" s="92"/>
      <c r="Y1" s="92"/>
      <c r="Z1" s="92"/>
    </row>
    <row r="2" spans="1:26" ht="15.75" customHeight="1">
      <c r="A2" s="94" t="s">
        <v>72</v>
      </c>
      <c r="B2" s="1369" t="s">
        <v>73</v>
      </c>
      <c r="C2" s="1339"/>
      <c r="D2" s="1339"/>
      <c r="E2" s="1339"/>
      <c r="F2" s="1339"/>
      <c r="G2" s="1339"/>
      <c r="H2" s="1365"/>
      <c r="I2" s="1370" t="s">
        <v>74</v>
      </c>
      <c r="J2" s="1371"/>
      <c r="K2" s="1372"/>
      <c r="L2" s="92"/>
      <c r="M2" s="92"/>
      <c r="N2" s="92"/>
      <c r="O2" s="92"/>
      <c r="P2" s="93"/>
      <c r="Q2" s="92"/>
      <c r="R2" s="92"/>
      <c r="S2" s="92"/>
      <c r="T2" s="92"/>
      <c r="U2" s="92"/>
      <c r="V2" s="92"/>
      <c r="W2" s="92"/>
      <c r="X2" s="92"/>
      <c r="Y2" s="92"/>
      <c r="Z2" s="92"/>
    </row>
    <row r="3" spans="1:26" ht="15.75" customHeight="1">
      <c r="A3" s="94" t="s">
        <v>75</v>
      </c>
      <c r="B3" s="1375" t="s">
        <v>76</v>
      </c>
      <c r="C3" s="1339"/>
      <c r="D3" s="1339"/>
      <c r="E3" s="1340"/>
      <c r="F3" s="1375" t="s">
        <v>77</v>
      </c>
      <c r="G3" s="1339"/>
      <c r="H3" s="1365"/>
      <c r="I3" s="1334"/>
      <c r="J3" s="1334"/>
      <c r="K3" s="1353"/>
      <c r="L3" s="92"/>
      <c r="M3" s="92"/>
      <c r="N3" s="92"/>
      <c r="O3" s="92"/>
      <c r="P3" s="93"/>
      <c r="Q3" s="92"/>
      <c r="R3" s="92"/>
      <c r="S3" s="92"/>
      <c r="T3" s="92"/>
      <c r="U3" s="92"/>
      <c r="V3" s="92"/>
      <c r="W3" s="92"/>
      <c r="X3" s="92"/>
      <c r="Y3" s="92"/>
      <c r="Z3" s="92"/>
    </row>
    <row r="4" spans="1:26" ht="15.75" customHeight="1">
      <c r="A4" s="94" t="s">
        <v>78</v>
      </c>
      <c r="B4" s="1376" t="s">
        <v>79</v>
      </c>
      <c r="C4" s="1339"/>
      <c r="D4" s="1339"/>
      <c r="E4" s="1339"/>
      <c r="F4" s="1339"/>
      <c r="G4" s="1339"/>
      <c r="H4" s="1365"/>
      <c r="I4" s="1334"/>
      <c r="J4" s="1334"/>
      <c r="K4" s="1353"/>
      <c r="L4" s="92"/>
      <c r="M4" s="92"/>
      <c r="N4" s="92"/>
      <c r="O4" s="92"/>
      <c r="P4" s="93"/>
      <c r="Q4" s="92"/>
      <c r="R4" s="92"/>
      <c r="S4" s="92"/>
      <c r="T4" s="92"/>
      <c r="U4" s="92"/>
      <c r="V4" s="92"/>
      <c r="W4" s="92"/>
      <c r="X4" s="92"/>
      <c r="Y4" s="92"/>
      <c r="Z4" s="92"/>
    </row>
    <row r="5" spans="1:26" ht="15.75" customHeight="1">
      <c r="A5" s="94" t="s">
        <v>80</v>
      </c>
      <c r="B5" s="1355" t="s">
        <v>81</v>
      </c>
      <c r="C5" s="1339"/>
      <c r="D5" s="1339"/>
      <c r="E5" s="1339"/>
      <c r="F5" s="1339"/>
      <c r="G5" s="1339"/>
      <c r="H5" s="1365"/>
      <c r="I5" s="1334"/>
      <c r="J5" s="1334"/>
      <c r="K5" s="1353"/>
      <c r="L5" s="92"/>
      <c r="M5" s="92"/>
      <c r="N5" s="92"/>
      <c r="O5" s="92"/>
      <c r="P5" s="93"/>
      <c r="Q5" s="92"/>
      <c r="R5" s="92"/>
      <c r="S5" s="92"/>
      <c r="T5" s="92"/>
      <c r="U5" s="92"/>
      <c r="V5" s="92"/>
      <c r="W5" s="92"/>
      <c r="X5" s="92"/>
      <c r="Y5" s="92"/>
      <c r="Z5" s="92"/>
    </row>
    <row r="6" spans="1:26" ht="15.75" customHeight="1">
      <c r="A6" s="94" t="s">
        <v>82</v>
      </c>
      <c r="B6" s="1369" t="s">
        <v>83</v>
      </c>
      <c r="C6" s="1339"/>
      <c r="D6" s="1339"/>
      <c r="E6" s="1339"/>
      <c r="F6" s="1339"/>
      <c r="G6" s="1339"/>
      <c r="H6" s="1365"/>
      <c r="I6" s="1334"/>
      <c r="J6" s="1334"/>
      <c r="K6" s="1353"/>
      <c r="L6" s="95"/>
      <c r="M6" s="95"/>
      <c r="N6" s="95"/>
      <c r="O6" s="95"/>
      <c r="P6" s="96"/>
      <c r="Q6" s="95"/>
      <c r="R6" s="95"/>
      <c r="S6" s="95"/>
      <c r="T6" s="95"/>
      <c r="U6" s="95"/>
      <c r="V6" s="95"/>
      <c r="W6" s="95"/>
      <c r="X6" s="95"/>
      <c r="Y6" s="95"/>
      <c r="Z6" s="95"/>
    </row>
    <row r="7" spans="1:26" ht="15.75" customHeight="1">
      <c r="A7" s="97" t="s">
        <v>84</v>
      </c>
      <c r="B7" s="1378" t="s">
        <v>85</v>
      </c>
      <c r="C7" s="1371"/>
      <c r="D7" s="1371"/>
      <c r="E7" s="1371"/>
      <c r="F7" s="1371"/>
      <c r="G7" s="1371"/>
      <c r="H7" s="1366"/>
      <c r="I7" s="1373"/>
      <c r="J7" s="1373"/>
      <c r="K7" s="1374"/>
      <c r="L7" s="92"/>
      <c r="M7" s="92"/>
      <c r="N7" s="92"/>
      <c r="O7" s="92"/>
      <c r="P7" s="93"/>
      <c r="Q7" s="92"/>
      <c r="R7" s="92"/>
      <c r="S7" s="92"/>
      <c r="T7" s="92"/>
      <c r="U7" s="92"/>
      <c r="V7" s="92"/>
      <c r="W7" s="92"/>
      <c r="X7" s="92"/>
      <c r="Y7" s="92"/>
      <c r="Z7" s="92"/>
    </row>
    <row r="8" spans="1:26" ht="15.75" customHeight="1">
      <c r="A8" s="92" t="s">
        <v>86</v>
      </c>
      <c r="B8" s="98"/>
      <c r="C8" s="99"/>
      <c r="D8" s="98"/>
      <c r="E8" s="98"/>
      <c r="F8" s="100" t="s">
        <v>87</v>
      </c>
      <c r="G8" s="101"/>
      <c r="H8" s="98"/>
      <c r="I8" s="92"/>
      <c r="J8" s="92"/>
      <c r="K8" s="102"/>
      <c r="L8" s="92"/>
      <c r="M8" s="92"/>
      <c r="N8" s="92"/>
      <c r="O8" s="92"/>
      <c r="P8" s="93"/>
      <c r="Q8" s="92"/>
      <c r="R8" s="92"/>
      <c r="S8" s="92"/>
      <c r="T8" s="92"/>
      <c r="U8" s="92"/>
      <c r="V8" s="92"/>
      <c r="W8" s="92"/>
      <c r="X8" s="92"/>
      <c r="Y8" s="92"/>
      <c r="Z8" s="92"/>
    </row>
    <row r="9" spans="1:26" ht="15.75" customHeight="1">
      <c r="A9" s="92" t="s">
        <v>88</v>
      </c>
      <c r="B9" s="98"/>
      <c r="C9" s="99"/>
      <c r="D9" s="98"/>
      <c r="E9" s="98"/>
      <c r="F9" s="103">
        <v>0.25</v>
      </c>
      <c r="G9" s="101"/>
      <c r="H9" s="98"/>
      <c r="I9" s="92"/>
      <c r="J9" s="92"/>
      <c r="K9" s="102"/>
      <c r="L9" s="1359" t="s">
        <v>89</v>
      </c>
      <c r="M9" s="1360"/>
      <c r="N9" s="1360"/>
      <c r="O9" s="1360"/>
      <c r="P9" s="1361"/>
      <c r="Q9" s="92"/>
      <c r="R9" s="92"/>
      <c r="S9" s="92"/>
      <c r="T9" s="92"/>
      <c r="U9" s="92"/>
      <c r="V9" s="92"/>
      <c r="W9" s="92"/>
      <c r="X9" s="92"/>
      <c r="Y9" s="92"/>
      <c r="Z9" s="92"/>
    </row>
    <row r="10" spans="1:26" ht="54" customHeight="1">
      <c r="A10" s="104" t="s">
        <v>90</v>
      </c>
      <c r="B10" s="105" t="s">
        <v>91</v>
      </c>
      <c r="C10" s="106" t="s">
        <v>92</v>
      </c>
      <c r="D10" s="105" t="s">
        <v>93</v>
      </c>
      <c r="E10" s="105" t="s">
        <v>94</v>
      </c>
      <c r="F10" s="105" t="s">
        <v>95</v>
      </c>
      <c r="G10" s="105" t="s">
        <v>96</v>
      </c>
      <c r="H10" s="105" t="s">
        <v>97</v>
      </c>
      <c r="I10" s="105" t="s">
        <v>98</v>
      </c>
      <c r="J10" s="105" t="s">
        <v>99</v>
      </c>
      <c r="K10" s="107" t="s">
        <v>100</v>
      </c>
      <c r="L10" s="108" t="s">
        <v>101</v>
      </c>
      <c r="M10" s="108" t="s">
        <v>102</v>
      </c>
      <c r="N10" s="108" t="s">
        <v>103</v>
      </c>
      <c r="O10" s="108" t="s">
        <v>104</v>
      </c>
      <c r="P10" s="109" t="s">
        <v>105</v>
      </c>
      <c r="Q10" s="92"/>
      <c r="R10" s="92"/>
      <c r="S10" s="92"/>
      <c r="T10" s="92"/>
      <c r="U10" s="92"/>
      <c r="V10" s="92"/>
      <c r="W10" s="92"/>
      <c r="X10" s="92"/>
      <c r="Y10" s="92"/>
      <c r="Z10" s="92"/>
    </row>
    <row r="11" spans="1:26" ht="15.75" hidden="1" customHeight="1">
      <c r="A11" s="110" t="s">
        <v>106</v>
      </c>
      <c r="B11" s="111">
        <v>54</v>
      </c>
      <c r="C11" s="111">
        <v>1.34</v>
      </c>
      <c r="D11" s="112">
        <v>0.26200000000000001</v>
      </c>
      <c r="E11" s="112">
        <v>7.6700000000000004E-2</v>
      </c>
      <c r="F11" s="111">
        <v>1.1200000000000001</v>
      </c>
      <c r="G11" s="112">
        <v>6.5600000000000006E-2</v>
      </c>
      <c r="H11" s="111">
        <v>1.2</v>
      </c>
      <c r="I11" s="111">
        <v>0.60980000000000001</v>
      </c>
      <c r="J11" s="112">
        <v>0.67190000000000005</v>
      </c>
      <c r="K11" s="112">
        <v>0.121</v>
      </c>
      <c r="L11" s="111">
        <v>0.93</v>
      </c>
      <c r="M11" s="111">
        <v>0.77</v>
      </c>
      <c r="N11" s="111">
        <v>1.1000000000000001</v>
      </c>
      <c r="O11" s="111">
        <v>1.35</v>
      </c>
      <c r="P11" s="111">
        <v>1.07</v>
      </c>
      <c r="Q11" s="92"/>
      <c r="R11" s="92"/>
      <c r="S11" s="92"/>
      <c r="T11" s="92"/>
      <c r="U11" s="92"/>
      <c r="V11" s="92"/>
      <c r="W11" s="92"/>
      <c r="X11" s="92"/>
      <c r="Y11" s="92"/>
      <c r="Z11" s="92"/>
    </row>
    <row r="12" spans="1:26" ht="15.75" hidden="1" customHeight="1">
      <c r="A12" s="113" t="s">
        <v>107</v>
      </c>
      <c r="B12" s="114">
        <v>67</v>
      </c>
      <c r="C12" s="114">
        <v>0.9</v>
      </c>
      <c r="D12" s="115">
        <v>0.22789999999999999</v>
      </c>
      <c r="E12" s="115">
        <v>0.11020000000000001</v>
      </c>
      <c r="F12" s="114">
        <v>0.77</v>
      </c>
      <c r="G12" s="115">
        <v>3.8699999999999998E-2</v>
      </c>
      <c r="H12" s="114">
        <v>0.8</v>
      </c>
      <c r="I12" s="114">
        <v>0.43409999999999999</v>
      </c>
      <c r="J12" s="115">
        <v>0.4274</v>
      </c>
      <c r="K12" s="115">
        <v>0.2392</v>
      </c>
      <c r="L12" s="114">
        <v>1.08</v>
      </c>
      <c r="M12" s="114">
        <v>0.91</v>
      </c>
      <c r="N12" s="114">
        <v>1.1100000000000001</v>
      </c>
      <c r="O12" s="114">
        <v>1.23</v>
      </c>
      <c r="P12" s="114">
        <v>1.05</v>
      </c>
      <c r="Q12" s="92"/>
      <c r="R12" s="92"/>
      <c r="S12" s="92"/>
      <c r="T12" s="92"/>
      <c r="U12" s="92"/>
      <c r="V12" s="92"/>
      <c r="W12" s="92"/>
      <c r="X12" s="92"/>
      <c r="Y12" s="92"/>
      <c r="Z12" s="92"/>
    </row>
    <row r="13" spans="1:26" ht="15.75" hidden="1" customHeight="1">
      <c r="A13" s="110" t="s">
        <v>108</v>
      </c>
      <c r="B13" s="111">
        <v>24</v>
      </c>
      <c r="C13" s="111">
        <v>1.24</v>
      </c>
      <c r="D13" s="112">
        <v>1.0683</v>
      </c>
      <c r="E13" s="112">
        <v>0.10150000000000001</v>
      </c>
      <c r="F13" s="111">
        <v>0.69</v>
      </c>
      <c r="G13" s="112">
        <v>0.1028</v>
      </c>
      <c r="H13" s="111">
        <v>0.76</v>
      </c>
      <c r="I13" s="111">
        <v>0.52549999999999997</v>
      </c>
      <c r="J13" s="112">
        <v>0.65269999999999995</v>
      </c>
      <c r="K13" s="112">
        <v>2.0402</v>
      </c>
      <c r="L13" s="111">
        <v>0.84</v>
      </c>
      <c r="M13" s="111">
        <v>0.91</v>
      </c>
      <c r="N13" s="111">
        <v>0.91</v>
      </c>
      <c r="O13" s="111">
        <v>0.69</v>
      </c>
      <c r="P13" s="111">
        <v>0.8</v>
      </c>
      <c r="Q13" s="92"/>
      <c r="R13" s="92"/>
      <c r="S13" s="92"/>
      <c r="T13" s="92"/>
      <c r="U13" s="92"/>
      <c r="V13" s="92"/>
      <c r="W13" s="92"/>
      <c r="X13" s="92"/>
      <c r="Y13" s="92"/>
      <c r="Z13" s="92"/>
    </row>
    <row r="14" spans="1:26" ht="15.75" hidden="1" customHeight="1">
      <c r="A14" s="113" t="s">
        <v>109</v>
      </c>
      <c r="B14" s="114">
        <v>37</v>
      </c>
      <c r="C14" s="114">
        <v>0.99</v>
      </c>
      <c r="D14" s="115">
        <v>0.45889999999999997</v>
      </c>
      <c r="E14" s="115">
        <v>8.0799999999999997E-2</v>
      </c>
      <c r="F14" s="114">
        <v>0.74</v>
      </c>
      <c r="G14" s="115">
        <v>0.1086</v>
      </c>
      <c r="H14" s="114">
        <v>0.83</v>
      </c>
      <c r="I14" s="114">
        <v>0.48409999999999997</v>
      </c>
      <c r="J14" s="115">
        <v>0.50929999999999997</v>
      </c>
      <c r="K14" s="115">
        <v>0.24490000000000001</v>
      </c>
      <c r="L14" s="114">
        <v>0.83</v>
      </c>
      <c r="M14" s="114">
        <v>0.94</v>
      </c>
      <c r="N14" s="114">
        <v>1.1000000000000001</v>
      </c>
      <c r="O14" s="114">
        <v>1.02</v>
      </c>
      <c r="P14" s="114">
        <v>0.96</v>
      </c>
      <c r="Q14" s="92"/>
      <c r="R14" s="92"/>
      <c r="S14" s="92"/>
      <c r="T14" s="92"/>
      <c r="U14" s="92"/>
      <c r="V14" s="92"/>
      <c r="W14" s="92"/>
      <c r="X14" s="92"/>
      <c r="Y14" s="92"/>
      <c r="Z14" s="92"/>
    </row>
    <row r="15" spans="1:26" ht="15.75" hidden="1" customHeight="1">
      <c r="A15" s="110" t="s">
        <v>110</v>
      </c>
      <c r="B15" s="111">
        <v>34</v>
      </c>
      <c r="C15" s="111">
        <v>1.62</v>
      </c>
      <c r="D15" s="112">
        <v>0.224</v>
      </c>
      <c r="E15" s="112">
        <v>2.1100000000000001E-2</v>
      </c>
      <c r="F15" s="111">
        <v>1.39</v>
      </c>
      <c r="G15" s="112">
        <v>3.5099999999999999E-2</v>
      </c>
      <c r="H15" s="111">
        <v>1.43</v>
      </c>
      <c r="I15" s="111">
        <v>0.66459999999999997</v>
      </c>
      <c r="J15" s="112">
        <v>0.77590000000000003</v>
      </c>
      <c r="K15" s="112">
        <v>0.46929999999999999</v>
      </c>
      <c r="L15" s="111">
        <v>0.53</v>
      </c>
      <c r="M15" s="111">
        <v>1.05</v>
      </c>
      <c r="N15" s="111">
        <v>1.02</v>
      </c>
      <c r="O15" s="111">
        <v>1.23</v>
      </c>
      <c r="P15" s="111">
        <v>1.03</v>
      </c>
      <c r="Q15" s="92"/>
      <c r="R15" s="92"/>
      <c r="S15" s="92"/>
      <c r="T15" s="92"/>
      <c r="U15" s="92"/>
      <c r="V15" s="92"/>
      <c r="W15" s="92"/>
      <c r="X15" s="92"/>
      <c r="Y15" s="92"/>
      <c r="Z15" s="92"/>
    </row>
    <row r="16" spans="1:26" ht="15.75" hidden="1" customHeight="1">
      <c r="A16" s="113" t="s">
        <v>111</v>
      </c>
      <c r="B16" s="114">
        <v>33</v>
      </c>
      <c r="C16" s="114">
        <v>1.23</v>
      </c>
      <c r="D16" s="115">
        <v>0.4783</v>
      </c>
      <c r="E16" s="115">
        <v>0.12770000000000001</v>
      </c>
      <c r="F16" s="114">
        <v>0.91</v>
      </c>
      <c r="G16" s="115">
        <v>8.6099999999999996E-2</v>
      </c>
      <c r="H16" s="114">
        <v>0.99</v>
      </c>
      <c r="I16" s="114">
        <v>0.38429999999999997</v>
      </c>
      <c r="J16" s="115">
        <v>0.5262</v>
      </c>
      <c r="K16" s="115">
        <v>0.2056</v>
      </c>
      <c r="L16" s="114">
        <v>0.95</v>
      </c>
      <c r="M16" s="114">
        <v>1.0900000000000001</v>
      </c>
      <c r="N16" s="114">
        <v>1.21</v>
      </c>
      <c r="O16" s="114">
        <v>1.2</v>
      </c>
      <c r="P16" s="114">
        <v>1.1100000000000001</v>
      </c>
      <c r="Q16" s="92"/>
      <c r="R16" s="92"/>
      <c r="S16" s="92"/>
      <c r="T16" s="92"/>
      <c r="U16" s="92"/>
      <c r="V16" s="92"/>
      <c r="W16" s="92"/>
      <c r="X16" s="92"/>
      <c r="Y16" s="92"/>
      <c r="Z16" s="92"/>
    </row>
    <row r="17" spans="1:26" ht="15.75" hidden="1" customHeight="1">
      <c r="A17" s="110" t="s">
        <v>112</v>
      </c>
      <c r="B17" s="111">
        <v>15</v>
      </c>
      <c r="C17" s="111">
        <v>0.88</v>
      </c>
      <c r="D17" s="112">
        <v>1.8319000000000001</v>
      </c>
      <c r="E17" s="112">
        <v>0.18099999999999999</v>
      </c>
      <c r="F17" s="111">
        <v>0.37</v>
      </c>
      <c r="G17" s="112">
        <v>0.29770000000000002</v>
      </c>
      <c r="H17" s="111">
        <v>0.53</v>
      </c>
      <c r="I17" s="111">
        <v>0.23369999999999999</v>
      </c>
      <c r="J17" s="112">
        <v>0.30470000000000003</v>
      </c>
      <c r="K17" s="111" t="s">
        <v>113</v>
      </c>
      <c r="L17" s="111">
        <v>0.56000000000000005</v>
      </c>
      <c r="M17" s="111">
        <v>0.59</v>
      </c>
      <c r="N17" s="111">
        <v>1.03</v>
      </c>
      <c r="O17" s="111">
        <v>0.74</v>
      </c>
      <c r="P17" s="111">
        <v>0.71</v>
      </c>
      <c r="Q17" s="92"/>
      <c r="R17" s="92"/>
      <c r="S17" s="92"/>
      <c r="T17" s="92"/>
      <c r="U17" s="92"/>
      <c r="V17" s="92"/>
      <c r="W17" s="92"/>
      <c r="X17" s="92"/>
      <c r="Y17" s="92"/>
      <c r="Z17" s="92"/>
    </row>
    <row r="18" spans="1:26" ht="15.75" hidden="1" customHeight="1">
      <c r="A18" s="113" t="s">
        <v>114</v>
      </c>
      <c r="B18" s="114">
        <v>591</v>
      </c>
      <c r="C18" s="114">
        <v>0.52</v>
      </c>
      <c r="D18" s="115">
        <v>0.60319999999999996</v>
      </c>
      <c r="E18" s="115">
        <v>0.16839999999999999</v>
      </c>
      <c r="F18" s="114">
        <v>0.36</v>
      </c>
      <c r="G18" s="115">
        <v>0.2475</v>
      </c>
      <c r="H18" s="114">
        <v>0.48</v>
      </c>
      <c r="I18" s="114">
        <v>0.20780000000000001</v>
      </c>
      <c r="J18" s="115">
        <v>0.29959999999999998</v>
      </c>
      <c r="K18" s="115">
        <v>2.6518999999999999</v>
      </c>
      <c r="L18" s="114">
        <v>0.43</v>
      </c>
      <c r="M18" s="114">
        <v>0.6</v>
      </c>
      <c r="N18" s="114">
        <v>0.84</v>
      </c>
      <c r="O18" s="114">
        <v>0.41</v>
      </c>
      <c r="P18" s="114">
        <v>0.52</v>
      </c>
      <c r="Q18" s="92"/>
      <c r="R18" s="92"/>
      <c r="S18" s="92"/>
      <c r="T18" s="92"/>
      <c r="U18" s="92"/>
      <c r="V18" s="92"/>
      <c r="W18" s="92"/>
      <c r="X18" s="92"/>
      <c r="Y18" s="92"/>
      <c r="Z18" s="92"/>
    </row>
    <row r="19" spans="1:26" ht="15.75" hidden="1" customHeight="1">
      <c r="A19" s="110" t="s">
        <v>115</v>
      </c>
      <c r="B19" s="111">
        <v>18</v>
      </c>
      <c r="C19" s="111">
        <v>0.61</v>
      </c>
      <c r="D19" s="112">
        <v>0.30470000000000003</v>
      </c>
      <c r="E19" s="112">
        <v>8.2799999999999999E-2</v>
      </c>
      <c r="F19" s="111">
        <v>0.5</v>
      </c>
      <c r="G19" s="112">
        <v>1.8599999999999998E-2</v>
      </c>
      <c r="H19" s="111">
        <v>0.51</v>
      </c>
      <c r="I19" s="111">
        <v>0.55089999999999995</v>
      </c>
      <c r="J19" s="112">
        <v>0.63080000000000003</v>
      </c>
      <c r="K19" s="112">
        <v>0.2167</v>
      </c>
      <c r="L19" s="111">
        <v>0.92</v>
      </c>
      <c r="M19" s="111">
        <v>0.67</v>
      </c>
      <c r="N19" s="111">
        <v>0.72</v>
      </c>
      <c r="O19" s="111">
        <v>0.88</v>
      </c>
      <c r="P19" s="111">
        <v>0.83</v>
      </c>
      <c r="Q19" s="92"/>
      <c r="R19" s="92"/>
      <c r="S19" s="92"/>
      <c r="T19" s="92"/>
      <c r="U19" s="92"/>
      <c r="V19" s="92"/>
      <c r="W19" s="92"/>
      <c r="X19" s="92"/>
      <c r="Y19" s="92"/>
      <c r="Z19" s="92"/>
    </row>
    <row r="20" spans="1:26" ht="15.75" hidden="1" customHeight="1">
      <c r="A20" s="113" t="s">
        <v>116</v>
      </c>
      <c r="B20" s="114">
        <v>29</v>
      </c>
      <c r="C20" s="114">
        <v>0.56999999999999995</v>
      </c>
      <c r="D20" s="115">
        <v>0.1973</v>
      </c>
      <c r="E20" s="115">
        <v>6.9400000000000003E-2</v>
      </c>
      <c r="F20" s="114">
        <v>0.5</v>
      </c>
      <c r="G20" s="115">
        <v>3.5700000000000003E-2</v>
      </c>
      <c r="H20" s="114">
        <v>0.51</v>
      </c>
      <c r="I20" s="114">
        <v>0.64270000000000005</v>
      </c>
      <c r="J20" s="115">
        <v>0.47670000000000001</v>
      </c>
      <c r="K20" s="115">
        <v>0.15379999999999999</v>
      </c>
      <c r="L20" s="114">
        <v>1.0900000000000001</v>
      </c>
      <c r="M20" s="114">
        <v>0.71</v>
      </c>
      <c r="N20" s="114">
        <v>1.1200000000000001</v>
      </c>
      <c r="O20" s="114">
        <v>1.2</v>
      </c>
      <c r="P20" s="114">
        <v>0.96</v>
      </c>
      <c r="Q20" s="92"/>
      <c r="R20" s="92"/>
      <c r="S20" s="92"/>
      <c r="T20" s="92"/>
      <c r="U20" s="92"/>
      <c r="V20" s="92"/>
      <c r="W20" s="92"/>
      <c r="X20" s="92"/>
      <c r="Y20" s="92"/>
      <c r="Z20" s="92"/>
    </row>
    <row r="21" spans="1:26" ht="15.75" hidden="1" customHeight="1">
      <c r="A21" s="110" t="s">
        <v>117</v>
      </c>
      <c r="B21" s="111">
        <v>22</v>
      </c>
      <c r="C21" s="111">
        <v>0.92</v>
      </c>
      <c r="D21" s="112">
        <v>1.4956</v>
      </c>
      <c r="E21" s="112">
        <v>0.1074</v>
      </c>
      <c r="F21" s="111">
        <v>0.43</v>
      </c>
      <c r="G21" s="112">
        <v>9.4700000000000006E-2</v>
      </c>
      <c r="H21" s="111">
        <v>0.48</v>
      </c>
      <c r="I21" s="111">
        <v>0.53900000000000003</v>
      </c>
      <c r="J21" s="112">
        <v>0.52600000000000002</v>
      </c>
      <c r="K21" s="112">
        <v>0.2823</v>
      </c>
      <c r="L21" s="111">
        <v>0.73</v>
      </c>
      <c r="M21" s="111">
        <v>0.65</v>
      </c>
      <c r="N21" s="111">
        <v>0.81</v>
      </c>
      <c r="O21" s="111">
        <v>0.7</v>
      </c>
      <c r="P21" s="111">
        <v>0.68</v>
      </c>
      <c r="Q21" s="92"/>
      <c r="R21" s="92"/>
      <c r="S21" s="92"/>
      <c r="T21" s="92"/>
      <c r="U21" s="92"/>
      <c r="V21" s="92"/>
      <c r="W21" s="92"/>
      <c r="X21" s="92"/>
      <c r="Y21" s="92"/>
      <c r="Z21" s="92"/>
    </row>
    <row r="22" spans="1:26" ht="15.75" hidden="1" customHeight="1">
      <c r="A22" s="113" t="s">
        <v>118</v>
      </c>
      <c r="B22" s="114">
        <v>30</v>
      </c>
      <c r="C22" s="114">
        <v>0.95</v>
      </c>
      <c r="D22" s="115">
        <v>1.8658999999999999</v>
      </c>
      <c r="E22" s="115">
        <v>0.14419999999999999</v>
      </c>
      <c r="F22" s="114">
        <v>0.4</v>
      </c>
      <c r="G22" s="115">
        <v>0.15590000000000001</v>
      </c>
      <c r="H22" s="114">
        <v>0.47</v>
      </c>
      <c r="I22" s="114">
        <v>0.39900000000000002</v>
      </c>
      <c r="J22" s="115">
        <v>0.40489999999999998</v>
      </c>
      <c r="K22" s="115">
        <v>0.5736</v>
      </c>
      <c r="L22" s="114">
        <v>0.56999999999999995</v>
      </c>
      <c r="M22" s="114">
        <v>0.56999999999999995</v>
      </c>
      <c r="N22" s="114">
        <v>0.67</v>
      </c>
      <c r="O22" s="114">
        <v>0.69</v>
      </c>
      <c r="P22" s="114">
        <v>0.61</v>
      </c>
      <c r="Q22" s="92"/>
      <c r="R22" s="92"/>
      <c r="S22" s="92"/>
      <c r="T22" s="92"/>
      <c r="U22" s="92"/>
      <c r="V22" s="92"/>
      <c r="W22" s="92"/>
      <c r="X22" s="92"/>
      <c r="Y22" s="92"/>
      <c r="Z22" s="92"/>
    </row>
    <row r="23" spans="1:26" ht="15.75" hidden="1" customHeight="1">
      <c r="A23" s="110" t="s">
        <v>119</v>
      </c>
      <c r="B23" s="111">
        <v>39</v>
      </c>
      <c r="C23" s="111">
        <v>1.36</v>
      </c>
      <c r="D23" s="112">
        <v>0.18970000000000001</v>
      </c>
      <c r="E23" s="112">
        <v>0.19109999999999999</v>
      </c>
      <c r="F23" s="111">
        <v>1.19</v>
      </c>
      <c r="G23" s="112">
        <v>3.5700000000000003E-2</v>
      </c>
      <c r="H23" s="111">
        <v>1.23</v>
      </c>
      <c r="I23" s="111">
        <v>0.30330000000000001</v>
      </c>
      <c r="J23" s="112">
        <v>0.34749999999999998</v>
      </c>
      <c r="K23" s="112">
        <v>0.46329999999999999</v>
      </c>
      <c r="L23" s="111">
        <v>1.02</v>
      </c>
      <c r="M23" s="111">
        <v>0.97</v>
      </c>
      <c r="N23" s="111">
        <v>1.0900000000000001</v>
      </c>
      <c r="O23" s="111">
        <v>1.1000000000000001</v>
      </c>
      <c r="P23" s="111">
        <v>1.08</v>
      </c>
      <c r="Q23" s="92"/>
      <c r="R23" s="92"/>
      <c r="S23" s="92"/>
      <c r="T23" s="92"/>
      <c r="U23" s="92"/>
      <c r="V23" s="92"/>
      <c r="W23" s="92"/>
      <c r="X23" s="92"/>
      <c r="Y23" s="92"/>
      <c r="Z23" s="92"/>
    </row>
    <row r="24" spans="1:26" ht="15.75" hidden="1" customHeight="1">
      <c r="A24" s="113" t="s">
        <v>120</v>
      </c>
      <c r="B24" s="114">
        <v>152</v>
      </c>
      <c r="C24" s="114">
        <v>1</v>
      </c>
      <c r="D24" s="115">
        <v>0.1678</v>
      </c>
      <c r="E24" s="115">
        <v>0.12479999999999999</v>
      </c>
      <c r="F24" s="114">
        <v>0.89</v>
      </c>
      <c r="G24" s="115">
        <v>3.27E-2</v>
      </c>
      <c r="H24" s="114">
        <v>0.92</v>
      </c>
      <c r="I24" s="114">
        <v>0.48320000000000002</v>
      </c>
      <c r="J24" s="115">
        <v>0.45390000000000003</v>
      </c>
      <c r="K24" s="115">
        <v>0.26119999999999999</v>
      </c>
      <c r="L24" s="114">
        <v>0.89</v>
      </c>
      <c r="M24" s="114">
        <v>0.83</v>
      </c>
      <c r="N24" s="114">
        <v>0.99</v>
      </c>
      <c r="O24" s="114">
        <v>1.02</v>
      </c>
      <c r="P24" s="114">
        <v>0.93</v>
      </c>
      <c r="Q24" s="92"/>
      <c r="R24" s="92"/>
      <c r="S24" s="92"/>
      <c r="T24" s="92"/>
      <c r="U24" s="92"/>
      <c r="V24" s="92"/>
      <c r="W24" s="92"/>
      <c r="X24" s="92"/>
      <c r="Y24" s="92"/>
      <c r="Z24" s="92"/>
    </row>
    <row r="25" spans="1:26" ht="15.75" hidden="1" customHeight="1">
      <c r="A25" s="110" t="s">
        <v>121</v>
      </c>
      <c r="B25" s="111">
        <v>9</v>
      </c>
      <c r="C25" s="111">
        <v>0.96</v>
      </c>
      <c r="D25" s="112">
        <v>1.2635000000000001</v>
      </c>
      <c r="E25" s="112">
        <v>0.1047</v>
      </c>
      <c r="F25" s="111">
        <v>0.49</v>
      </c>
      <c r="G25" s="112">
        <v>2.1899999999999999E-2</v>
      </c>
      <c r="H25" s="111">
        <v>0.5</v>
      </c>
      <c r="I25" s="111">
        <v>0.41959999999999997</v>
      </c>
      <c r="J25" s="112">
        <v>0.49730000000000002</v>
      </c>
      <c r="K25" s="112">
        <v>0.28089999999999998</v>
      </c>
      <c r="L25" s="111">
        <v>0.78</v>
      </c>
      <c r="M25" s="111">
        <v>0.7</v>
      </c>
      <c r="N25" s="111">
        <v>0.66</v>
      </c>
      <c r="O25" s="111">
        <v>0.71</v>
      </c>
      <c r="P25" s="111">
        <v>0.72</v>
      </c>
      <c r="Q25" s="92"/>
      <c r="R25" s="92"/>
      <c r="S25" s="92"/>
      <c r="T25" s="92"/>
      <c r="U25" s="92"/>
      <c r="V25" s="92"/>
      <c r="W25" s="92"/>
      <c r="X25" s="92"/>
      <c r="Y25" s="92"/>
      <c r="Z25" s="92"/>
    </row>
    <row r="26" spans="1:26" ht="15.75" hidden="1" customHeight="1">
      <c r="A26" s="113" t="s">
        <v>122</v>
      </c>
      <c r="B26" s="114">
        <v>31</v>
      </c>
      <c r="C26" s="114">
        <v>1.1499999999999999</v>
      </c>
      <c r="D26" s="115">
        <v>0.58250000000000002</v>
      </c>
      <c r="E26" s="115">
        <v>7.9699999999999993E-2</v>
      </c>
      <c r="F26" s="114">
        <v>0.8</v>
      </c>
      <c r="G26" s="115">
        <v>7.1599999999999997E-2</v>
      </c>
      <c r="H26" s="114">
        <v>0.86</v>
      </c>
      <c r="I26" s="114">
        <v>0.54900000000000004</v>
      </c>
      <c r="J26" s="115">
        <v>0.50019999999999998</v>
      </c>
      <c r="K26" s="115">
        <v>0.38529999999999998</v>
      </c>
      <c r="L26" s="114">
        <v>0.99</v>
      </c>
      <c r="M26" s="114">
        <v>0.76</v>
      </c>
      <c r="N26" s="114">
        <v>0.94</v>
      </c>
      <c r="O26" s="114">
        <v>0.96</v>
      </c>
      <c r="P26" s="114">
        <v>0.9</v>
      </c>
      <c r="Q26" s="92"/>
      <c r="R26" s="92"/>
      <c r="S26" s="92"/>
      <c r="T26" s="92"/>
      <c r="U26" s="92"/>
      <c r="V26" s="92"/>
      <c r="W26" s="92"/>
      <c r="X26" s="92"/>
      <c r="Y26" s="92"/>
      <c r="Z26" s="92"/>
    </row>
    <row r="27" spans="1:26" ht="15.75" hidden="1" customHeight="1">
      <c r="A27" s="110" t="s">
        <v>123</v>
      </c>
      <c r="B27" s="111">
        <v>4</v>
      </c>
      <c r="C27" s="111">
        <v>0.99</v>
      </c>
      <c r="D27" s="112">
        <v>1.1312</v>
      </c>
      <c r="E27" s="112">
        <v>0</v>
      </c>
      <c r="F27" s="111">
        <v>0.54</v>
      </c>
      <c r="G27" s="112">
        <v>7.3400000000000007E-2</v>
      </c>
      <c r="H27" s="111">
        <v>0.57999999999999996</v>
      </c>
      <c r="I27" s="111">
        <v>0.27089999999999997</v>
      </c>
      <c r="J27" s="112">
        <v>0.46970000000000001</v>
      </c>
      <c r="K27" s="112">
        <v>0.38490000000000002</v>
      </c>
      <c r="L27" s="111">
        <v>1.21</v>
      </c>
      <c r="M27" s="111">
        <v>1.03</v>
      </c>
      <c r="N27" s="111">
        <v>1.21</v>
      </c>
      <c r="O27" s="111">
        <v>1.0900000000000001</v>
      </c>
      <c r="P27" s="111">
        <v>1.07</v>
      </c>
      <c r="Q27" s="92"/>
      <c r="R27" s="92"/>
      <c r="S27" s="92"/>
      <c r="T27" s="92"/>
      <c r="U27" s="92"/>
      <c r="V27" s="92"/>
      <c r="W27" s="92"/>
      <c r="X27" s="92"/>
      <c r="Y27" s="92"/>
      <c r="Z27" s="92"/>
    </row>
    <row r="28" spans="1:26" ht="15.75" hidden="1" customHeight="1">
      <c r="A28" s="113" t="s">
        <v>124</v>
      </c>
      <c r="B28" s="114">
        <v>60</v>
      </c>
      <c r="C28" s="114">
        <v>0.92</v>
      </c>
      <c r="D28" s="115">
        <v>0.2712</v>
      </c>
      <c r="E28" s="115">
        <v>9.9900000000000003E-2</v>
      </c>
      <c r="F28" s="114">
        <v>0.76</v>
      </c>
      <c r="G28" s="115">
        <v>3.5799999999999998E-2</v>
      </c>
      <c r="H28" s="114">
        <v>0.79</v>
      </c>
      <c r="I28" s="114">
        <v>0.42470000000000002</v>
      </c>
      <c r="J28" s="115">
        <v>0.48149999999999998</v>
      </c>
      <c r="K28" s="115">
        <v>0.1852</v>
      </c>
      <c r="L28" s="114">
        <v>0.96</v>
      </c>
      <c r="M28" s="114">
        <v>0.82</v>
      </c>
      <c r="N28" s="114">
        <v>1</v>
      </c>
      <c r="O28" s="114">
        <v>1.1200000000000001</v>
      </c>
      <c r="P28" s="114">
        <v>0.97</v>
      </c>
      <c r="Q28" s="92"/>
      <c r="R28" s="92"/>
      <c r="S28" s="92"/>
      <c r="T28" s="92"/>
      <c r="U28" s="92"/>
      <c r="V28" s="92"/>
      <c r="W28" s="92"/>
      <c r="X28" s="92"/>
      <c r="Y28" s="92"/>
      <c r="Z28" s="92"/>
    </row>
    <row r="29" spans="1:26" ht="15.75" hidden="1" customHeight="1">
      <c r="A29" s="110" t="s">
        <v>125</v>
      </c>
      <c r="B29" s="111">
        <v>16</v>
      </c>
      <c r="C29" s="111">
        <v>1.18</v>
      </c>
      <c r="D29" s="112">
        <v>9.4700000000000006E-2</v>
      </c>
      <c r="E29" s="112">
        <v>2.7699999999999999E-2</v>
      </c>
      <c r="F29" s="111">
        <v>1.1000000000000001</v>
      </c>
      <c r="G29" s="112">
        <v>0.12870000000000001</v>
      </c>
      <c r="H29" s="111">
        <v>1.27</v>
      </c>
      <c r="I29" s="111">
        <v>0.48049999999999998</v>
      </c>
      <c r="J29" s="112">
        <v>0.53779999999999994</v>
      </c>
      <c r="K29" s="112">
        <v>2.4542999999999999</v>
      </c>
      <c r="L29" s="111">
        <v>1.05</v>
      </c>
      <c r="M29" s="111">
        <v>0.56000000000000005</v>
      </c>
      <c r="N29" s="111">
        <v>0.82</v>
      </c>
      <c r="O29" s="111">
        <v>1.43</v>
      </c>
      <c r="P29" s="111">
        <v>1.02</v>
      </c>
      <c r="Q29" s="92"/>
      <c r="R29" s="92"/>
      <c r="S29" s="92"/>
      <c r="T29" s="92"/>
      <c r="U29" s="92"/>
      <c r="V29" s="92"/>
      <c r="W29" s="92"/>
      <c r="X29" s="92"/>
      <c r="Y29" s="92"/>
      <c r="Z29" s="92"/>
    </row>
    <row r="30" spans="1:26" ht="15.75" hidden="1" customHeight="1">
      <c r="A30" s="113" t="s">
        <v>126</v>
      </c>
      <c r="B30" s="114">
        <v>63</v>
      </c>
      <c r="C30" s="114">
        <v>1.23</v>
      </c>
      <c r="D30" s="115">
        <v>0.26329999999999998</v>
      </c>
      <c r="E30" s="115">
        <v>0.10780000000000001</v>
      </c>
      <c r="F30" s="114">
        <v>1.03</v>
      </c>
      <c r="G30" s="115">
        <v>5.5800000000000002E-2</v>
      </c>
      <c r="H30" s="114">
        <v>1.0900000000000001</v>
      </c>
      <c r="I30" s="114">
        <v>0.52690000000000003</v>
      </c>
      <c r="J30" s="115">
        <v>0.44400000000000001</v>
      </c>
      <c r="K30" s="115">
        <v>0.22989999999999999</v>
      </c>
      <c r="L30" s="114">
        <v>0.95</v>
      </c>
      <c r="M30" s="114">
        <v>0.94</v>
      </c>
      <c r="N30" s="114">
        <v>1.06</v>
      </c>
      <c r="O30" s="114">
        <v>0.99</v>
      </c>
      <c r="P30" s="114">
        <v>0.96</v>
      </c>
      <c r="Q30" s="92"/>
      <c r="R30" s="92"/>
      <c r="S30" s="92"/>
      <c r="T30" s="92"/>
      <c r="U30" s="92"/>
      <c r="V30" s="92"/>
      <c r="W30" s="92"/>
      <c r="X30" s="92"/>
      <c r="Y30" s="92"/>
      <c r="Z30" s="92"/>
    </row>
    <row r="31" spans="1:26" ht="15.75" hidden="1" customHeight="1">
      <c r="A31" s="110" t="s">
        <v>127</v>
      </c>
      <c r="B31" s="111">
        <v>35</v>
      </c>
      <c r="C31" s="111">
        <v>1.1399999999999999</v>
      </c>
      <c r="D31" s="112">
        <v>4.82E-2</v>
      </c>
      <c r="E31" s="112">
        <v>8.9899999999999994E-2</v>
      </c>
      <c r="F31" s="111">
        <v>1.1000000000000001</v>
      </c>
      <c r="G31" s="112">
        <v>1.4200000000000001E-2</v>
      </c>
      <c r="H31" s="111">
        <v>1.1200000000000001</v>
      </c>
      <c r="I31" s="111">
        <v>0.4501</v>
      </c>
      <c r="J31" s="112">
        <v>0.5262</v>
      </c>
      <c r="K31" s="112">
        <v>0.2918</v>
      </c>
      <c r="L31" s="111">
        <v>1.64</v>
      </c>
      <c r="M31" s="111">
        <v>1.1399999999999999</v>
      </c>
      <c r="N31" s="111">
        <v>1.25</v>
      </c>
      <c r="O31" s="111">
        <v>1.23</v>
      </c>
      <c r="P31" s="111">
        <v>1.27</v>
      </c>
      <c r="Q31" s="92"/>
      <c r="R31" s="92"/>
      <c r="S31" s="92"/>
      <c r="T31" s="92"/>
      <c r="U31" s="92"/>
      <c r="V31" s="92"/>
      <c r="W31" s="92"/>
      <c r="X31" s="92"/>
      <c r="Y31" s="92"/>
      <c r="Z31" s="92"/>
    </row>
    <row r="32" spans="1:26" ht="15.75" hidden="1" customHeight="1">
      <c r="A32" s="113" t="s">
        <v>128</v>
      </c>
      <c r="B32" s="114">
        <v>46</v>
      </c>
      <c r="C32" s="114">
        <v>1.29</v>
      </c>
      <c r="D32" s="115">
        <v>0.21560000000000001</v>
      </c>
      <c r="E32" s="115">
        <v>0.13550000000000001</v>
      </c>
      <c r="F32" s="114">
        <v>1.1100000000000001</v>
      </c>
      <c r="G32" s="115">
        <v>3.4000000000000002E-2</v>
      </c>
      <c r="H32" s="114">
        <v>1.1499999999999999</v>
      </c>
      <c r="I32" s="114">
        <v>0.45550000000000002</v>
      </c>
      <c r="J32" s="115">
        <v>0.47520000000000001</v>
      </c>
      <c r="K32" s="115">
        <v>0.35389999999999999</v>
      </c>
      <c r="L32" s="114">
        <v>1.1000000000000001</v>
      </c>
      <c r="M32" s="114">
        <v>0.87</v>
      </c>
      <c r="N32" s="114">
        <v>0.98</v>
      </c>
      <c r="O32" s="114">
        <v>1.08</v>
      </c>
      <c r="P32" s="114">
        <v>0.98</v>
      </c>
      <c r="Q32" s="92"/>
      <c r="R32" s="92"/>
      <c r="S32" s="92"/>
      <c r="T32" s="92"/>
      <c r="U32" s="92"/>
      <c r="V32" s="92"/>
      <c r="W32" s="92"/>
      <c r="X32" s="92"/>
      <c r="Y32" s="92"/>
      <c r="Z32" s="92"/>
    </row>
    <row r="33" spans="1:26" ht="15.75" hidden="1" customHeight="1">
      <c r="A33" s="110" t="s">
        <v>129</v>
      </c>
      <c r="B33" s="111">
        <v>21</v>
      </c>
      <c r="C33" s="111">
        <v>1.0900000000000001</v>
      </c>
      <c r="D33" s="112">
        <v>0.16089999999999999</v>
      </c>
      <c r="E33" s="112">
        <v>5.0099999999999999E-2</v>
      </c>
      <c r="F33" s="111">
        <v>0.97</v>
      </c>
      <c r="G33" s="112">
        <v>4.0800000000000003E-2</v>
      </c>
      <c r="H33" s="111">
        <v>1.01</v>
      </c>
      <c r="I33" s="111">
        <v>0.5726</v>
      </c>
      <c r="J33" s="112">
        <v>0.59350000000000003</v>
      </c>
      <c r="K33" s="112">
        <v>0.73550000000000004</v>
      </c>
      <c r="L33" s="111">
        <v>1.25</v>
      </c>
      <c r="M33" s="111">
        <v>0.89</v>
      </c>
      <c r="N33" s="111">
        <v>0.7</v>
      </c>
      <c r="O33" s="111">
        <v>0.94</v>
      </c>
      <c r="P33" s="111">
        <v>0.97</v>
      </c>
      <c r="Q33" s="92"/>
      <c r="R33" s="92"/>
      <c r="S33" s="92"/>
      <c r="T33" s="92"/>
      <c r="U33" s="92"/>
      <c r="V33" s="92"/>
      <c r="W33" s="92"/>
      <c r="X33" s="92"/>
      <c r="Y33" s="92"/>
      <c r="Z33" s="92"/>
    </row>
    <row r="34" spans="1:26" ht="15.75" hidden="1" customHeight="1">
      <c r="A34" s="113" t="s">
        <v>130</v>
      </c>
      <c r="B34" s="114">
        <v>535</v>
      </c>
      <c r="C34" s="114">
        <v>1.25</v>
      </c>
      <c r="D34" s="115">
        <v>0.1709</v>
      </c>
      <c r="E34" s="115">
        <v>1.0500000000000001E-2</v>
      </c>
      <c r="F34" s="114">
        <v>1.1100000000000001</v>
      </c>
      <c r="G34" s="115">
        <v>5.0700000000000002E-2</v>
      </c>
      <c r="H34" s="114">
        <v>1.17</v>
      </c>
      <c r="I34" s="114">
        <v>0.63149999999999995</v>
      </c>
      <c r="J34" s="115">
        <v>0.86829999999999996</v>
      </c>
      <c r="K34" s="115">
        <v>0.39350000000000002</v>
      </c>
      <c r="L34" s="114">
        <v>1.39</v>
      </c>
      <c r="M34" s="114">
        <v>0.85</v>
      </c>
      <c r="N34" s="114">
        <v>0.97</v>
      </c>
      <c r="O34" s="114">
        <v>1.2</v>
      </c>
      <c r="P34" s="114">
        <v>1.1000000000000001</v>
      </c>
      <c r="Q34" s="92"/>
      <c r="R34" s="92"/>
      <c r="S34" s="92"/>
      <c r="T34" s="92"/>
      <c r="U34" s="92"/>
      <c r="V34" s="92"/>
      <c r="W34" s="92"/>
      <c r="X34" s="92"/>
      <c r="Y34" s="92"/>
      <c r="Z34" s="92"/>
    </row>
    <row r="35" spans="1:26" ht="15.75" hidden="1" customHeight="1">
      <c r="A35" s="110" t="s">
        <v>131</v>
      </c>
      <c r="B35" s="111">
        <v>231</v>
      </c>
      <c r="C35" s="111">
        <v>1.07</v>
      </c>
      <c r="D35" s="112">
        <v>0.16889999999999999</v>
      </c>
      <c r="E35" s="112">
        <v>2.58E-2</v>
      </c>
      <c r="F35" s="111">
        <v>0.95</v>
      </c>
      <c r="G35" s="112">
        <v>3.0800000000000001E-2</v>
      </c>
      <c r="H35" s="111">
        <v>0.98</v>
      </c>
      <c r="I35" s="111">
        <v>0.65010000000000001</v>
      </c>
      <c r="J35" s="112">
        <v>0.80049999999999999</v>
      </c>
      <c r="K35" s="112">
        <v>0.25330000000000003</v>
      </c>
      <c r="L35" s="111">
        <v>1.29</v>
      </c>
      <c r="M35" s="111">
        <v>0.84</v>
      </c>
      <c r="N35" s="111">
        <v>1.01</v>
      </c>
      <c r="O35" s="111">
        <v>1.18</v>
      </c>
      <c r="P35" s="111">
        <v>1.05</v>
      </c>
      <c r="Q35" s="92"/>
      <c r="R35" s="92"/>
      <c r="S35" s="92"/>
      <c r="T35" s="92"/>
      <c r="U35" s="92"/>
      <c r="V35" s="92"/>
      <c r="W35" s="92"/>
      <c r="X35" s="92"/>
      <c r="Y35" s="92"/>
      <c r="Z35" s="92"/>
    </row>
    <row r="36" spans="1:26" ht="15.75" hidden="1" customHeight="1">
      <c r="A36" s="113" t="s">
        <v>132</v>
      </c>
      <c r="B36" s="114">
        <v>29</v>
      </c>
      <c r="C36" s="114">
        <v>0.98</v>
      </c>
      <c r="D36" s="115">
        <v>0.19439999999999999</v>
      </c>
      <c r="E36" s="115">
        <v>0.11890000000000001</v>
      </c>
      <c r="F36" s="114">
        <v>0.86</v>
      </c>
      <c r="G36" s="115">
        <v>6.9500000000000006E-2</v>
      </c>
      <c r="H36" s="114">
        <v>0.92</v>
      </c>
      <c r="I36" s="114">
        <v>0.52310000000000001</v>
      </c>
      <c r="J36" s="115">
        <v>0.55820000000000003</v>
      </c>
      <c r="K36" s="115">
        <v>0.15920000000000001</v>
      </c>
      <c r="L36" s="114">
        <v>1.36</v>
      </c>
      <c r="M36" s="114">
        <v>1.07</v>
      </c>
      <c r="N36" s="114">
        <v>1.1000000000000001</v>
      </c>
      <c r="O36" s="114">
        <v>0.99</v>
      </c>
      <c r="P36" s="114">
        <v>1.1299999999999999</v>
      </c>
      <c r="Q36" s="92"/>
      <c r="R36" s="92"/>
      <c r="S36" s="92"/>
      <c r="T36" s="92"/>
      <c r="U36" s="92"/>
      <c r="V36" s="92"/>
      <c r="W36" s="92"/>
      <c r="X36" s="92"/>
      <c r="Y36" s="92"/>
      <c r="Z36" s="92"/>
    </row>
    <row r="37" spans="1:26" ht="15.75" hidden="1" customHeight="1">
      <c r="A37" s="110" t="s">
        <v>133</v>
      </c>
      <c r="B37" s="111">
        <v>101</v>
      </c>
      <c r="C37" s="111">
        <v>1.27</v>
      </c>
      <c r="D37" s="112">
        <v>0.1484</v>
      </c>
      <c r="E37" s="112">
        <v>5.1400000000000001E-2</v>
      </c>
      <c r="F37" s="111">
        <v>1.1399999999999999</v>
      </c>
      <c r="G37" s="112">
        <v>4.87E-2</v>
      </c>
      <c r="H37" s="111">
        <v>1.2</v>
      </c>
      <c r="I37" s="111">
        <v>0.60519999999999996</v>
      </c>
      <c r="J37" s="112">
        <v>0.72119999999999995</v>
      </c>
      <c r="K37" s="112">
        <v>0.1535</v>
      </c>
      <c r="L37" s="111">
        <v>1.31</v>
      </c>
      <c r="M37" s="111">
        <v>1</v>
      </c>
      <c r="N37" s="111">
        <v>1.19</v>
      </c>
      <c r="O37" s="111">
        <v>1.43</v>
      </c>
      <c r="P37" s="111">
        <v>1.22</v>
      </c>
      <c r="Q37" s="92"/>
      <c r="R37" s="92"/>
      <c r="S37" s="92"/>
      <c r="T37" s="92"/>
      <c r="U37" s="92"/>
      <c r="V37" s="92"/>
      <c r="W37" s="92"/>
      <c r="X37" s="92"/>
      <c r="Y37" s="92"/>
      <c r="Z37" s="92"/>
    </row>
    <row r="38" spans="1:26" ht="15.75" hidden="1" customHeight="1">
      <c r="A38" s="113" t="s">
        <v>134</v>
      </c>
      <c r="B38" s="114">
        <v>11</v>
      </c>
      <c r="C38" s="114">
        <v>0.92</v>
      </c>
      <c r="D38" s="115">
        <v>0.1331</v>
      </c>
      <c r="E38" s="115">
        <v>0</v>
      </c>
      <c r="F38" s="114">
        <v>0.84</v>
      </c>
      <c r="G38" s="115">
        <v>0.1232</v>
      </c>
      <c r="H38" s="114">
        <v>0.95</v>
      </c>
      <c r="I38" s="114">
        <v>0.65400000000000003</v>
      </c>
      <c r="J38" s="115">
        <v>0.73199999999999998</v>
      </c>
      <c r="K38" s="115">
        <v>10.1122</v>
      </c>
      <c r="L38" s="114">
        <v>1.25</v>
      </c>
      <c r="M38" s="114">
        <v>1.01</v>
      </c>
      <c r="N38" s="114">
        <v>1.06</v>
      </c>
      <c r="O38" s="114">
        <v>1.61</v>
      </c>
      <c r="P38" s="114">
        <v>1.25</v>
      </c>
      <c r="Q38" s="92"/>
      <c r="R38" s="92"/>
      <c r="S38" s="92"/>
      <c r="T38" s="92"/>
      <c r="U38" s="92"/>
      <c r="V38" s="92"/>
      <c r="W38" s="92"/>
      <c r="X38" s="92"/>
      <c r="Y38" s="92"/>
      <c r="Z38" s="92"/>
    </row>
    <row r="39" spans="1:26" ht="15.75" hidden="1" customHeight="1">
      <c r="A39" s="110" t="s">
        <v>135</v>
      </c>
      <c r="B39" s="111">
        <v>122</v>
      </c>
      <c r="C39" s="111">
        <v>1.06</v>
      </c>
      <c r="D39" s="112">
        <v>0.14419999999999999</v>
      </c>
      <c r="E39" s="112">
        <v>6.59E-2</v>
      </c>
      <c r="F39" s="111">
        <v>0.96</v>
      </c>
      <c r="G39" s="112">
        <v>5.57E-2</v>
      </c>
      <c r="H39" s="111">
        <v>1.01</v>
      </c>
      <c r="I39" s="111">
        <v>0.50139999999999996</v>
      </c>
      <c r="J39" s="112">
        <v>0.61609999999999998</v>
      </c>
      <c r="K39" s="112">
        <v>0.26369999999999999</v>
      </c>
      <c r="L39" s="111">
        <v>1.07</v>
      </c>
      <c r="M39" s="111">
        <v>0.86</v>
      </c>
      <c r="N39" s="111">
        <v>1.05</v>
      </c>
      <c r="O39" s="111">
        <v>1.1200000000000001</v>
      </c>
      <c r="P39" s="111">
        <v>1</v>
      </c>
      <c r="Q39" s="92"/>
      <c r="R39" s="92"/>
      <c r="S39" s="92"/>
      <c r="T39" s="92"/>
      <c r="U39" s="92"/>
      <c r="V39" s="92"/>
      <c r="W39" s="92"/>
      <c r="X39" s="92"/>
      <c r="Y39" s="92"/>
      <c r="Z39" s="92"/>
    </row>
    <row r="40" spans="1:26" ht="15.75" customHeight="1">
      <c r="A40" s="113" t="s">
        <v>136</v>
      </c>
      <c r="B40" s="114">
        <v>42</v>
      </c>
      <c r="C40" s="114">
        <v>0.99</v>
      </c>
      <c r="D40" s="115">
        <v>0.1792</v>
      </c>
      <c r="E40" s="115">
        <v>0.14710000000000001</v>
      </c>
      <c r="F40" s="114">
        <v>0.87</v>
      </c>
      <c r="G40" s="115">
        <v>5.0500000000000003E-2</v>
      </c>
      <c r="H40" s="114">
        <v>0.92</v>
      </c>
      <c r="I40" s="114">
        <v>0.45760000000000001</v>
      </c>
      <c r="J40" s="115">
        <v>0.4733</v>
      </c>
      <c r="K40" s="115">
        <v>0.27960000000000002</v>
      </c>
      <c r="L40" s="114">
        <v>1.33</v>
      </c>
      <c r="M40" s="114">
        <v>0.95</v>
      </c>
      <c r="N40" s="114">
        <v>0.97</v>
      </c>
      <c r="O40" s="114">
        <v>1.02</v>
      </c>
      <c r="P40" s="114">
        <v>1.04</v>
      </c>
      <c r="Q40" s="92"/>
      <c r="R40" s="92"/>
      <c r="S40" s="92"/>
      <c r="T40" s="92"/>
      <c r="U40" s="92"/>
      <c r="V40" s="92"/>
      <c r="W40" s="92"/>
      <c r="X40" s="92"/>
      <c r="Y40" s="92"/>
      <c r="Z40" s="92"/>
    </row>
    <row r="41" spans="1:26" ht="15.75" hidden="1" customHeight="1">
      <c r="A41" s="110" t="s">
        <v>137</v>
      </c>
      <c r="B41" s="111">
        <v>96</v>
      </c>
      <c r="C41" s="111">
        <v>1.04</v>
      </c>
      <c r="D41" s="112">
        <v>0.2034</v>
      </c>
      <c r="E41" s="112">
        <v>2.06E-2</v>
      </c>
      <c r="F41" s="111">
        <v>0.9</v>
      </c>
      <c r="G41" s="112">
        <v>3.6700000000000003E-2</v>
      </c>
      <c r="H41" s="111">
        <v>0.94</v>
      </c>
      <c r="I41" s="111">
        <v>0.62560000000000004</v>
      </c>
      <c r="J41" s="112">
        <v>0.627</v>
      </c>
      <c r="K41" s="112">
        <v>0.30409999999999998</v>
      </c>
      <c r="L41" s="111">
        <v>1.2</v>
      </c>
      <c r="M41" s="111">
        <v>0.84</v>
      </c>
      <c r="N41" s="111">
        <v>0.96</v>
      </c>
      <c r="O41" s="111">
        <v>1.25</v>
      </c>
      <c r="P41" s="111">
        <v>1.02</v>
      </c>
      <c r="Q41" s="92"/>
      <c r="R41" s="92"/>
      <c r="S41" s="92"/>
      <c r="T41" s="92"/>
      <c r="U41" s="92"/>
      <c r="V41" s="92"/>
      <c r="W41" s="92"/>
      <c r="X41" s="92"/>
      <c r="Y41" s="92"/>
      <c r="Z41" s="92"/>
    </row>
    <row r="42" spans="1:26" ht="15.75" hidden="1" customHeight="1">
      <c r="A42" s="113" t="s">
        <v>138</v>
      </c>
      <c r="B42" s="114">
        <v>50</v>
      </c>
      <c r="C42" s="114">
        <v>0.92</v>
      </c>
      <c r="D42" s="115">
        <v>0.19320000000000001</v>
      </c>
      <c r="E42" s="115">
        <v>6.8400000000000002E-2</v>
      </c>
      <c r="F42" s="114">
        <v>0.8</v>
      </c>
      <c r="G42" s="115">
        <v>1.41E-2</v>
      </c>
      <c r="H42" s="114">
        <v>0.82</v>
      </c>
      <c r="I42" s="114">
        <v>0.56720000000000004</v>
      </c>
      <c r="J42" s="115">
        <v>0.54479999999999995</v>
      </c>
      <c r="K42" s="115">
        <v>0.31769999999999998</v>
      </c>
      <c r="L42" s="114">
        <v>1.05</v>
      </c>
      <c r="M42" s="114">
        <v>0.82</v>
      </c>
      <c r="N42" s="114">
        <v>1.0900000000000001</v>
      </c>
      <c r="O42" s="114">
        <v>0.86</v>
      </c>
      <c r="P42" s="114">
        <v>0.92</v>
      </c>
      <c r="Q42" s="92"/>
      <c r="R42" s="92"/>
      <c r="S42" s="92"/>
      <c r="T42" s="92"/>
      <c r="U42" s="92"/>
      <c r="V42" s="92"/>
      <c r="W42" s="92"/>
      <c r="X42" s="92"/>
      <c r="Y42" s="92"/>
      <c r="Z42" s="92"/>
    </row>
    <row r="43" spans="1:26" ht="15.75" hidden="1" customHeight="1">
      <c r="A43" s="110" t="s">
        <v>139</v>
      </c>
      <c r="B43" s="111">
        <v>35</v>
      </c>
      <c r="C43" s="111">
        <v>0.98</v>
      </c>
      <c r="D43" s="112">
        <v>0.5333</v>
      </c>
      <c r="E43" s="112">
        <v>8.8900000000000007E-2</v>
      </c>
      <c r="F43" s="111">
        <v>0.7</v>
      </c>
      <c r="G43" s="112">
        <v>4.1099999999999998E-2</v>
      </c>
      <c r="H43" s="111">
        <v>0.73</v>
      </c>
      <c r="I43" s="111">
        <v>0.51039999999999996</v>
      </c>
      <c r="J43" s="112">
        <v>0.69589999999999996</v>
      </c>
      <c r="K43" s="112">
        <v>0.50760000000000005</v>
      </c>
      <c r="L43" s="111">
        <v>0.63</v>
      </c>
      <c r="M43" s="111">
        <v>0.68</v>
      </c>
      <c r="N43" s="111">
        <v>0.85</v>
      </c>
      <c r="O43" s="111">
        <v>0.93</v>
      </c>
      <c r="P43" s="111">
        <v>0.77</v>
      </c>
      <c r="Q43" s="92"/>
      <c r="R43" s="92"/>
      <c r="S43" s="92"/>
      <c r="T43" s="92"/>
      <c r="U43" s="92"/>
      <c r="V43" s="92"/>
      <c r="W43" s="92"/>
      <c r="X43" s="92"/>
      <c r="Y43" s="92"/>
      <c r="Z43" s="92"/>
    </row>
    <row r="44" spans="1:26" ht="15.75" hidden="1" customHeight="1">
      <c r="A44" s="113" t="s">
        <v>140</v>
      </c>
      <c r="B44" s="114">
        <v>166</v>
      </c>
      <c r="C44" s="114">
        <v>1.07</v>
      </c>
      <c r="D44" s="115">
        <v>2.8666</v>
      </c>
      <c r="E44" s="115">
        <v>0.1181</v>
      </c>
      <c r="F44" s="114">
        <v>0.34</v>
      </c>
      <c r="G44" s="115">
        <v>2.7900000000000001E-2</v>
      </c>
      <c r="H44" s="114">
        <v>0.35</v>
      </c>
      <c r="I44" s="114">
        <v>0.3957</v>
      </c>
      <c r="J44" s="115">
        <v>0.41959999999999997</v>
      </c>
      <c r="K44" s="115">
        <v>0.34870000000000001</v>
      </c>
      <c r="L44" s="114">
        <v>0.1</v>
      </c>
      <c r="M44" s="114">
        <v>0.11</v>
      </c>
      <c r="N44" s="114">
        <v>0.15</v>
      </c>
      <c r="O44" s="114">
        <v>0.11</v>
      </c>
      <c r="P44" s="114">
        <v>0.16</v>
      </c>
      <c r="Q44" s="92"/>
      <c r="R44" s="92"/>
      <c r="S44" s="92"/>
      <c r="T44" s="92"/>
      <c r="U44" s="92"/>
      <c r="V44" s="92"/>
      <c r="W44" s="92"/>
      <c r="X44" s="92"/>
      <c r="Y44" s="92"/>
      <c r="Z44" s="92"/>
    </row>
    <row r="45" spans="1:26" ht="15.75" hidden="1" customHeight="1">
      <c r="A45" s="110" t="s">
        <v>141</v>
      </c>
      <c r="B45" s="111">
        <v>77</v>
      </c>
      <c r="C45" s="111">
        <v>0.47</v>
      </c>
      <c r="D45" s="112">
        <v>0.36520000000000002</v>
      </c>
      <c r="E45" s="112">
        <v>0.1012</v>
      </c>
      <c r="F45" s="111">
        <v>0.37</v>
      </c>
      <c r="G45" s="112">
        <v>2.7400000000000001E-2</v>
      </c>
      <c r="H45" s="111">
        <v>0.38</v>
      </c>
      <c r="I45" s="111">
        <v>0.45250000000000001</v>
      </c>
      <c r="J45" s="112">
        <v>0.4627</v>
      </c>
      <c r="K45" s="112">
        <v>0.1004</v>
      </c>
      <c r="L45" s="111">
        <v>0.7</v>
      </c>
      <c r="M45" s="111">
        <v>0.53</v>
      </c>
      <c r="N45" s="111">
        <v>0.63</v>
      </c>
      <c r="O45" s="111">
        <v>0.77</v>
      </c>
      <c r="P45" s="111">
        <v>0.64</v>
      </c>
      <c r="Q45" s="92"/>
      <c r="R45" s="92"/>
      <c r="S45" s="92"/>
      <c r="T45" s="92"/>
      <c r="U45" s="92"/>
      <c r="V45" s="92"/>
      <c r="W45" s="92"/>
      <c r="X45" s="92"/>
      <c r="Y45" s="92"/>
      <c r="Z45" s="92"/>
    </row>
    <row r="46" spans="1:26" ht="15.75" hidden="1" customHeight="1">
      <c r="A46" s="113" t="s">
        <v>142</v>
      </c>
      <c r="B46" s="114">
        <v>14</v>
      </c>
      <c r="C46" s="114">
        <v>0.72</v>
      </c>
      <c r="D46" s="115">
        <v>0.43280000000000002</v>
      </c>
      <c r="E46" s="115">
        <v>0.15529999999999999</v>
      </c>
      <c r="F46" s="114">
        <v>0.54</v>
      </c>
      <c r="G46" s="115">
        <v>1.3899999999999999E-2</v>
      </c>
      <c r="H46" s="114">
        <v>0.55000000000000004</v>
      </c>
      <c r="I46" s="114">
        <v>0.34460000000000002</v>
      </c>
      <c r="J46" s="115">
        <v>0.39169999999999999</v>
      </c>
      <c r="K46" s="115">
        <v>0.33579999999999999</v>
      </c>
      <c r="L46" s="114">
        <v>0.66</v>
      </c>
      <c r="M46" s="114">
        <v>0.8</v>
      </c>
      <c r="N46" s="114">
        <v>1.08</v>
      </c>
      <c r="O46" s="114">
        <v>0.85</v>
      </c>
      <c r="P46" s="114">
        <v>0.82</v>
      </c>
      <c r="Q46" s="92"/>
      <c r="R46" s="92"/>
      <c r="S46" s="92"/>
      <c r="T46" s="92"/>
      <c r="U46" s="92"/>
      <c r="V46" s="92"/>
      <c r="W46" s="92"/>
      <c r="X46" s="92"/>
      <c r="Y46" s="92"/>
      <c r="Z46" s="92"/>
    </row>
    <row r="47" spans="1:26" ht="15.75" hidden="1" customHeight="1">
      <c r="A47" s="110" t="s">
        <v>143</v>
      </c>
      <c r="B47" s="111">
        <v>28</v>
      </c>
      <c r="C47" s="111">
        <v>0.87</v>
      </c>
      <c r="D47" s="112">
        <v>0.41930000000000001</v>
      </c>
      <c r="E47" s="112">
        <v>0.11609999999999999</v>
      </c>
      <c r="F47" s="111">
        <v>0.66</v>
      </c>
      <c r="G47" s="112">
        <v>4.5199999999999997E-2</v>
      </c>
      <c r="H47" s="111">
        <v>0.69</v>
      </c>
      <c r="I47" s="111">
        <v>0.4093</v>
      </c>
      <c r="J47" s="112">
        <v>0.54800000000000004</v>
      </c>
      <c r="K47" s="112">
        <v>0.221</v>
      </c>
      <c r="L47" s="111">
        <v>0.82</v>
      </c>
      <c r="M47" s="111">
        <v>0.78</v>
      </c>
      <c r="N47" s="111">
        <v>0.99</v>
      </c>
      <c r="O47" s="111">
        <v>0.95</v>
      </c>
      <c r="P47" s="111">
        <v>0.88</v>
      </c>
      <c r="Q47" s="92"/>
      <c r="R47" s="92"/>
      <c r="S47" s="92"/>
      <c r="T47" s="92"/>
      <c r="U47" s="92"/>
      <c r="V47" s="92"/>
      <c r="W47" s="92"/>
      <c r="X47" s="92"/>
      <c r="Y47" s="92"/>
      <c r="Z47" s="92"/>
    </row>
    <row r="48" spans="1:26" ht="15.75" hidden="1" customHeight="1">
      <c r="A48" s="113" t="s">
        <v>144</v>
      </c>
      <c r="B48" s="114">
        <v>18</v>
      </c>
      <c r="C48" s="114">
        <v>1.1299999999999999</v>
      </c>
      <c r="D48" s="115">
        <v>1.7618</v>
      </c>
      <c r="E48" s="115">
        <v>1.2200000000000001E-2</v>
      </c>
      <c r="F48" s="114">
        <v>0.49</v>
      </c>
      <c r="G48" s="115">
        <v>2.7099999999999999E-2</v>
      </c>
      <c r="H48" s="114">
        <v>0.5</v>
      </c>
      <c r="I48" s="114">
        <v>0.67390000000000005</v>
      </c>
      <c r="J48" s="115">
        <v>0.71930000000000005</v>
      </c>
      <c r="K48" s="115">
        <v>0.4118</v>
      </c>
      <c r="L48" s="114">
        <v>0.59</v>
      </c>
      <c r="M48" s="114">
        <v>0.68</v>
      </c>
      <c r="N48" s="114">
        <v>1.1000000000000001</v>
      </c>
      <c r="O48" s="114">
        <v>0.88</v>
      </c>
      <c r="P48" s="114">
        <v>0.76</v>
      </c>
      <c r="Q48" s="92"/>
      <c r="R48" s="92"/>
      <c r="S48" s="92"/>
      <c r="T48" s="92"/>
      <c r="U48" s="92"/>
      <c r="V48" s="92"/>
      <c r="W48" s="92"/>
      <c r="X48" s="92"/>
      <c r="Y48" s="92"/>
      <c r="Z48" s="92"/>
    </row>
    <row r="49" spans="1:26" ht="15.75" hidden="1" customHeight="1">
      <c r="A49" s="110" t="s">
        <v>145</v>
      </c>
      <c r="B49" s="111">
        <v>218</v>
      </c>
      <c r="C49" s="111">
        <v>1.01</v>
      </c>
      <c r="D49" s="112">
        <v>0.12790000000000001</v>
      </c>
      <c r="E49" s="112">
        <v>4.1000000000000002E-2</v>
      </c>
      <c r="F49" s="111">
        <v>0.92</v>
      </c>
      <c r="G49" s="112">
        <v>3.3799999999999997E-2</v>
      </c>
      <c r="H49" s="111">
        <v>0.96</v>
      </c>
      <c r="I49" s="111">
        <v>0.55189999999999995</v>
      </c>
      <c r="J49" s="112">
        <v>0.67410000000000003</v>
      </c>
      <c r="K49" s="112">
        <v>0.32719999999999999</v>
      </c>
      <c r="L49" s="111">
        <v>0.98</v>
      </c>
      <c r="M49" s="111">
        <v>0.8</v>
      </c>
      <c r="N49" s="111">
        <v>0.91</v>
      </c>
      <c r="O49" s="111">
        <v>1.1000000000000001</v>
      </c>
      <c r="P49" s="111">
        <v>0.96</v>
      </c>
      <c r="Q49" s="92"/>
      <c r="R49" s="92"/>
      <c r="S49" s="92"/>
      <c r="T49" s="92"/>
      <c r="U49" s="92"/>
      <c r="V49" s="92"/>
      <c r="W49" s="92"/>
      <c r="X49" s="92"/>
      <c r="Y49" s="92"/>
      <c r="Z49" s="92"/>
    </row>
    <row r="50" spans="1:26" ht="15.75" hidden="1" customHeight="1">
      <c r="A50" s="113" t="s">
        <v>146</v>
      </c>
      <c r="B50" s="114">
        <v>113</v>
      </c>
      <c r="C50" s="114">
        <v>0.94</v>
      </c>
      <c r="D50" s="115">
        <v>0.32200000000000001</v>
      </c>
      <c r="E50" s="115">
        <v>8.7999999999999995E-2</v>
      </c>
      <c r="F50" s="114">
        <v>0.76</v>
      </c>
      <c r="G50" s="115">
        <v>7.0199999999999999E-2</v>
      </c>
      <c r="H50" s="114">
        <v>0.82</v>
      </c>
      <c r="I50" s="114">
        <v>0.55779999999999996</v>
      </c>
      <c r="J50" s="115">
        <v>0.54</v>
      </c>
      <c r="K50" s="115">
        <v>0.26429999999999998</v>
      </c>
      <c r="L50" s="114">
        <v>0.95</v>
      </c>
      <c r="M50" s="114">
        <v>0.74</v>
      </c>
      <c r="N50" s="114">
        <v>0.95</v>
      </c>
      <c r="O50" s="114">
        <v>1.07</v>
      </c>
      <c r="P50" s="114">
        <v>0.93</v>
      </c>
      <c r="Q50" s="92"/>
      <c r="R50" s="92"/>
      <c r="S50" s="92"/>
      <c r="T50" s="92"/>
      <c r="U50" s="92"/>
      <c r="V50" s="92"/>
      <c r="W50" s="92"/>
      <c r="X50" s="92"/>
      <c r="Y50" s="92"/>
      <c r="Z50" s="92"/>
    </row>
    <row r="51" spans="1:26" ht="15.75" hidden="1" customHeight="1">
      <c r="A51" s="110" t="s">
        <v>147</v>
      </c>
      <c r="B51" s="111">
        <v>116</v>
      </c>
      <c r="C51" s="111">
        <v>1.22</v>
      </c>
      <c r="D51" s="112">
        <v>0.16200000000000001</v>
      </c>
      <c r="E51" s="112">
        <v>3.8199999999999998E-2</v>
      </c>
      <c r="F51" s="111">
        <v>1.0900000000000001</v>
      </c>
      <c r="G51" s="112">
        <v>2.93E-2</v>
      </c>
      <c r="H51" s="111">
        <v>1.1200000000000001</v>
      </c>
      <c r="I51" s="111">
        <v>0.54969999999999997</v>
      </c>
      <c r="J51" s="112">
        <v>0.64539999999999997</v>
      </c>
      <c r="K51" s="112">
        <v>0.44240000000000002</v>
      </c>
      <c r="L51" s="111">
        <v>1.1499999999999999</v>
      </c>
      <c r="M51" s="111">
        <v>0.75</v>
      </c>
      <c r="N51" s="111">
        <v>0.91</v>
      </c>
      <c r="O51" s="111">
        <v>1.37</v>
      </c>
      <c r="P51" s="111">
        <v>1.07</v>
      </c>
      <c r="Q51" s="92"/>
      <c r="R51" s="92"/>
      <c r="S51" s="92"/>
      <c r="T51" s="92"/>
      <c r="U51" s="92"/>
      <c r="V51" s="92"/>
      <c r="W51" s="92"/>
      <c r="X51" s="92"/>
      <c r="Y51" s="92"/>
      <c r="Z51" s="92"/>
    </row>
    <row r="52" spans="1:26" ht="15.75" hidden="1" customHeight="1">
      <c r="A52" s="113" t="s">
        <v>148</v>
      </c>
      <c r="B52" s="114">
        <v>30</v>
      </c>
      <c r="C52" s="114">
        <v>1.43</v>
      </c>
      <c r="D52" s="115">
        <v>0.17499999999999999</v>
      </c>
      <c r="E52" s="115">
        <v>0.17730000000000001</v>
      </c>
      <c r="F52" s="114">
        <v>1.26</v>
      </c>
      <c r="G52" s="115">
        <v>8.3099999999999993E-2</v>
      </c>
      <c r="H52" s="114">
        <v>1.38</v>
      </c>
      <c r="I52" s="114">
        <v>0.34360000000000002</v>
      </c>
      <c r="J52" s="115">
        <v>0.4143</v>
      </c>
      <c r="K52" s="115">
        <v>0.6764</v>
      </c>
      <c r="L52" s="114">
        <v>0.66</v>
      </c>
      <c r="M52" s="114">
        <v>1.33</v>
      </c>
      <c r="N52" s="114">
        <v>1.59</v>
      </c>
      <c r="O52" s="114">
        <v>1.33</v>
      </c>
      <c r="P52" s="114">
        <v>1.25</v>
      </c>
      <c r="Q52" s="92"/>
      <c r="R52" s="92"/>
      <c r="S52" s="92"/>
      <c r="T52" s="92"/>
      <c r="U52" s="92"/>
      <c r="V52" s="92"/>
      <c r="W52" s="92"/>
      <c r="X52" s="92"/>
      <c r="Y52" s="92"/>
      <c r="Z52" s="92"/>
    </row>
    <row r="53" spans="1:26" ht="15.75" hidden="1" customHeight="1">
      <c r="A53" s="110" t="s">
        <v>149</v>
      </c>
      <c r="B53" s="111">
        <v>33</v>
      </c>
      <c r="C53" s="111">
        <v>0.86</v>
      </c>
      <c r="D53" s="112">
        <v>0.77149999999999996</v>
      </c>
      <c r="E53" s="112">
        <v>9.0499999999999997E-2</v>
      </c>
      <c r="F53" s="111">
        <v>0.54</v>
      </c>
      <c r="G53" s="112">
        <v>3.95E-2</v>
      </c>
      <c r="H53" s="111">
        <v>0.56999999999999995</v>
      </c>
      <c r="I53" s="111">
        <v>0.53549999999999998</v>
      </c>
      <c r="J53" s="112">
        <v>0.5081</v>
      </c>
      <c r="K53" s="112">
        <v>0.18229999999999999</v>
      </c>
      <c r="L53" s="111">
        <v>0.63</v>
      </c>
      <c r="M53" s="111">
        <v>0.8</v>
      </c>
      <c r="N53" s="111">
        <v>0.96</v>
      </c>
      <c r="O53" s="111">
        <v>0.72</v>
      </c>
      <c r="P53" s="111">
        <v>0.73</v>
      </c>
      <c r="Q53" s="92"/>
      <c r="R53" s="92"/>
      <c r="S53" s="92"/>
      <c r="T53" s="92"/>
      <c r="U53" s="92"/>
      <c r="V53" s="92"/>
      <c r="W53" s="92"/>
      <c r="X53" s="92"/>
      <c r="Y53" s="92"/>
      <c r="Z53" s="92"/>
    </row>
    <row r="54" spans="1:26" ht="15.75" hidden="1" customHeight="1">
      <c r="A54" s="113" t="s">
        <v>150</v>
      </c>
      <c r="B54" s="114">
        <v>65</v>
      </c>
      <c r="C54" s="114">
        <v>1.19</v>
      </c>
      <c r="D54" s="115">
        <v>0.43209999999999998</v>
      </c>
      <c r="E54" s="115">
        <v>0.1065</v>
      </c>
      <c r="F54" s="114">
        <v>0.9</v>
      </c>
      <c r="G54" s="115">
        <v>5.1700000000000003E-2</v>
      </c>
      <c r="H54" s="114">
        <v>0.95</v>
      </c>
      <c r="I54" s="114">
        <v>0.43440000000000001</v>
      </c>
      <c r="J54" s="115">
        <v>0.45100000000000001</v>
      </c>
      <c r="K54" s="115">
        <v>1.0192000000000001</v>
      </c>
      <c r="L54" s="114">
        <v>0.91</v>
      </c>
      <c r="M54" s="114">
        <v>1.19</v>
      </c>
      <c r="N54" s="114">
        <v>1.44</v>
      </c>
      <c r="O54" s="114">
        <v>1.06</v>
      </c>
      <c r="P54" s="114">
        <v>1.1299999999999999</v>
      </c>
      <c r="Q54" s="92"/>
      <c r="R54" s="92"/>
      <c r="S54" s="92"/>
      <c r="T54" s="92"/>
      <c r="U54" s="92"/>
      <c r="V54" s="92"/>
      <c r="W54" s="92"/>
      <c r="X54" s="92"/>
      <c r="Y54" s="92"/>
      <c r="Z54" s="92"/>
    </row>
    <row r="55" spans="1:26" ht="15.75" hidden="1" customHeight="1">
      <c r="A55" s="110" t="s">
        <v>151</v>
      </c>
      <c r="B55" s="111">
        <v>101</v>
      </c>
      <c r="C55" s="111">
        <v>0.9</v>
      </c>
      <c r="D55" s="112">
        <v>0.1522</v>
      </c>
      <c r="E55" s="112">
        <v>0.08</v>
      </c>
      <c r="F55" s="111">
        <v>0.81</v>
      </c>
      <c r="G55" s="112">
        <v>3.0700000000000002E-2</v>
      </c>
      <c r="H55" s="111">
        <v>0.83</v>
      </c>
      <c r="I55" s="111">
        <v>0.63039999999999996</v>
      </c>
      <c r="J55" s="112">
        <v>0.56669999999999998</v>
      </c>
      <c r="K55" s="112">
        <v>0.1191</v>
      </c>
      <c r="L55" s="111">
        <v>0.94</v>
      </c>
      <c r="M55" s="111">
        <v>0.68</v>
      </c>
      <c r="N55" s="111">
        <v>0.92</v>
      </c>
      <c r="O55" s="111">
        <v>1.06</v>
      </c>
      <c r="P55" s="111">
        <v>0.86</v>
      </c>
      <c r="Q55" s="92"/>
      <c r="R55" s="92"/>
      <c r="S55" s="92"/>
      <c r="T55" s="92"/>
      <c r="U55" s="92"/>
      <c r="V55" s="92"/>
      <c r="W55" s="92"/>
      <c r="X55" s="92"/>
      <c r="Y55" s="92"/>
      <c r="Z55" s="92"/>
    </row>
    <row r="56" spans="1:26" ht="15.75" hidden="1" customHeight="1">
      <c r="A56" s="116" t="s">
        <v>152</v>
      </c>
      <c r="B56" s="114">
        <v>16</v>
      </c>
      <c r="C56" s="114">
        <v>0.98</v>
      </c>
      <c r="D56" s="115">
        <v>0.35370000000000001</v>
      </c>
      <c r="E56" s="115">
        <v>0.1537</v>
      </c>
      <c r="F56" s="114">
        <v>0.77</v>
      </c>
      <c r="G56" s="115">
        <v>3.1199999999999999E-2</v>
      </c>
      <c r="H56" s="114">
        <v>0.8</v>
      </c>
      <c r="I56" s="114">
        <v>0.42409999999999998</v>
      </c>
      <c r="J56" s="115">
        <v>0.39660000000000001</v>
      </c>
      <c r="K56" s="115">
        <v>0.44390000000000002</v>
      </c>
      <c r="L56" s="114">
        <v>1.03</v>
      </c>
      <c r="M56" s="114">
        <v>0.97</v>
      </c>
      <c r="N56" s="114">
        <v>1.2</v>
      </c>
      <c r="O56" s="114">
        <v>1.33</v>
      </c>
      <c r="P56" s="114">
        <v>1.06</v>
      </c>
      <c r="Q56" s="92"/>
      <c r="R56" s="92"/>
      <c r="S56" s="92"/>
      <c r="T56" s="92"/>
      <c r="U56" s="92"/>
      <c r="V56" s="92"/>
      <c r="W56" s="92"/>
      <c r="X56" s="92"/>
      <c r="Y56" s="92"/>
      <c r="Z56" s="92"/>
    </row>
    <row r="57" spans="1:26" ht="15.75" hidden="1" customHeight="1">
      <c r="A57" s="110" t="s">
        <v>153</v>
      </c>
      <c r="B57" s="111">
        <v>22</v>
      </c>
      <c r="C57" s="111">
        <v>0.76</v>
      </c>
      <c r="D57" s="112">
        <v>0.17349999999999999</v>
      </c>
      <c r="E57" s="112">
        <v>8.7800000000000003E-2</v>
      </c>
      <c r="F57" s="111">
        <v>0.67</v>
      </c>
      <c r="G57" s="112">
        <v>2.4500000000000001E-2</v>
      </c>
      <c r="H57" s="111">
        <v>0.69</v>
      </c>
      <c r="I57" s="111">
        <v>0.36370000000000002</v>
      </c>
      <c r="J57" s="112">
        <v>0.5101</v>
      </c>
      <c r="K57" s="112">
        <v>0.52590000000000003</v>
      </c>
      <c r="L57" s="111">
        <v>0.59</v>
      </c>
      <c r="M57" s="111">
        <v>0.56000000000000005</v>
      </c>
      <c r="N57" s="111">
        <v>0.81</v>
      </c>
      <c r="O57" s="111">
        <v>1.03</v>
      </c>
      <c r="P57" s="111">
        <v>0.78</v>
      </c>
      <c r="Q57" s="92"/>
      <c r="R57" s="92"/>
      <c r="S57" s="92"/>
      <c r="T57" s="92"/>
      <c r="U57" s="92"/>
      <c r="V57" s="92"/>
      <c r="W57" s="92"/>
      <c r="X57" s="92"/>
      <c r="Y57" s="92"/>
      <c r="Z57" s="92"/>
    </row>
    <row r="58" spans="1:26" ht="15.75" hidden="1" customHeight="1">
      <c r="A58" s="113" t="s">
        <v>154</v>
      </c>
      <c r="B58" s="114">
        <v>19</v>
      </c>
      <c r="C58" s="114">
        <v>0.73</v>
      </c>
      <c r="D58" s="115">
        <v>0.62729999999999997</v>
      </c>
      <c r="E58" s="115">
        <v>0.14510000000000001</v>
      </c>
      <c r="F58" s="114">
        <v>0.5</v>
      </c>
      <c r="G58" s="115">
        <v>0.1981</v>
      </c>
      <c r="H58" s="114">
        <v>0.62</v>
      </c>
      <c r="I58" s="114">
        <v>0.25580000000000003</v>
      </c>
      <c r="J58" s="115">
        <v>0.34310000000000002</v>
      </c>
      <c r="K58" s="115">
        <v>0.28770000000000001</v>
      </c>
      <c r="L58" s="114">
        <v>0.73</v>
      </c>
      <c r="M58" s="114">
        <v>0.64</v>
      </c>
      <c r="N58" s="114">
        <v>0.88</v>
      </c>
      <c r="O58" s="114">
        <v>0.67</v>
      </c>
      <c r="P58" s="114">
        <v>0.69</v>
      </c>
      <c r="Q58" s="92"/>
      <c r="R58" s="92"/>
      <c r="S58" s="92"/>
      <c r="T58" s="92"/>
      <c r="U58" s="92"/>
      <c r="V58" s="92"/>
      <c r="W58" s="92"/>
      <c r="X58" s="92"/>
      <c r="Y58" s="92"/>
      <c r="Z58" s="92"/>
    </row>
    <row r="59" spans="1:26" ht="15.75" hidden="1" customHeight="1">
      <c r="A59" s="110" t="s">
        <v>155</v>
      </c>
      <c r="B59" s="111">
        <v>53</v>
      </c>
      <c r="C59" s="111">
        <v>0.61</v>
      </c>
      <c r="D59" s="112">
        <v>0.15459999999999999</v>
      </c>
      <c r="E59" s="112">
        <v>0.1605</v>
      </c>
      <c r="F59" s="111">
        <v>0.55000000000000004</v>
      </c>
      <c r="G59" s="112">
        <v>4.6199999999999998E-2</v>
      </c>
      <c r="H59" s="111">
        <v>0.56999999999999995</v>
      </c>
      <c r="I59" s="111">
        <v>0.29139999999999999</v>
      </c>
      <c r="J59" s="112">
        <v>0.33689999999999998</v>
      </c>
      <c r="K59" s="112">
        <v>0.29880000000000001</v>
      </c>
      <c r="L59" s="111">
        <v>0.59</v>
      </c>
      <c r="M59" s="111">
        <v>0.57999999999999996</v>
      </c>
      <c r="N59" s="111">
        <v>0.78</v>
      </c>
      <c r="O59" s="111">
        <v>0.73</v>
      </c>
      <c r="P59" s="111">
        <v>0.67</v>
      </c>
      <c r="Q59" s="92"/>
      <c r="R59" s="92"/>
      <c r="S59" s="92"/>
      <c r="T59" s="92"/>
      <c r="U59" s="92"/>
      <c r="V59" s="92"/>
      <c r="W59" s="92"/>
      <c r="X59" s="92"/>
      <c r="Y59" s="92"/>
      <c r="Z59" s="92"/>
    </row>
    <row r="60" spans="1:26" ht="15.75" hidden="1" customHeight="1">
      <c r="A60" s="113" t="s">
        <v>156</v>
      </c>
      <c r="B60" s="114">
        <v>231</v>
      </c>
      <c r="C60" s="114">
        <v>0.56999999999999995</v>
      </c>
      <c r="D60" s="115">
        <v>0.35039999999999999</v>
      </c>
      <c r="E60" s="115">
        <v>6.1899999999999997E-2</v>
      </c>
      <c r="F60" s="114">
        <v>0.45</v>
      </c>
      <c r="G60" s="115">
        <v>0.10059999999999999</v>
      </c>
      <c r="H60" s="114">
        <v>0.5</v>
      </c>
      <c r="I60" s="114">
        <v>0.26679999999999998</v>
      </c>
      <c r="J60" s="115">
        <v>0.22939999999999999</v>
      </c>
      <c r="K60" s="115">
        <v>0.19980000000000001</v>
      </c>
      <c r="L60" s="114">
        <v>0.86</v>
      </c>
      <c r="M60" s="114">
        <v>0.78</v>
      </c>
      <c r="N60" s="114">
        <v>0.97</v>
      </c>
      <c r="O60" s="114">
        <v>0.54</v>
      </c>
      <c r="P60" s="114">
        <v>0.71</v>
      </c>
      <c r="Q60" s="92"/>
      <c r="R60" s="92"/>
      <c r="S60" s="92"/>
      <c r="T60" s="92"/>
      <c r="U60" s="92"/>
      <c r="V60" s="92"/>
      <c r="W60" s="92"/>
      <c r="X60" s="92"/>
      <c r="Y60" s="92"/>
      <c r="Z60" s="92"/>
    </row>
    <row r="61" spans="1:26" ht="15.75" hidden="1" customHeight="1">
      <c r="A61" s="110" t="s">
        <v>157</v>
      </c>
      <c r="B61" s="111">
        <v>109</v>
      </c>
      <c r="C61" s="111">
        <v>1.07</v>
      </c>
      <c r="D61" s="112">
        <v>0.157</v>
      </c>
      <c r="E61" s="112">
        <v>0.11219999999999999</v>
      </c>
      <c r="F61" s="111">
        <v>0.96</v>
      </c>
      <c r="G61" s="112">
        <v>2.92E-2</v>
      </c>
      <c r="H61" s="111">
        <v>0.98</v>
      </c>
      <c r="I61" s="111">
        <v>0.42670000000000002</v>
      </c>
      <c r="J61" s="112">
        <v>0.4607</v>
      </c>
      <c r="K61" s="112">
        <v>0.20519999999999999</v>
      </c>
      <c r="L61" s="111">
        <v>1.1000000000000001</v>
      </c>
      <c r="M61" s="111">
        <v>0.96</v>
      </c>
      <c r="N61" s="111">
        <v>1.18</v>
      </c>
      <c r="O61" s="111">
        <v>1.0900000000000001</v>
      </c>
      <c r="P61" s="111">
        <v>1.05</v>
      </c>
      <c r="Q61" s="92"/>
      <c r="R61" s="92"/>
      <c r="S61" s="92"/>
      <c r="T61" s="92"/>
      <c r="U61" s="92"/>
      <c r="V61" s="92"/>
      <c r="W61" s="92"/>
      <c r="X61" s="92"/>
      <c r="Y61" s="92"/>
      <c r="Z61" s="92"/>
    </row>
    <row r="62" spans="1:26" ht="15.75" hidden="1" customHeight="1">
      <c r="A62" s="113" t="s">
        <v>158</v>
      </c>
      <c r="B62" s="114">
        <v>64</v>
      </c>
      <c r="C62" s="114">
        <v>1.02</v>
      </c>
      <c r="D62" s="115">
        <v>0.1676</v>
      </c>
      <c r="E62" s="115">
        <v>1.7999999999999999E-2</v>
      </c>
      <c r="F62" s="114">
        <v>0.91</v>
      </c>
      <c r="G62" s="115">
        <v>5.5599999999999997E-2</v>
      </c>
      <c r="H62" s="114">
        <v>0.96</v>
      </c>
      <c r="I62" s="114">
        <v>0.61029999999999995</v>
      </c>
      <c r="J62" s="115">
        <v>0.72370000000000001</v>
      </c>
      <c r="K62" s="115">
        <v>0.53549999999999998</v>
      </c>
      <c r="L62" s="114">
        <v>1.0900000000000001</v>
      </c>
      <c r="M62" s="114">
        <v>0.82</v>
      </c>
      <c r="N62" s="114">
        <v>1.1299999999999999</v>
      </c>
      <c r="O62" s="114">
        <v>1.22</v>
      </c>
      <c r="P62" s="114">
        <v>1.03</v>
      </c>
      <c r="Q62" s="92"/>
      <c r="R62" s="92"/>
      <c r="S62" s="92"/>
      <c r="T62" s="92"/>
      <c r="U62" s="92"/>
      <c r="V62" s="92"/>
      <c r="W62" s="92"/>
      <c r="X62" s="92"/>
      <c r="Y62" s="92"/>
      <c r="Z62" s="92"/>
    </row>
    <row r="63" spans="1:26" ht="15.75" hidden="1" customHeight="1">
      <c r="A63" s="110" t="s">
        <v>159</v>
      </c>
      <c r="B63" s="111">
        <v>14</v>
      </c>
      <c r="C63" s="111">
        <v>1.2</v>
      </c>
      <c r="D63" s="112">
        <v>0.46510000000000001</v>
      </c>
      <c r="E63" s="112">
        <v>0.13450000000000001</v>
      </c>
      <c r="F63" s="111">
        <v>0.89</v>
      </c>
      <c r="G63" s="112">
        <v>7.6499999999999999E-2</v>
      </c>
      <c r="H63" s="111">
        <v>0.96</v>
      </c>
      <c r="I63" s="111">
        <v>0.37769999999999998</v>
      </c>
      <c r="J63" s="112">
        <v>0.49890000000000001</v>
      </c>
      <c r="K63" s="112">
        <v>0.17100000000000001</v>
      </c>
      <c r="L63" s="111">
        <v>1.24</v>
      </c>
      <c r="M63" s="111">
        <v>0.83</v>
      </c>
      <c r="N63" s="111">
        <v>1.1100000000000001</v>
      </c>
      <c r="O63" s="111">
        <v>0.84</v>
      </c>
      <c r="P63" s="111">
        <v>0.98</v>
      </c>
      <c r="Q63" s="92"/>
      <c r="R63" s="92"/>
      <c r="S63" s="92"/>
      <c r="T63" s="92"/>
      <c r="U63" s="92"/>
      <c r="V63" s="92"/>
      <c r="W63" s="92"/>
      <c r="X63" s="92"/>
      <c r="Y63" s="92"/>
      <c r="Z63" s="92"/>
    </row>
    <row r="64" spans="1:26" ht="15.75" hidden="1" customHeight="1">
      <c r="A64" s="113" t="s">
        <v>160</v>
      </c>
      <c r="B64" s="114">
        <v>4</v>
      </c>
      <c r="C64" s="114">
        <v>0.48</v>
      </c>
      <c r="D64" s="115">
        <v>0.1371</v>
      </c>
      <c r="E64" s="115">
        <v>0.25230000000000002</v>
      </c>
      <c r="F64" s="114">
        <v>0.44</v>
      </c>
      <c r="G64" s="115">
        <v>3.7699999999999997E-2</v>
      </c>
      <c r="H64" s="114">
        <v>0.46</v>
      </c>
      <c r="I64" s="114">
        <v>0.182</v>
      </c>
      <c r="J64" s="115">
        <v>0.25559999999999999</v>
      </c>
      <c r="K64" s="115">
        <v>1.0790999999999999</v>
      </c>
      <c r="L64" s="114">
        <v>1.1200000000000001</v>
      </c>
      <c r="M64" s="114">
        <v>0.98</v>
      </c>
      <c r="N64" s="114">
        <v>1.25</v>
      </c>
      <c r="O64" s="114">
        <v>0.95</v>
      </c>
      <c r="P64" s="114">
        <v>0.99</v>
      </c>
      <c r="Q64" s="92"/>
      <c r="R64" s="92"/>
      <c r="S64" s="92"/>
      <c r="T64" s="92"/>
      <c r="U64" s="92"/>
      <c r="V64" s="92"/>
      <c r="W64" s="92"/>
      <c r="X64" s="92"/>
      <c r="Y64" s="92"/>
      <c r="Z64" s="92"/>
    </row>
    <row r="65" spans="1:26" ht="15.75" hidden="1" customHeight="1">
      <c r="A65" s="110" t="s">
        <v>161</v>
      </c>
      <c r="B65" s="111">
        <v>147</v>
      </c>
      <c r="C65" s="111">
        <v>0.88</v>
      </c>
      <c r="D65" s="112">
        <v>0.26650000000000001</v>
      </c>
      <c r="E65" s="112">
        <v>7.0999999999999994E-2</v>
      </c>
      <c r="F65" s="111">
        <v>0.73</v>
      </c>
      <c r="G65" s="112">
        <v>3.2500000000000001E-2</v>
      </c>
      <c r="H65" s="111">
        <v>0.75</v>
      </c>
      <c r="I65" s="111">
        <v>0.45810000000000001</v>
      </c>
      <c r="J65" s="112">
        <v>0.47660000000000002</v>
      </c>
      <c r="K65" s="112">
        <v>2.0053000000000001</v>
      </c>
      <c r="L65" s="111">
        <v>1.08</v>
      </c>
      <c r="M65" s="111">
        <v>0.81</v>
      </c>
      <c r="N65" s="111">
        <v>1.1299999999999999</v>
      </c>
      <c r="O65" s="111">
        <v>1.1399999999999999</v>
      </c>
      <c r="P65" s="111">
        <v>0.99</v>
      </c>
      <c r="Q65" s="92"/>
      <c r="R65" s="92"/>
      <c r="S65" s="92"/>
      <c r="T65" s="92"/>
      <c r="U65" s="92"/>
      <c r="V65" s="92"/>
      <c r="W65" s="92"/>
      <c r="X65" s="92"/>
      <c r="Y65" s="92"/>
      <c r="Z65" s="92"/>
    </row>
    <row r="66" spans="1:26" ht="15.75" hidden="1" customHeight="1">
      <c r="A66" s="113" t="s">
        <v>162</v>
      </c>
      <c r="B66" s="114">
        <v>24</v>
      </c>
      <c r="C66" s="114">
        <v>0.75</v>
      </c>
      <c r="D66" s="115">
        <v>0.51539999999999997</v>
      </c>
      <c r="E66" s="115">
        <v>0.12479999999999999</v>
      </c>
      <c r="F66" s="114">
        <v>0.54</v>
      </c>
      <c r="G66" s="115">
        <v>1.17E-2</v>
      </c>
      <c r="H66" s="114">
        <v>0.55000000000000004</v>
      </c>
      <c r="I66" s="114">
        <v>0.42580000000000001</v>
      </c>
      <c r="J66" s="115">
        <v>0.38169999999999998</v>
      </c>
      <c r="K66" s="115">
        <v>0.60129999999999995</v>
      </c>
      <c r="L66" s="114">
        <v>0.62</v>
      </c>
      <c r="M66" s="114">
        <v>0.6</v>
      </c>
      <c r="N66" s="114">
        <v>0.86</v>
      </c>
      <c r="O66" s="114">
        <v>0.66</v>
      </c>
      <c r="P66" s="114">
        <v>0.65</v>
      </c>
      <c r="Q66" s="92"/>
      <c r="R66" s="92"/>
      <c r="S66" s="92"/>
      <c r="T66" s="92"/>
      <c r="U66" s="92"/>
      <c r="V66" s="92"/>
      <c r="W66" s="92"/>
      <c r="X66" s="92"/>
      <c r="Y66" s="92"/>
      <c r="Z66" s="92"/>
    </row>
    <row r="67" spans="1:26" ht="15.75" hidden="1" customHeight="1">
      <c r="A67" s="110" t="s">
        <v>163</v>
      </c>
      <c r="B67" s="111">
        <v>97</v>
      </c>
      <c r="C67" s="111">
        <v>0.94</v>
      </c>
      <c r="D67" s="112">
        <v>0.38519999999999999</v>
      </c>
      <c r="E67" s="112">
        <v>9.0800000000000006E-2</v>
      </c>
      <c r="F67" s="111">
        <v>0.73</v>
      </c>
      <c r="G67" s="112">
        <v>6.4699999999999994E-2</v>
      </c>
      <c r="H67" s="111">
        <v>0.78</v>
      </c>
      <c r="I67" s="111">
        <v>0.4582</v>
      </c>
      <c r="J67" s="112">
        <v>0.49490000000000001</v>
      </c>
      <c r="K67" s="112">
        <v>0.81769999999999998</v>
      </c>
      <c r="L67" s="111">
        <v>1.22</v>
      </c>
      <c r="M67" s="111">
        <v>0.83</v>
      </c>
      <c r="N67" s="111">
        <v>1.18</v>
      </c>
      <c r="O67" s="111">
        <v>1.19</v>
      </c>
      <c r="P67" s="111">
        <v>1.05</v>
      </c>
      <c r="Q67" s="92"/>
      <c r="R67" s="92"/>
      <c r="S67" s="92"/>
      <c r="T67" s="92"/>
      <c r="U67" s="92"/>
      <c r="V67" s="92"/>
      <c r="W67" s="92"/>
      <c r="X67" s="92"/>
      <c r="Y67" s="92"/>
      <c r="Z67" s="92"/>
    </row>
    <row r="68" spans="1:26" ht="15.75" hidden="1" customHeight="1">
      <c r="A68" s="113" t="s">
        <v>164</v>
      </c>
      <c r="B68" s="114">
        <v>22</v>
      </c>
      <c r="C68" s="114">
        <v>0.98</v>
      </c>
      <c r="D68" s="115">
        <v>0.52910000000000001</v>
      </c>
      <c r="E68" s="115">
        <v>0.1429</v>
      </c>
      <c r="F68" s="114">
        <v>0.7</v>
      </c>
      <c r="G68" s="115">
        <v>5.33E-2</v>
      </c>
      <c r="H68" s="114">
        <v>0.74</v>
      </c>
      <c r="I68" s="114">
        <v>0.27029999999999998</v>
      </c>
      <c r="J68" s="115">
        <v>0.33979999999999999</v>
      </c>
      <c r="K68" s="115">
        <v>0.1229</v>
      </c>
      <c r="L68" s="114">
        <v>0.68</v>
      </c>
      <c r="M68" s="114">
        <v>0.68</v>
      </c>
      <c r="N68" s="114">
        <v>0.78</v>
      </c>
      <c r="O68" s="114">
        <v>0.67</v>
      </c>
      <c r="P68" s="114">
        <v>0.68</v>
      </c>
      <c r="Q68" s="92"/>
      <c r="R68" s="92"/>
      <c r="S68" s="92"/>
      <c r="T68" s="92"/>
      <c r="U68" s="92"/>
      <c r="V68" s="92"/>
      <c r="W68" s="92"/>
      <c r="X68" s="92"/>
      <c r="Y68" s="92"/>
      <c r="Z68" s="92"/>
    </row>
    <row r="69" spans="1:26" ht="15.75" hidden="1" customHeight="1">
      <c r="A69" s="110" t="s">
        <v>165</v>
      </c>
      <c r="B69" s="111">
        <v>6</v>
      </c>
      <c r="C69" s="111">
        <v>1.07</v>
      </c>
      <c r="D69" s="112">
        <v>0.22570000000000001</v>
      </c>
      <c r="E69" s="112">
        <v>0.2369</v>
      </c>
      <c r="F69" s="111">
        <v>0.92</v>
      </c>
      <c r="G69" s="112">
        <v>4.41E-2</v>
      </c>
      <c r="H69" s="111">
        <v>0.96</v>
      </c>
      <c r="I69" s="111">
        <v>0.36770000000000003</v>
      </c>
      <c r="J69" s="112">
        <v>0.60660000000000003</v>
      </c>
      <c r="K69" s="112">
        <v>0.80730000000000002</v>
      </c>
      <c r="L69" s="111">
        <v>1.25</v>
      </c>
      <c r="M69" s="111">
        <v>0.96</v>
      </c>
      <c r="N69" s="111">
        <v>1</v>
      </c>
      <c r="O69" s="111">
        <v>1.1299999999999999</v>
      </c>
      <c r="P69" s="111">
        <v>1.19</v>
      </c>
      <c r="Q69" s="92"/>
      <c r="R69" s="92"/>
      <c r="S69" s="92"/>
      <c r="T69" s="92"/>
      <c r="U69" s="92"/>
      <c r="V69" s="92"/>
      <c r="W69" s="92"/>
      <c r="X69" s="92"/>
      <c r="Y69" s="92"/>
      <c r="Z69" s="92"/>
    </row>
    <row r="70" spans="1:26" ht="15.75" hidden="1" customHeight="1">
      <c r="A70" s="113" t="s">
        <v>166</v>
      </c>
      <c r="B70" s="114">
        <v>48</v>
      </c>
      <c r="C70" s="114">
        <v>0.54</v>
      </c>
      <c r="D70" s="115">
        <v>0.8034</v>
      </c>
      <c r="E70" s="115">
        <v>0.1211</v>
      </c>
      <c r="F70" s="114">
        <v>0.34</v>
      </c>
      <c r="G70" s="115">
        <v>1.2500000000000001E-2</v>
      </c>
      <c r="H70" s="114">
        <v>0.34</v>
      </c>
      <c r="I70" s="114">
        <v>0.26440000000000002</v>
      </c>
      <c r="J70" s="115">
        <v>0.27310000000000001</v>
      </c>
      <c r="K70" s="115">
        <v>0.10879999999999999</v>
      </c>
      <c r="L70" s="114">
        <v>0.38</v>
      </c>
      <c r="M70" s="114">
        <v>0.43</v>
      </c>
      <c r="N70" s="114">
        <v>0.56000000000000005</v>
      </c>
      <c r="O70" s="114">
        <v>0.46</v>
      </c>
      <c r="P70" s="114">
        <v>0.44</v>
      </c>
      <c r="Q70" s="92"/>
      <c r="R70" s="92"/>
      <c r="S70" s="92"/>
      <c r="T70" s="92"/>
      <c r="U70" s="92"/>
      <c r="V70" s="92"/>
      <c r="W70" s="92"/>
      <c r="X70" s="92"/>
      <c r="Y70" s="92"/>
      <c r="Z70" s="92"/>
    </row>
    <row r="71" spans="1:26" ht="15.75" hidden="1" customHeight="1">
      <c r="A71" s="110" t="s">
        <v>167</v>
      </c>
      <c r="B71" s="111">
        <v>60</v>
      </c>
      <c r="C71" s="111">
        <v>1.23</v>
      </c>
      <c r="D71" s="112">
        <v>0.189</v>
      </c>
      <c r="E71" s="112">
        <v>1.9900000000000001E-2</v>
      </c>
      <c r="F71" s="111">
        <v>1.08</v>
      </c>
      <c r="G71" s="112">
        <v>6.0600000000000001E-2</v>
      </c>
      <c r="H71" s="111">
        <v>1.1499999999999999</v>
      </c>
      <c r="I71" s="111">
        <v>0.70720000000000005</v>
      </c>
      <c r="J71" s="112">
        <v>0.7097</v>
      </c>
      <c r="K71" s="112">
        <v>0.55010000000000003</v>
      </c>
      <c r="L71" s="111">
        <v>1.33</v>
      </c>
      <c r="M71" s="111">
        <v>0.75</v>
      </c>
      <c r="N71" s="111">
        <v>0.99</v>
      </c>
      <c r="O71" s="111">
        <v>1.19</v>
      </c>
      <c r="P71" s="111">
        <v>1.02</v>
      </c>
      <c r="Q71" s="92"/>
      <c r="R71" s="92"/>
      <c r="S71" s="92"/>
      <c r="T71" s="92"/>
      <c r="U71" s="92"/>
      <c r="V71" s="92"/>
      <c r="W71" s="92"/>
      <c r="X71" s="92"/>
      <c r="Y71" s="92"/>
      <c r="Z71" s="92"/>
    </row>
    <row r="72" spans="1:26" ht="15.75" hidden="1" customHeight="1">
      <c r="A72" s="113" t="s">
        <v>168</v>
      </c>
      <c r="B72" s="114">
        <v>19</v>
      </c>
      <c r="C72" s="114">
        <v>0.64</v>
      </c>
      <c r="D72" s="115">
        <v>0.28689999999999999</v>
      </c>
      <c r="E72" s="115">
        <v>9.7600000000000006E-2</v>
      </c>
      <c r="F72" s="114">
        <v>0.53</v>
      </c>
      <c r="G72" s="115">
        <v>5.8999999999999997E-2</v>
      </c>
      <c r="H72" s="114">
        <v>0.56000000000000005</v>
      </c>
      <c r="I72" s="114">
        <v>0.3281</v>
      </c>
      <c r="J72" s="115">
        <v>0.41</v>
      </c>
      <c r="K72" s="115">
        <v>0.12559999999999999</v>
      </c>
      <c r="L72" s="114">
        <v>0.76</v>
      </c>
      <c r="M72" s="114">
        <v>1.1000000000000001</v>
      </c>
      <c r="N72" s="114">
        <v>1.46</v>
      </c>
      <c r="O72" s="114">
        <v>0.91</v>
      </c>
      <c r="P72" s="114">
        <v>1.01</v>
      </c>
      <c r="Q72" s="92"/>
      <c r="R72" s="92"/>
      <c r="S72" s="92"/>
      <c r="T72" s="92"/>
      <c r="U72" s="92"/>
      <c r="V72" s="92"/>
      <c r="W72" s="92"/>
      <c r="X72" s="92"/>
      <c r="Y72" s="92"/>
      <c r="Z72" s="92"/>
    </row>
    <row r="73" spans="1:26" ht="15.75" hidden="1" customHeight="1">
      <c r="A73" s="110" t="s">
        <v>169</v>
      </c>
      <c r="B73" s="111">
        <v>192</v>
      </c>
      <c r="C73" s="111">
        <v>0.95</v>
      </c>
      <c r="D73" s="112">
        <v>0.83489999999999998</v>
      </c>
      <c r="E73" s="112">
        <v>1.7999999999999999E-2</v>
      </c>
      <c r="F73" s="111">
        <v>0.57999999999999996</v>
      </c>
      <c r="G73" s="112">
        <v>2.01E-2</v>
      </c>
      <c r="H73" s="111">
        <v>0.59</v>
      </c>
      <c r="I73" s="111">
        <v>0.25719999999999998</v>
      </c>
      <c r="J73" s="112">
        <v>0.32079999999999997</v>
      </c>
      <c r="K73" s="112">
        <v>0.2321</v>
      </c>
      <c r="L73" s="111">
        <v>0.43</v>
      </c>
      <c r="M73" s="111">
        <v>0.79</v>
      </c>
      <c r="N73" s="111">
        <v>0.99</v>
      </c>
      <c r="O73" s="111">
        <v>0.69</v>
      </c>
      <c r="P73" s="111">
        <v>0.71</v>
      </c>
      <c r="Q73" s="92"/>
      <c r="R73" s="92"/>
      <c r="S73" s="92"/>
      <c r="T73" s="92"/>
      <c r="U73" s="92"/>
      <c r="V73" s="92"/>
      <c r="W73" s="92"/>
      <c r="X73" s="92"/>
      <c r="Y73" s="92"/>
      <c r="Z73" s="92"/>
    </row>
    <row r="74" spans="1:26" ht="15.75" hidden="1" customHeight="1">
      <c r="A74" s="113" t="s">
        <v>170</v>
      </c>
      <c r="B74" s="114">
        <v>15</v>
      </c>
      <c r="C74" s="114">
        <v>1.03</v>
      </c>
      <c r="D74" s="115">
        <v>1.0871</v>
      </c>
      <c r="E74" s="115">
        <v>2.4899999999999999E-2</v>
      </c>
      <c r="F74" s="114">
        <v>0.56999999999999995</v>
      </c>
      <c r="G74" s="115">
        <v>8.0799999999999997E-2</v>
      </c>
      <c r="H74" s="114">
        <v>0.62</v>
      </c>
      <c r="I74" s="114">
        <v>0.47799999999999998</v>
      </c>
      <c r="J74" s="115">
        <v>0.49680000000000002</v>
      </c>
      <c r="K74" s="115">
        <v>0.68020000000000003</v>
      </c>
      <c r="L74" s="114">
        <v>0.89</v>
      </c>
      <c r="M74" s="114">
        <v>0.56000000000000005</v>
      </c>
      <c r="N74" s="114">
        <v>0.74</v>
      </c>
      <c r="O74" s="114">
        <v>0.88</v>
      </c>
      <c r="P74" s="114">
        <v>0.7</v>
      </c>
      <c r="Q74" s="92"/>
      <c r="R74" s="92"/>
      <c r="S74" s="92"/>
      <c r="T74" s="92"/>
      <c r="U74" s="92"/>
      <c r="V74" s="92"/>
      <c r="W74" s="92"/>
      <c r="X74" s="92"/>
      <c r="Y74" s="92"/>
      <c r="Z74" s="92"/>
    </row>
    <row r="75" spans="1:26" ht="15.75" hidden="1" customHeight="1">
      <c r="A75" s="110" t="s">
        <v>171</v>
      </c>
      <c r="B75" s="111">
        <v>11</v>
      </c>
      <c r="C75" s="111">
        <v>0.86</v>
      </c>
      <c r="D75" s="112">
        <v>0.4194</v>
      </c>
      <c r="E75" s="112">
        <v>5.45E-2</v>
      </c>
      <c r="F75" s="111">
        <v>0.65</v>
      </c>
      <c r="G75" s="112">
        <v>0.1076</v>
      </c>
      <c r="H75" s="111">
        <v>0.74</v>
      </c>
      <c r="I75" s="111">
        <v>0.46239999999999998</v>
      </c>
      <c r="J75" s="112">
        <v>0.26529999999999998</v>
      </c>
      <c r="K75" s="112">
        <v>0.88829999999999998</v>
      </c>
      <c r="L75" s="111">
        <v>1.5</v>
      </c>
      <c r="M75" s="111">
        <v>0.76</v>
      </c>
      <c r="N75" s="111">
        <v>0.83</v>
      </c>
      <c r="O75" s="111">
        <v>0.66</v>
      </c>
      <c r="P75" s="111">
        <v>0.85</v>
      </c>
      <c r="Q75" s="92"/>
      <c r="R75" s="92"/>
      <c r="S75" s="92"/>
      <c r="T75" s="92"/>
      <c r="U75" s="92"/>
      <c r="V75" s="92"/>
      <c r="W75" s="92"/>
      <c r="X75" s="92"/>
      <c r="Y75" s="92"/>
      <c r="Z75" s="92"/>
    </row>
    <row r="76" spans="1:26" ht="15.75" hidden="1" customHeight="1">
      <c r="A76" s="113" t="s">
        <v>172</v>
      </c>
      <c r="B76" s="114">
        <v>60</v>
      </c>
      <c r="C76" s="114">
        <v>1.08</v>
      </c>
      <c r="D76" s="115">
        <v>0.28789999999999999</v>
      </c>
      <c r="E76" s="115">
        <v>4.2599999999999999E-2</v>
      </c>
      <c r="F76" s="114">
        <v>0.89</v>
      </c>
      <c r="G76" s="115">
        <v>7.0800000000000002E-2</v>
      </c>
      <c r="H76" s="114">
        <v>0.95</v>
      </c>
      <c r="I76" s="114">
        <v>0.51039999999999996</v>
      </c>
      <c r="J76" s="115">
        <v>0.56530000000000002</v>
      </c>
      <c r="K76" s="115">
        <v>0.2671</v>
      </c>
      <c r="L76" s="114">
        <v>0.68</v>
      </c>
      <c r="M76" s="114">
        <v>0.75</v>
      </c>
      <c r="N76" s="114">
        <v>0.87</v>
      </c>
      <c r="O76" s="114">
        <v>0.81</v>
      </c>
      <c r="P76" s="114">
        <v>0.8</v>
      </c>
      <c r="Q76" s="92"/>
      <c r="R76" s="92"/>
      <c r="S76" s="92"/>
      <c r="T76" s="92"/>
      <c r="U76" s="92"/>
      <c r="V76" s="92"/>
      <c r="W76" s="92"/>
      <c r="X76" s="92"/>
      <c r="Y76" s="92"/>
      <c r="Z76" s="92"/>
    </row>
    <row r="77" spans="1:26" ht="15.75" hidden="1" customHeight="1">
      <c r="A77" s="110" t="s">
        <v>173</v>
      </c>
      <c r="B77" s="111">
        <v>50</v>
      </c>
      <c r="C77" s="111">
        <v>1.33</v>
      </c>
      <c r="D77" s="112">
        <v>0.65100000000000002</v>
      </c>
      <c r="E77" s="112">
        <v>7.3300000000000004E-2</v>
      </c>
      <c r="F77" s="111">
        <v>0.89</v>
      </c>
      <c r="G77" s="112">
        <v>4.4299999999999999E-2</v>
      </c>
      <c r="H77" s="111">
        <v>0.93</v>
      </c>
      <c r="I77" s="111">
        <v>0.48570000000000002</v>
      </c>
      <c r="J77" s="112">
        <v>0.53059999999999996</v>
      </c>
      <c r="K77" s="112">
        <v>0.24959999999999999</v>
      </c>
      <c r="L77" s="111">
        <v>0.75</v>
      </c>
      <c r="M77" s="111">
        <v>0.77</v>
      </c>
      <c r="N77" s="111">
        <v>1.07</v>
      </c>
      <c r="O77" s="111">
        <v>1.08</v>
      </c>
      <c r="P77" s="111">
        <v>0.9</v>
      </c>
      <c r="Q77" s="92"/>
      <c r="R77" s="92"/>
      <c r="S77" s="92"/>
      <c r="T77" s="92"/>
      <c r="U77" s="92"/>
      <c r="V77" s="92"/>
      <c r="W77" s="92"/>
      <c r="X77" s="92"/>
      <c r="Y77" s="92"/>
      <c r="Z77" s="92"/>
    </row>
    <row r="78" spans="1:26" ht="15.75" hidden="1" customHeight="1">
      <c r="A78" s="113" t="s">
        <v>174</v>
      </c>
      <c r="B78" s="114">
        <v>1</v>
      </c>
      <c r="C78" s="114">
        <v>0.54</v>
      </c>
      <c r="D78" s="115">
        <v>0.36580000000000001</v>
      </c>
      <c r="E78" s="115">
        <v>0.20130000000000001</v>
      </c>
      <c r="F78" s="114">
        <v>0.42</v>
      </c>
      <c r="G78" s="115">
        <v>0.27029999999999998</v>
      </c>
      <c r="H78" s="114">
        <v>0.57999999999999996</v>
      </c>
      <c r="I78" s="114">
        <v>0.18140000000000001</v>
      </c>
      <c r="J78" s="115">
        <v>0.19869999999999999</v>
      </c>
      <c r="K78" s="115">
        <v>0.2203</v>
      </c>
      <c r="L78" s="114">
        <v>0.77</v>
      </c>
      <c r="M78" s="114">
        <v>1.1299999999999999</v>
      </c>
      <c r="N78" s="114">
        <v>1.3</v>
      </c>
      <c r="O78" s="114">
        <v>0.83</v>
      </c>
      <c r="P78" s="114">
        <v>0.93</v>
      </c>
      <c r="Q78" s="92"/>
      <c r="R78" s="92"/>
      <c r="S78" s="92"/>
      <c r="T78" s="92"/>
      <c r="U78" s="92"/>
      <c r="V78" s="92"/>
      <c r="W78" s="92"/>
      <c r="X78" s="92"/>
      <c r="Y78" s="92"/>
      <c r="Z78" s="92"/>
    </row>
    <row r="79" spans="1:26" ht="15.75" hidden="1" customHeight="1">
      <c r="A79" s="110" t="s">
        <v>175</v>
      </c>
      <c r="B79" s="111">
        <v>62</v>
      </c>
      <c r="C79" s="111">
        <v>1.01</v>
      </c>
      <c r="D79" s="112">
        <v>0.23139999999999999</v>
      </c>
      <c r="E79" s="112">
        <v>8.8400000000000006E-2</v>
      </c>
      <c r="F79" s="111">
        <v>0.86</v>
      </c>
      <c r="G79" s="112">
        <v>1.7299999999999999E-2</v>
      </c>
      <c r="H79" s="111">
        <v>0.87</v>
      </c>
      <c r="I79" s="111">
        <v>0.41539999999999999</v>
      </c>
      <c r="J79" s="112">
        <v>0.41499999999999998</v>
      </c>
      <c r="K79" s="112">
        <v>0.21190000000000001</v>
      </c>
      <c r="L79" s="111">
        <v>0.75</v>
      </c>
      <c r="M79" s="111">
        <v>1.1100000000000001</v>
      </c>
      <c r="N79" s="111">
        <v>1.33</v>
      </c>
      <c r="O79" s="111">
        <v>1.17</v>
      </c>
      <c r="P79" s="111">
        <v>1.08</v>
      </c>
      <c r="Q79" s="92"/>
      <c r="R79" s="92"/>
      <c r="S79" s="92"/>
      <c r="T79" s="92"/>
      <c r="U79" s="92"/>
      <c r="V79" s="92"/>
      <c r="W79" s="92"/>
      <c r="X79" s="92"/>
      <c r="Y79" s="92"/>
      <c r="Z79" s="92"/>
    </row>
    <row r="80" spans="1:26" ht="15.75" hidden="1" customHeight="1">
      <c r="A80" s="113" t="s">
        <v>176</v>
      </c>
      <c r="B80" s="114">
        <v>29</v>
      </c>
      <c r="C80" s="114">
        <v>1.35</v>
      </c>
      <c r="D80" s="115">
        <v>0.504</v>
      </c>
      <c r="E80" s="115">
        <v>0.1212</v>
      </c>
      <c r="F80" s="114">
        <v>0.98</v>
      </c>
      <c r="G80" s="115">
        <v>9.9000000000000008E-3</v>
      </c>
      <c r="H80" s="114">
        <v>0.99</v>
      </c>
      <c r="I80" s="114">
        <v>0.43380000000000002</v>
      </c>
      <c r="J80" s="115">
        <v>0.47389999999999999</v>
      </c>
      <c r="K80" s="115">
        <v>0.31130000000000002</v>
      </c>
      <c r="L80" s="114">
        <v>0.87</v>
      </c>
      <c r="M80" s="114">
        <v>0.99</v>
      </c>
      <c r="N80" s="114">
        <v>1.1200000000000001</v>
      </c>
      <c r="O80" s="114">
        <v>1.08</v>
      </c>
      <c r="P80" s="114">
        <v>1.02</v>
      </c>
      <c r="Q80" s="92"/>
      <c r="R80" s="92"/>
      <c r="S80" s="92"/>
      <c r="T80" s="92"/>
      <c r="U80" s="92"/>
      <c r="V80" s="92"/>
      <c r="W80" s="92"/>
      <c r="X80" s="92"/>
      <c r="Y80" s="92"/>
      <c r="Z80" s="92"/>
    </row>
    <row r="81" spans="1:26" ht="15.75" hidden="1" customHeight="1">
      <c r="A81" s="110" t="s">
        <v>177</v>
      </c>
      <c r="B81" s="111">
        <v>13</v>
      </c>
      <c r="C81" s="111">
        <v>1.79</v>
      </c>
      <c r="D81" s="112">
        <v>0.2019</v>
      </c>
      <c r="E81" s="112">
        <v>0.1366</v>
      </c>
      <c r="F81" s="111">
        <v>1.55</v>
      </c>
      <c r="G81" s="112">
        <v>1.11E-2</v>
      </c>
      <c r="H81" s="111">
        <v>1.57</v>
      </c>
      <c r="I81" s="111">
        <v>0.33939999999999998</v>
      </c>
      <c r="J81" s="112">
        <v>0.52129999999999999</v>
      </c>
      <c r="K81" s="112">
        <v>0.32290000000000002</v>
      </c>
      <c r="L81" s="111">
        <v>1.1499999999999999</v>
      </c>
      <c r="M81" s="111">
        <v>1.43</v>
      </c>
      <c r="N81" s="111">
        <v>1.42</v>
      </c>
      <c r="O81" s="111">
        <v>1.57</v>
      </c>
      <c r="P81" s="111">
        <v>1.45</v>
      </c>
      <c r="Q81" s="92"/>
      <c r="R81" s="92"/>
      <c r="S81" s="92"/>
      <c r="T81" s="92"/>
      <c r="U81" s="92"/>
      <c r="V81" s="92"/>
      <c r="W81" s="92"/>
      <c r="X81" s="92"/>
      <c r="Y81" s="92"/>
      <c r="Z81" s="92"/>
    </row>
    <row r="82" spans="1:26" ht="15.75" hidden="1" customHeight="1">
      <c r="A82" s="113" t="s">
        <v>178</v>
      </c>
      <c r="B82" s="114">
        <v>66</v>
      </c>
      <c r="C82" s="114">
        <v>1.1200000000000001</v>
      </c>
      <c r="D82" s="115">
        <v>0.31269999999999998</v>
      </c>
      <c r="E82" s="115">
        <v>0.13500000000000001</v>
      </c>
      <c r="F82" s="114">
        <v>0.91</v>
      </c>
      <c r="G82" s="115">
        <v>2.2200000000000001E-2</v>
      </c>
      <c r="H82" s="114">
        <v>0.93</v>
      </c>
      <c r="I82" s="114">
        <v>0.4577</v>
      </c>
      <c r="J82" s="115">
        <v>0.43890000000000001</v>
      </c>
      <c r="K82" s="115">
        <v>0.4027</v>
      </c>
      <c r="L82" s="114">
        <v>0.89</v>
      </c>
      <c r="M82" s="114">
        <v>0.75</v>
      </c>
      <c r="N82" s="114">
        <v>1.06</v>
      </c>
      <c r="O82" s="114">
        <v>1.01</v>
      </c>
      <c r="P82" s="114">
        <v>0.92</v>
      </c>
      <c r="Q82" s="92"/>
      <c r="R82" s="92"/>
      <c r="S82" s="92"/>
      <c r="T82" s="92"/>
      <c r="U82" s="92"/>
      <c r="V82" s="92"/>
      <c r="W82" s="92"/>
      <c r="X82" s="92"/>
      <c r="Y82" s="92"/>
      <c r="Z82" s="92"/>
    </row>
    <row r="83" spans="1:26" ht="15.75" hidden="1" customHeight="1">
      <c r="A83" s="110" t="s">
        <v>179</v>
      </c>
      <c r="B83" s="111">
        <v>24</v>
      </c>
      <c r="C83" s="111">
        <v>1.06</v>
      </c>
      <c r="D83" s="112">
        <v>8.7300000000000003E-2</v>
      </c>
      <c r="E83" s="112">
        <v>0.16750000000000001</v>
      </c>
      <c r="F83" s="111">
        <v>0.99</v>
      </c>
      <c r="G83" s="112">
        <v>2.8299999999999999E-2</v>
      </c>
      <c r="H83" s="111">
        <v>1.03</v>
      </c>
      <c r="I83" s="111">
        <v>0.37209999999999999</v>
      </c>
      <c r="J83" s="112">
        <v>0.46689999999999998</v>
      </c>
      <c r="K83" s="112">
        <v>0.2581</v>
      </c>
      <c r="L83" s="111">
        <v>0.95</v>
      </c>
      <c r="M83" s="111">
        <v>0.81</v>
      </c>
      <c r="N83" s="111">
        <v>1.04</v>
      </c>
      <c r="O83" s="111">
        <v>1.22</v>
      </c>
      <c r="P83" s="111">
        <v>1.04</v>
      </c>
      <c r="Q83" s="92"/>
      <c r="R83" s="92"/>
      <c r="S83" s="92"/>
      <c r="T83" s="92"/>
      <c r="U83" s="92"/>
      <c r="V83" s="92"/>
      <c r="W83" s="92"/>
      <c r="X83" s="92"/>
      <c r="Y83" s="92"/>
      <c r="Z83" s="92"/>
    </row>
    <row r="84" spans="1:26" ht="15.75" hidden="1" customHeight="1">
      <c r="A84" s="113" t="s">
        <v>180</v>
      </c>
      <c r="B84" s="114">
        <v>17</v>
      </c>
      <c r="C84" s="114">
        <v>0.57999999999999996</v>
      </c>
      <c r="D84" s="115">
        <v>0.52259999999999995</v>
      </c>
      <c r="E84" s="115">
        <v>0.1328</v>
      </c>
      <c r="F84" s="114">
        <v>0.42</v>
      </c>
      <c r="G84" s="115">
        <v>0.1074</v>
      </c>
      <c r="H84" s="114">
        <v>0.47</v>
      </c>
      <c r="I84" s="114">
        <v>0.50429999999999997</v>
      </c>
      <c r="J84" s="115">
        <v>0.27129999999999999</v>
      </c>
      <c r="K84" s="115">
        <v>0.32340000000000002</v>
      </c>
      <c r="L84" s="114">
        <v>0.35</v>
      </c>
      <c r="M84" s="114">
        <v>0.15</v>
      </c>
      <c r="N84" s="114">
        <v>0.21</v>
      </c>
      <c r="O84" s="114">
        <v>0.47</v>
      </c>
      <c r="P84" s="114">
        <v>0.31</v>
      </c>
      <c r="Q84" s="92"/>
      <c r="R84" s="92"/>
      <c r="S84" s="92"/>
      <c r="T84" s="92"/>
      <c r="U84" s="92"/>
      <c r="V84" s="92"/>
      <c r="W84" s="92"/>
      <c r="X84" s="92"/>
      <c r="Y84" s="92"/>
      <c r="Z84" s="92"/>
    </row>
    <row r="85" spans="1:26" ht="15.75" hidden="1" customHeight="1">
      <c r="A85" s="110" t="s">
        <v>181</v>
      </c>
      <c r="B85" s="111">
        <v>28</v>
      </c>
      <c r="C85" s="111">
        <v>0.95</v>
      </c>
      <c r="D85" s="112">
        <v>0.54769999999999996</v>
      </c>
      <c r="E85" s="112">
        <v>1.1900000000000001E-2</v>
      </c>
      <c r="F85" s="111">
        <v>0.67</v>
      </c>
      <c r="G85" s="112">
        <v>2.0799999999999999E-2</v>
      </c>
      <c r="H85" s="111">
        <v>0.69</v>
      </c>
      <c r="I85" s="111">
        <v>0.26650000000000001</v>
      </c>
      <c r="J85" s="112">
        <v>0.2356</v>
      </c>
      <c r="K85" s="112">
        <v>0.1396</v>
      </c>
      <c r="L85" s="111">
        <v>1.1599999999999999</v>
      </c>
      <c r="M85" s="111">
        <v>1.1399999999999999</v>
      </c>
      <c r="N85" s="111">
        <v>1.07</v>
      </c>
      <c r="O85" s="111">
        <v>1.36</v>
      </c>
      <c r="P85" s="111">
        <v>1.1000000000000001</v>
      </c>
      <c r="Q85" s="92"/>
      <c r="R85" s="92"/>
      <c r="S85" s="92"/>
      <c r="T85" s="92"/>
      <c r="U85" s="92"/>
      <c r="V85" s="92"/>
      <c r="W85" s="92"/>
      <c r="X85" s="92"/>
      <c r="Y85" s="92"/>
      <c r="Z85" s="92"/>
    </row>
    <row r="86" spans="1:26" ht="15.75" hidden="1" customHeight="1">
      <c r="A86" s="113" t="s">
        <v>182</v>
      </c>
      <c r="B86" s="114">
        <v>98</v>
      </c>
      <c r="C86" s="114">
        <v>1.22</v>
      </c>
      <c r="D86" s="115">
        <v>0.2893</v>
      </c>
      <c r="E86" s="115">
        <v>8.2299999999999998E-2</v>
      </c>
      <c r="F86" s="114">
        <v>1</v>
      </c>
      <c r="G86" s="115">
        <v>5.0500000000000003E-2</v>
      </c>
      <c r="H86" s="114">
        <v>1.06</v>
      </c>
      <c r="I86" s="114">
        <v>0.55089999999999995</v>
      </c>
      <c r="J86" s="115">
        <v>0.56999999999999995</v>
      </c>
      <c r="K86" s="115">
        <v>0.20630000000000001</v>
      </c>
      <c r="L86" s="114">
        <v>0.69</v>
      </c>
      <c r="M86" s="114">
        <v>1.03</v>
      </c>
      <c r="N86" s="114">
        <v>1.23</v>
      </c>
      <c r="O86" s="114">
        <v>1.19</v>
      </c>
      <c r="P86" s="114">
        <v>1.02</v>
      </c>
      <c r="Q86" s="92"/>
      <c r="R86" s="92"/>
      <c r="S86" s="92"/>
      <c r="T86" s="92"/>
      <c r="U86" s="92"/>
      <c r="V86" s="92"/>
      <c r="W86" s="92"/>
      <c r="X86" s="92"/>
      <c r="Y86" s="92"/>
      <c r="Z86" s="92"/>
    </row>
    <row r="87" spans="1:26" ht="15.75" hidden="1" customHeight="1">
      <c r="A87" s="110" t="s">
        <v>183</v>
      </c>
      <c r="B87" s="111">
        <v>3</v>
      </c>
      <c r="C87" s="111">
        <v>0.65</v>
      </c>
      <c r="D87" s="112">
        <v>3.8713000000000002</v>
      </c>
      <c r="E87" s="112">
        <v>0</v>
      </c>
      <c r="F87" s="111">
        <v>0.17</v>
      </c>
      <c r="G87" s="112">
        <v>7.1599999999999997E-2</v>
      </c>
      <c r="H87" s="111">
        <v>0.18</v>
      </c>
      <c r="I87" s="111">
        <v>0.48209999999999997</v>
      </c>
      <c r="J87" s="112">
        <v>0.72040000000000004</v>
      </c>
      <c r="K87" s="112">
        <v>0.58850000000000002</v>
      </c>
      <c r="L87" s="111">
        <v>0.45</v>
      </c>
      <c r="M87" s="111">
        <v>0.54</v>
      </c>
      <c r="N87" s="111">
        <v>0.59</v>
      </c>
      <c r="O87" s="111">
        <v>0.27</v>
      </c>
      <c r="P87" s="111">
        <v>0.42</v>
      </c>
      <c r="Q87" s="92"/>
      <c r="R87" s="92"/>
      <c r="S87" s="92"/>
      <c r="T87" s="92"/>
      <c r="U87" s="92"/>
      <c r="V87" s="92"/>
      <c r="W87" s="92"/>
      <c r="X87" s="92"/>
      <c r="Y87" s="92"/>
      <c r="Z87" s="92"/>
    </row>
    <row r="88" spans="1:26" ht="15.75" hidden="1" customHeight="1">
      <c r="A88" s="113" t="s">
        <v>184</v>
      </c>
      <c r="B88" s="114">
        <v>63</v>
      </c>
      <c r="C88" s="114">
        <v>1.49</v>
      </c>
      <c r="D88" s="115">
        <v>3.8899999999999997E-2</v>
      </c>
      <c r="E88" s="115">
        <v>4.19E-2</v>
      </c>
      <c r="F88" s="114">
        <v>1.45</v>
      </c>
      <c r="G88" s="115">
        <v>1.1299999999999999E-2</v>
      </c>
      <c r="H88" s="114">
        <v>1.46</v>
      </c>
      <c r="I88" s="114">
        <v>0.49680000000000002</v>
      </c>
      <c r="J88" s="115">
        <v>0.5605</v>
      </c>
      <c r="K88" s="115">
        <v>0.30609999999999998</v>
      </c>
      <c r="L88" s="114">
        <v>1.24</v>
      </c>
      <c r="M88" s="114">
        <v>0.96</v>
      </c>
      <c r="N88" s="114">
        <v>1.1399999999999999</v>
      </c>
      <c r="O88" s="114">
        <v>1.53</v>
      </c>
      <c r="P88" s="114">
        <v>1.27</v>
      </c>
      <c r="Q88" s="92"/>
      <c r="R88" s="92"/>
      <c r="S88" s="92"/>
      <c r="T88" s="92"/>
      <c r="U88" s="92"/>
      <c r="V88" s="92"/>
      <c r="W88" s="92"/>
      <c r="X88" s="92"/>
      <c r="Y88" s="92"/>
      <c r="Z88" s="92"/>
    </row>
    <row r="89" spans="1:26" ht="15.75" hidden="1" customHeight="1">
      <c r="A89" s="110" t="s">
        <v>185</v>
      </c>
      <c r="B89" s="111">
        <v>30</v>
      </c>
      <c r="C89" s="111">
        <v>1.48</v>
      </c>
      <c r="D89" s="112">
        <v>8.1799999999999998E-2</v>
      </c>
      <c r="E89" s="112">
        <v>9.9500000000000005E-2</v>
      </c>
      <c r="F89" s="111">
        <v>1.39</v>
      </c>
      <c r="G89" s="112">
        <v>5.11E-2</v>
      </c>
      <c r="H89" s="111">
        <v>1.47</v>
      </c>
      <c r="I89" s="111">
        <v>0.34699999999999998</v>
      </c>
      <c r="J89" s="112">
        <v>0.51090000000000002</v>
      </c>
      <c r="K89" s="112">
        <v>0.56830000000000003</v>
      </c>
      <c r="L89" s="111">
        <v>1.25</v>
      </c>
      <c r="M89" s="111">
        <v>1.07</v>
      </c>
      <c r="N89" s="111">
        <v>1.34</v>
      </c>
      <c r="O89" s="111">
        <v>1.69</v>
      </c>
      <c r="P89" s="111">
        <v>1.37</v>
      </c>
      <c r="Q89" s="92"/>
      <c r="R89" s="92"/>
      <c r="S89" s="92"/>
      <c r="T89" s="92"/>
      <c r="U89" s="92"/>
      <c r="V89" s="92"/>
      <c r="W89" s="92"/>
      <c r="X89" s="92"/>
      <c r="Y89" s="92"/>
      <c r="Z89" s="92"/>
    </row>
    <row r="90" spans="1:26" ht="15.75" hidden="1" customHeight="1">
      <c r="A90" s="113" t="s">
        <v>186</v>
      </c>
      <c r="B90" s="114">
        <v>8</v>
      </c>
      <c r="C90" s="114">
        <v>0.57999999999999996</v>
      </c>
      <c r="D90" s="115">
        <v>0.19109999999999999</v>
      </c>
      <c r="E90" s="115">
        <v>5.7799999999999997E-2</v>
      </c>
      <c r="F90" s="114">
        <v>0.51</v>
      </c>
      <c r="G90" s="115">
        <v>3.5999999999999997E-2</v>
      </c>
      <c r="H90" s="114">
        <v>0.52</v>
      </c>
      <c r="I90" s="114">
        <v>0.41889999999999999</v>
      </c>
      <c r="J90" s="115">
        <v>0.45190000000000002</v>
      </c>
      <c r="K90" s="115">
        <v>0.7429</v>
      </c>
      <c r="L90" s="114">
        <v>1.57</v>
      </c>
      <c r="M90" s="114">
        <v>0.74</v>
      </c>
      <c r="N90" s="114">
        <v>0.8</v>
      </c>
      <c r="O90" s="114">
        <v>0.78</v>
      </c>
      <c r="P90" s="114">
        <v>0.92</v>
      </c>
      <c r="Q90" s="92"/>
      <c r="R90" s="92"/>
      <c r="S90" s="92"/>
      <c r="T90" s="92"/>
      <c r="U90" s="92"/>
      <c r="V90" s="92"/>
      <c r="W90" s="92"/>
      <c r="X90" s="92"/>
      <c r="Y90" s="92"/>
      <c r="Z90" s="92"/>
    </row>
    <row r="91" spans="1:26" ht="15.75" hidden="1" customHeight="1">
      <c r="A91" s="110" t="s">
        <v>187</v>
      </c>
      <c r="B91" s="111">
        <v>12</v>
      </c>
      <c r="C91" s="111">
        <v>1.42</v>
      </c>
      <c r="D91" s="112">
        <v>0.10249999999999999</v>
      </c>
      <c r="E91" s="112">
        <v>0.1106</v>
      </c>
      <c r="F91" s="111">
        <v>1.32</v>
      </c>
      <c r="G91" s="112">
        <v>6.1100000000000002E-2</v>
      </c>
      <c r="H91" s="111">
        <v>1.41</v>
      </c>
      <c r="I91" s="111">
        <v>0.4627</v>
      </c>
      <c r="J91" s="112">
        <v>0.51749999999999996</v>
      </c>
      <c r="K91" s="112">
        <v>0.27689999999999998</v>
      </c>
      <c r="L91" s="111">
        <v>0.83</v>
      </c>
      <c r="M91" s="111">
        <v>0.98</v>
      </c>
      <c r="N91" s="111">
        <v>1.19</v>
      </c>
      <c r="O91" s="111">
        <v>1.29</v>
      </c>
      <c r="P91" s="111">
        <v>1.1100000000000001</v>
      </c>
      <c r="Q91" s="92"/>
      <c r="R91" s="92"/>
      <c r="S91" s="92"/>
      <c r="T91" s="92"/>
      <c r="U91" s="92"/>
      <c r="V91" s="92"/>
      <c r="W91" s="92"/>
      <c r="X91" s="92"/>
      <c r="Y91" s="92"/>
      <c r="Z91" s="92"/>
    </row>
    <row r="92" spans="1:26" ht="15.75" hidden="1" customHeight="1">
      <c r="A92" s="113" t="s">
        <v>188</v>
      </c>
      <c r="B92" s="114">
        <v>81</v>
      </c>
      <c r="C92" s="114">
        <v>1.18</v>
      </c>
      <c r="D92" s="115">
        <v>2.4899999999999999E-2</v>
      </c>
      <c r="E92" s="115">
        <v>6.7299999999999999E-2</v>
      </c>
      <c r="F92" s="114">
        <v>1.1599999999999999</v>
      </c>
      <c r="G92" s="115">
        <v>1.8800000000000001E-2</v>
      </c>
      <c r="H92" s="114">
        <v>1.18</v>
      </c>
      <c r="I92" s="114">
        <v>0.59130000000000005</v>
      </c>
      <c r="J92" s="115">
        <v>0.6663</v>
      </c>
      <c r="K92" s="115">
        <v>0.58899999999999997</v>
      </c>
      <c r="L92" s="114">
        <v>1.29</v>
      </c>
      <c r="M92" s="114">
        <v>0.96</v>
      </c>
      <c r="N92" s="114">
        <v>1.21</v>
      </c>
      <c r="O92" s="114">
        <v>1.36</v>
      </c>
      <c r="P92" s="114">
        <v>1.18</v>
      </c>
      <c r="Q92" s="92"/>
      <c r="R92" s="92"/>
      <c r="S92" s="92"/>
      <c r="T92" s="92"/>
      <c r="U92" s="92"/>
      <c r="V92" s="92"/>
      <c r="W92" s="92"/>
      <c r="X92" s="92"/>
      <c r="Y92" s="92"/>
      <c r="Z92" s="92"/>
    </row>
    <row r="93" spans="1:26" ht="15.75" hidden="1" customHeight="1">
      <c r="A93" s="110" t="s">
        <v>189</v>
      </c>
      <c r="B93" s="111">
        <v>29</v>
      </c>
      <c r="C93" s="111">
        <v>1.69</v>
      </c>
      <c r="D93" s="112">
        <v>0.1154</v>
      </c>
      <c r="E93" s="112">
        <v>2.18E-2</v>
      </c>
      <c r="F93" s="111">
        <v>1.56</v>
      </c>
      <c r="G93" s="112">
        <v>2.8799999999999999E-2</v>
      </c>
      <c r="H93" s="111">
        <v>1.6</v>
      </c>
      <c r="I93" s="111">
        <v>0.5403</v>
      </c>
      <c r="J93" s="112">
        <v>0.55620000000000003</v>
      </c>
      <c r="K93" s="112">
        <v>3.0089999999999999</v>
      </c>
      <c r="L93" s="111">
        <v>1.5</v>
      </c>
      <c r="M93" s="111">
        <v>0.75</v>
      </c>
      <c r="N93" s="111">
        <v>0.98</v>
      </c>
      <c r="O93" s="111">
        <v>1.42</v>
      </c>
      <c r="P93" s="111">
        <v>1.23</v>
      </c>
      <c r="Q93" s="92"/>
      <c r="R93" s="92"/>
      <c r="S93" s="92"/>
      <c r="T93" s="92"/>
      <c r="U93" s="92"/>
      <c r="V93" s="92"/>
      <c r="W93" s="92"/>
      <c r="X93" s="92"/>
      <c r="Y93" s="92"/>
      <c r="Z93" s="92"/>
    </row>
    <row r="94" spans="1:26" ht="15.75" hidden="1" customHeight="1">
      <c r="A94" s="113" t="s">
        <v>190</v>
      </c>
      <c r="B94" s="114">
        <v>333</v>
      </c>
      <c r="C94" s="114">
        <v>1.24</v>
      </c>
      <c r="D94" s="115">
        <v>4.9000000000000002E-2</v>
      </c>
      <c r="E94" s="115">
        <v>4.4400000000000002E-2</v>
      </c>
      <c r="F94" s="114">
        <v>1.2</v>
      </c>
      <c r="G94" s="115">
        <v>1.7399999999999999E-2</v>
      </c>
      <c r="H94" s="114">
        <v>1.22</v>
      </c>
      <c r="I94" s="114">
        <v>0.56859999999999999</v>
      </c>
      <c r="J94" s="115">
        <v>0.63629999999999998</v>
      </c>
      <c r="K94" s="115">
        <v>0.43080000000000002</v>
      </c>
      <c r="L94" s="114">
        <v>1.1499999999999999</v>
      </c>
      <c r="M94" s="114">
        <v>0.89</v>
      </c>
      <c r="N94" s="114">
        <v>1.1200000000000001</v>
      </c>
      <c r="O94" s="114">
        <v>1.41</v>
      </c>
      <c r="P94" s="114">
        <v>1.17</v>
      </c>
      <c r="Q94" s="92"/>
      <c r="R94" s="92"/>
      <c r="S94" s="92"/>
      <c r="T94" s="92"/>
      <c r="U94" s="92"/>
      <c r="V94" s="92"/>
      <c r="W94" s="92"/>
      <c r="X94" s="92"/>
      <c r="Y94" s="92"/>
      <c r="Z94" s="92"/>
    </row>
    <row r="95" spans="1:26" ht="15.75" hidden="1" customHeight="1">
      <c r="A95" s="110" t="s">
        <v>191</v>
      </c>
      <c r="B95" s="111">
        <v>27</v>
      </c>
      <c r="C95" s="111">
        <v>1.06</v>
      </c>
      <c r="D95" s="112">
        <v>0.25900000000000001</v>
      </c>
      <c r="E95" s="112">
        <v>0.1176</v>
      </c>
      <c r="F95" s="111">
        <v>0.89</v>
      </c>
      <c r="G95" s="112">
        <v>7.9399999999999998E-2</v>
      </c>
      <c r="H95" s="111">
        <v>0.96</v>
      </c>
      <c r="I95" s="111">
        <v>0.35820000000000002</v>
      </c>
      <c r="J95" s="112">
        <v>0.46789999999999998</v>
      </c>
      <c r="K95" s="112">
        <v>1.0197000000000001</v>
      </c>
      <c r="L95" s="111">
        <v>1.29</v>
      </c>
      <c r="M95" s="111">
        <v>0.78</v>
      </c>
      <c r="N95" s="111">
        <v>0.98</v>
      </c>
      <c r="O95" s="111">
        <v>1.21</v>
      </c>
      <c r="P95" s="111">
        <v>1.07</v>
      </c>
      <c r="Q95" s="92"/>
      <c r="R95" s="92"/>
      <c r="S95" s="92"/>
      <c r="T95" s="92"/>
      <c r="U95" s="92"/>
      <c r="V95" s="92"/>
      <c r="W95" s="92"/>
      <c r="X95" s="92"/>
      <c r="Y95" s="92"/>
      <c r="Z95" s="92"/>
    </row>
    <row r="96" spans="1:26" ht="15.75" hidden="1" customHeight="1">
      <c r="A96" s="113" t="s">
        <v>192</v>
      </c>
      <c r="B96" s="114">
        <v>11</v>
      </c>
      <c r="C96" s="114">
        <v>0.77</v>
      </c>
      <c r="D96" s="115">
        <v>0.47610000000000002</v>
      </c>
      <c r="E96" s="115">
        <v>0.14899999999999999</v>
      </c>
      <c r="F96" s="114">
        <v>0.56999999999999995</v>
      </c>
      <c r="G96" s="115">
        <v>2.7300000000000001E-2</v>
      </c>
      <c r="H96" s="114">
        <v>0.59</v>
      </c>
      <c r="I96" s="114">
        <v>0.56640000000000001</v>
      </c>
      <c r="J96" s="115">
        <v>0.6673</v>
      </c>
      <c r="K96" s="115">
        <v>0.66400000000000003</v>
      </c>
      <c r="L96" s="114">
        <v>0.6</v>
      </c>
      <c r="M96" s="114">
        <v>0.39</v>
      </c>
      <c r="N96" s="114">
        <v>0.63</v>
      </c>
      <c r="O96" s="114">
        <v>0.71</v>
      </c>
      <c r="P96" s="114">
        <v>0.61</v>
      </c>
      <c r="Q96" s="92"/>
      <c r="R96" s="92"/>
      <c r="S96" s="92"/>
      <c r="T96" s="92"/>
      <c r="U96" s="92"/>
      <c r="V96" s="92"/>
      <c r="W96" s="92"/>
      <c r="X96" s="92"/>
      <c r="Y96" s="92"/>
      <c r="Z96" s="92"/>
    </row>
    <row r="97" spans="1:26" ht="15.75" hidden="1" customHeight="1">
      <c r="A97" s="110" t="s">
        <v>193</v>
      </c>
      <c r="B97" s="111">
        <v>61</v>
      </c>
      <c r="C97" s="111">
        <v>1</v>
      </c>
      <c r="D97" s="112">
        <v>0.128</v>
      </c>
      <c r="E97" s="112">
        <v>4.3499999999999997E-2</v>
      </c>
      <c r="F97" s="111">
        <v>0.91</v>
      </c>
      <c r="G97" s="112">
        <v>3.8300000000000001E-2</v>
      </c>
      <c r="H97" s="111">
        <v>0.95</v>
      </c>
      <c r="I97" s="111">
        <v>0.53849999999999998</v>
      </c>
      <c r="J97" s="112">
        <v>0.56089999999999995</v>
      </c>
      <c r="K97" s="112">
        <v>0.1258</v>
      </c>
      <c r="L97" s="111">
        <v>0.84</v>
      </c>
      <c r="M97" s="111">
        <v>0.83</v>
      </c>
      <c r="N97" s="111">
        <v>1.06</v>
      </c>
      <c r="O97" s="111">
        <v>1.18</v>
      </c>
      <c r="P97" s="111">
        <v>0.99</v>
      </c>
      <c r="Q97" s="92"/>
      <c r="R97" s="92"/>
      <c r="S97" s="92"/>
      <c r="T97" s="92"/>
      <c r="U97" s="92"/>
      <c r="V97" s="92"/>
      <c r="W97" s="92"/>
      <c r="X97" s="92"/>
      <c r="Y97" s="92"/>
      <c r="Z97" s="92"/>
    </row>
    <row r="98" spans="1:26" ht="15.75" hidden="1" customHeight="1">
      <c r="A98" s="113" t="s">
        <v>194</v>
      </c>
      <c r="B98" s="114">
        <v>32</v>
      </c>
      <c r="C98" s="114">
        <v>0.89</v>
      </c>
      <c r="D98" s="115">
        <v>1.0017</v>
      </c>
      <c r="E98" s="115">
        <v>3.6499999999999998E-2</v>
      </c>
      <c r="F98" s="114">
        <v>0.51</v>
      </c>
      <c r="G98" s="115">
        <v>1.77E-2</v>
      </c>
      <c r="H98" s="114">
        <v>0.52</v>
      </c>
      <c r="I98" s="114">
        <v>0.56820000000000004</v>
      </c>
      <c r="J98" s="115">
        <v>0.6371</v>
      </c>
      <c r="K98" s="115">
        <v>0.157</v>
      </c>
      <c r="L98" s="114">
        <v>0.67</v>
      </c>
      <c r="M98" s="114">
        <v>0.42</v>
      </c>
      <c r="N98" s="114">
        <v>0.51</v>
      </c>
      <c r="O98" s="114">
        <v>0.47</v>
      </c>
      <c r="P98" s="114">
        <v>0.5</v>
      </c>
      <c r="Q98" s="92"/>
      <c r="R98" s="92"/>
      <c r="S98" s="92"/>
      <c r="T98" s="92"/>
      <c r="U98" s="92"/>
      <c r="V98" s="92"/>
      <c r="W98" s="92"/>
      <c r="X98" s="92"/>
      <c r="Y98" s="92"/>
      <c r="Z98" s="92"/>
    </row>
    <row r="99" spans="1:26" ht="15.75" hidden="1" customHeight="1">
      <c r="A99" s="110" t="s">
        <v>195</v>
      </c>
      <c r="B99" s="111">
        <v>12</v>
      </c>
      <c r="C99" s="111">
        <v>0.98</v>
      </c>
      <c r="D99" s="112">
        <v>0.27960000000000002</v>
      </c>
      <c r="E99" s="112">
        <v>0.125</v>
      </c>
      <c r="F99" s="111">
        <v>0.81</v>
      </c>
      <c r="G99" s="112">
        <v>1.8100000000000002E-2</v>
      </c>
      <c r="H99" s="111">
        <v>0.83</v>
      </c>
      <c r="I99" s="111">
        <v>0.55330000000000001</v>
      </c>
      <c r="J99" s="112">
        <v>0.68340000000000001</v>
      </c>
      <c r="K99" s="112">
        <v>9.6299999999999997E-2</v>
      </c>
      <c r="L99" s="111">
        <v>1.43</v>
      </c>
      <c r="M99" s="111">
        <v>0.61</v>
      </c>
      <c r="N99" s="111">
        <v>0.86</v>
      </c>
      <c r="O99" s="111">
        <v>1.74</v>
      </c>
      <c r="P99" s="111">
        <v>1.1299999999999999</v>
      </c>
      <c r="Q99" s="92"/>
      <c r="R99" s="92"/>
      <c r="S99" s="92"/>
      <c r="T99" s="92"/>
      <c r="U99" s="92"/>
      <c r="V99" s="92"/>
      <c r="W99" s="92"/>
      <c r="X99" s="92"/>
      <c r="Y99" s="92"/>
      <c r="Z99" s="92"/>
    </row>
    <row r="100" spans="1:26" ht="15.75" hidden="1" customHeight="1">
      <c r="A100" s="113" t="s">
        <v>196</v>
      </c>
      <c r="B100" s="114">
        <v>21</v>
      </c>
      <c r="C100" s="114">
        <v>1.03</v>
      </c>
      <c r="D100" s="115">
        <v>0.3871</v>
      </c>
      <c r="E100" s="115">
        <v>0.11899999999999999</v>
      </c>
      <c r="F100" s="114">
        <v>0.8</v>
      </c>
      <c r="G100" s="115">
        <v>4.3799999999999999E-2</v>
      </c>
      <c r="H100" s="114">
        <v>0.83</v>
      </c>
      <c r="I100" s="114">
        <v>0.48199999999999998</v>
      </c>
      <c r="J100" s="115">
        <v>0.51680000000000004</v>
      </c>
      <c r="K100" s="115">
        <v>0.54969999999999997</v>
      </c>
      <c r="L100" s="114">
        <v>0.96</v>
      </c>
      <c r="M100" s="114">
        <v>0.79</v>
      </c>
      <c r="N100" s="114">
        <v>0.72</v>
      </c>
      <c r="O100" s="114">
        <v>0.92</v>
      </c>
      <c r="P100" s="114">
        <v>0.85</v>
      </c>
      <c r="Q100" s="92"/>
      <c r="R100" s="92"/>
      <c r="S100" s="92"/>
      <c r="T100" s="92"/>
      <c r="U100" s="92"/>
      <c r="V100" s="92"/>
      <c r="W100" s="92"/>
      <c r="X100" s="92"/>
      <c r="Y100" s="92"/>
      <c r="Z100" s="92"/>
    </row>
    <row r="101" spans="1:26" ht="15.75" hidden="1" customHeight="1">
      <c r="A101" s="110" t="s">
        <v>197</v>
      </c>
      <c r="B101" s="111">
        <v>4</v>
      </c>
      <c r="C101" s="111">
        <v>0.99</v>
      </c>
      <c r="D101" s="112">
        <v>0.28389999999999999</v>
      </c>
      <c r="E101" s="112">
        <v>0.1714</v>
      </c>
      <c r="F101" s="111">
        <v>0.82</v>
      </c>
      <c r="G101" s="112">
        <v>1.0999999999999999E-2</v>
      </c>
      <c r="H101" s="111">
        <v>0.83</v>
      </c>
      <c r="I101" s="111">
        <v>0.21479999999999999</v>
      </c>
      <c r="J101" s="112">
        <v>0.2656</v>
      </c>
      <c r="K101" s="112">
        <v>0.1305</v>
      </c>
      <c r="L101" s="111">
        <v>1.89</v>
      </c>
      <c r="M101" s="111">
        <v>0.74</v>
      </c>
      <c r="N101" s="111">
        <v>0.65</v>
      </c>
      <c r="O101" s="111">
        <v>0.93</v>
      </c>
      <c r="P101" s="111">
        <v>1.01</v>
      </c>
      <c r="Q101" s="92"/>
      <c r="R101" s="92"/>
      <c r="S101" s="92"/>
      <c r="T101" s="92"/>
      <c r="U101" s="92"/>
      <c r="V101" s="92"/>
      <c r="W101" s="92"/>
      <c r="X101" s="92"/>
      <c r="Y101" s="92"/>
      <c r="Z101" s="92"/>
    </row>
    <row r="102" spans="1:26" ht="15.75" hidden="1" customHeight="1">
      <c r="A102" s="113" t="s">
        <v>198</v>
      </c>
      <c r="B102" s="114">
        <v>24</v>
      </c>
      <c r="C102" s="114">
        <v>1.1000000000000001</v>
      </c>
      <c r="D102" s="115">
        <v>0.22919999999999999</v>
      </c>
      <c r="E102" s="115">
        <v>0.186</v>
      </c>
      <c r="F102" s="114">
        <v>0.94</v>
      </c>
      <c r="G102" s="115">
        <v>2.2700000000000001E-2</v>
      </c>
      <c r="H102" s="114">
        <v>0.96</v>
      </c>
      <c r="I102" s="114">
        <v>0.35149999999999998</v>
      </c>
      <c r="J102" s="115">
        <v>0.32179999999999997</v>
      </c>
      <c r="K102" s="115">
        <v>0.37</v>
      </c>
      <c r="L102" s="114">
        <v>1.04</v>
      </c>
      <c r="M102" s="114">
        <v>0.94</v>
      </c>
      <c r="N102" s="114">
        <v>1.28</v>
      </c>
      <c r="O102" s="114">
        <v>1.23</v>
      </c>
      <c r="P102" s="114">
        <v>1.1000000000000001</v>
      </c>
      <c r="Q102" s="92"/>
      <c r="R102" s="92"/>
      <c r="S102" s="92"/>
      <c r="T102" s="92"/>
      <c r="U102" s="92"/>
      <c r="V102" s="92"/>
      <c r="W102" s="92"/>
      <c r="X102" s="92"/>
      <c r="Y102" s="92"/>
      <c r="Z102" s="92"/>
    </row>
    <row r="103" spans="1:26" ht="15.75" hidden="1" customHeight="1">
      <c r="A103" s="110" t="s">
        <v>199</v>
      </c>
      <c r="B103" s="111">
        <v>14</v>
      </c>
      <c r="C103" s="111">
        <v>0.39</v>
      </c>
      <c r="D103" s="112">
        <v>0.78059999999999996</v>
      </c>
      <c r="E103" s="112">
        <v>0.1065</v>
      </c>
      <c r="F103" s="111">
        <v>0.25</v>
      </c>
      <c r="G103" s="112">
        <v>8.0999999999999996E-3</v>
      </c>
      <c r="H103" s="111">
        <v>0.25</v>
      </c>
      <c r="I103" s="111">
        <v>0.15659999999999999</v>
      </c>
      <c r="J103" s="112">
        <v>0.18210000000000001</v>
      </c>
      <c r="K103" s="112">
        <v>0.128</v>
      </c>
      <c r="L103" s="111">
        <v>0.19</v>
      </c>
      <c r="M103" s="111">
        <v>0.48</v>
      </c>
      <c r="N103" s="111">
        <v>0.6</v>
      </c>
      <c r="O103" s="111">
        <v>0.41</v>
      </c>
      <c r="P103" s="111">
        <v>0.41</v>
      </c>
      <c r="Q103" s="92"/>
      <c r="R103" s="92"/>
      <c r="S103" s="92"/>
      <c r="T103" s="92"/>
      <c r="U103" s="92"/>
      <c r="V103" s="92"/>
      <c r="W103" s="92"/>
      <c r="X103" s="92"/>
      <c r="Y103" s="92"/>
      <c r="Z103" s="92"/>
    </row>
    <row r="104" spans="1:26" ht="15.75" hidden="1" customHeight="1">
      <c r="A104" s="113" t="s">
        <v>200</v>
      </c>
      <c r="B104" s="114">
        <v>15</v>
      </c>
      <c r="C104" s="114">
        <v>0.68</v>
      </c>
      <c r="D104" s="115">
        <v>0.58640000000000003</v>
      </c>
      <c r="E104" s="115">
        <v>0.11360000000000001</v>
      </c>
      <c r="F104" s="114">
        <v>0.47</v>
      </c>
      <c r="G104" s="115">
        <v>4.1000000000000003E-3</v>
      </c>
      <c r="H104" s="114">
        <v>0.47</v>
      </c>
      <c r="I104" s="114">
        <v>0.35170000000000001</v>
      </c>
      <c r="J104" s="115">
        <v>0.52529999999999999</v>
      </c>
      <c r="K104" s="115">
        <v>0.1671</v>
      </c>
      <c r="L104" s="114">
        <v>0.56999999999999995</v>
      </c>
      <c r="M104" s="114">
        <v>0.56999999999999995</v>
      </c>
      <c r="N104" s="114">
        <v>0.61</v>
      </c>
      <c r="O104" s="114">
        <v>0.87</v>
      </c>
      <c r="P104" s="114">
        <v>0.63</v>
      </c>
      <c r="Q104" s="92"/>
      <c r="R104" s="92"/>
      <c r="S104" s="92"/>
      <c r="T104" s="92"/>
      <c r="U104" s="92"/>
      <c r="V104" s="92"/>
      <c r="W104" s="92"/>
      <c r="X104" s="92"/>
      <c r="Y104" s="92"/>
      <c r="Z104" s="92"/>
    </row>
    <row r="105" spans="1:26" ht="15.75" hidden="1" customHeight="1">
      <c r="A105" s="110" t="s">
        <v>201</v>
      </c>
      <c r="B105" s="111">
        <v>6062</v>
      </c>
      <c r="C105" s="111">
        <v>1</v>
      </c>
      <c r="D105" s="112">
        <v>0.39179999999999998</v>
      </c>
      <c r="E105" s="112">
        <v>8.0299999999999996E-2</v>
      </c>
      <c r="F105" s="111">
        <v>0.77</v>
      </c>
      <c r="G105" s="112">
        <v>5.11E-2</v>
      </c>
      <c r="H105" s="111">
        <v>0.82</v>
      </c>
      <c r="I105" s="111">
        <v>0.46689999999999998</v>
      </c>
      <c r="J105" s="112">
        <v>0.52529999999999999</v>
      </c>
      <c r="K105" s="112">
        <v>0.25269999999999998</v>
      </c>
      <c r="L105" s="117">
        <v>0.83</v>
      </c>
      <c r="M105" s="111">
        <v>0.75</v>
      </c>
      <c r="N105" s="111">
        <v>0.91</v>
      </c>
      <c r="O105" s="111">
        <v>0.88</v>
      </c>
      <c r="P105" s="111">
        <v>0.83</v>
      </c>
      <c r="Q105" s="95"/>
      <c r="R105" s="95"/>
      <c r="S105" s="95"/>
      <c r="T105" s="95"/>
      <c r="U105" s="95"/>
      <c r="V105" s="95"/>
      <c r="W105" s="95"/>
      <c r="X105" s="95"/>
      <c r="Y105" s="95"/>
      <c r="Z105" s="95"/>
    </row>
    <row r="106" spans="1:26" ht="15.75" hidden="1" customHeight="1">
      <c r="A106" s="113" t="s">
        <v>202</v>
      </c>
      <c r="B106" s="114">
        <v>4935</v>
      </c>
      <c r="C106" s="114">
        <v>1.0900000000000001</v>
      </c>
      <c r="D106" s="115">
        <v>0.19289999999999999</v>
      </c>
      <c r="E106" s="115">
        <v>6.7500000000000004E-2</v>
      </c>
      <c r="F106" s="114">
        <v>0.95</v>
      </c>
      <c r="G106" s="115">
        <v>2.8899999999999999E-2</v>
      </c>
      <c r="H106" s="114">
        <v>0.98</v>
      </c>
      <c r="I106" s="114">
        <v>0.51390000000000002</v>
      </c>
      <c r="J106" s="115">
        <v>0.57399999999999995</v>
      </c>
      <c r="K106" s="115">
        <v>0.25779999999999997</v>
      </c>
      <c r="L106" s="118">
        <v>1.01</v>
      </c>
      <c r="M106" s="114">
        <v>0.86</v>
      </c>
      <c r="N106" s="114">
        <v>1.04</v>
      </c>
      <c r="O106" s="114">
        <v>1.1200000000000001</v>
      </c>
      <c r="P106" s="114">
        <v>1</v>
      </c>
      <c r="Q106" s="95"/>
      <c r="R106" s="95"/>
      <c r="S106" s="95"/>
      <c r="T106" s="95"/>
      <c r="U106" s="95"/>
      <c r="V106" s="95"/>
      <c r="W106" s="95"/>
      <c r="X106" s="95"/>
      <c r="Y106" s="95"/>
      <c r="Z106" s="95"/>
    </row>
    <row r="107" spans="1:26" ht="15.75" hidden="1" customHeight="1">
      <c r="A107" s="92"/>
      <c r="B107" s="92"/>
      <c r="C107" s="92"/>
      <c r="D107" s="92"/>
      <c r="E107" s="92"/>
      <c r="F107" s="92"/>
      <c r="G107" s="92">
        <f>1/G13</f>
        <v>9.7276264591439681</v>
      </c>
      <c r="H107" s="92"/>
      <c r="I107" s="92"/>
      <c r="J107" s="92"/>
      <c r="K107" s="92"/>
      <c r="L107" s="92"/>
      <c r="M107" s="92"/>
      <c r="N107" s="92"/>
      <c r="O107" s="92"/>
      <c r="P107" s="93"/>
      <c r="Q107" s="92"/>
      <c r="R107" s="92"/>
      <c r="S107" s="92"/>
      <c r="T107" s="92"/>
      <c r="U107" s="92"/>
      <c r="V107" s="92"/>
      <c r="W107" s="92"/>
      <c r="X107" s="92"/>
      <c r="Y107" s="92"/>
      <c r="Z107" s="92"/>
    </row>
    <row r="108" spans="1:26" ht="15.75" hidden="1" customHeight="1">
      <c r="A108" s="92"/>
      <c r="B108" s="92"/>
      <c r="C108" s="92"/>
      <c r="D108" s="92"/>
      <c r="E108" s="92"/>
      <c r="F108" s="92"/>
      <c r="G108" s="92">
        <f>1/G50</f>
        <v>14.245014245014245</v>
      </c>
      <c r="H108" s="92"/>
      <c r="I108" s="92"/>
      <c r="J108" s="92"/>
      <c r="K108" s="92"/>
      <c r="L108" s="92"/>
      <c r="M108" s="92"/>
      <c r="N108" s="92"/>
      <c r="O108" s="92"/>
      <c r="P108" s="93"/>
      <c r="Q108" s="92"/>
      <c r="R108" s="92"/>
      <c r="S108" s="92"/>
      <c r="T108" s="92"/>
      <c r="U108" s="92"/>
      <c r="V108" s="92"/>
      <c r="W108" s="92"/>
      <c r="X108" s="92"/>
      <c r="Y108" s="92"/>
      <c r="Z108" s="92"/>
    </row>
    <row r="109" spans="1:26" ht="15.75" customHeight="1">
      <c r="A109" s="92"/>
      <c r="B109" s="92"/>
      <c r="C109" s="92"/>
      <c r="D109" s="92"/>
      <c r="E109" s="92"/>
      <c r="F109" s="92"/>
      <c r="G109" s="92"/>
      <c r="H109" s="92"/>
      <c r="I109" s="92"/>
      <c r="J109" s="92"/>
      <c r="K109" s="92"/>
      <c r="L109" s="92"/>
      <c r="M109" s="92"/>
      <c r="N109" s="92"/>
      <c r="O109" s="92"/>
      <c r="P109" s="93"/>
      <c r="Q109" s="92"/>
      <c r="R109" s="92"/>
      <c r="S109" s="92"/>
      <c r="T109" s="92"/>
      <c r="U109" s="92"/>
      <c r="V109" s="92"/>
      <c r="W109" s="92"/>
      <c r="X109" s="92"/>
      <c r="Y109" s="92"/>
      <c r="Z109" s="92"/>
    </row>
    <row r="110" spans="1:26" ht="15.75" customHeight="1">
      <c r="A110" s="92"/>
      <c r="B110" s="92"/>
      <c r="C110" s="92"/>
      <c r="D110" s="92"/>
      <c r="E110" s="92"/>
      <c r="F110" s="92"/>
      <c r="G110" s="92">
        <f>1/G75</f>
        <v>9.2936802973977688</v>
      </c>
      <c r="H110" s="92"/>
      <c r="I110" s="92"/>
      <c r="J110" s="92"/>
      <c r="K110" s="92"/>
      <c r="L110" s="92"/>
      <c r="M110" s="92"/>
      <c r="N110" s="92"/>
      <c r="O110" s="92"/>
      <c r="P110" s="93"/>
      <c r="Q110" s="92"/>
      <c r="R110" s="92"/>
      <c r="S110" s="92"/>
      <c r="T110" s="92"/>
      <c r="U110" s="92"/>
      <c r="V110" s="92"/>
      <c r="W110" s="92"/>
      <c r="X110" s="92"/>
      <c r="Y110" s="92"/>
      <c r="Z110" s="92"/>
    </row>
    <row r="111" spans="1:26" ht="15.75" customHeight="1">
      <c r="A111" s="92"/>
      <c r="B111" s="92"/>
      <c r="C111" s="92"/>
      <c r="D111" s="92"/>
      <c r="E111" s="92"/>
      <c r="F111" s="92"/>
      <c r="G111" s="92"/>
      <c r="H111" s="92"/>
      <c r="I111" s="92"/>
      <c r="J111" s="92"/>
      <c r="K111" s="92"/>
      <c r="L111" s="92"/>
      <c r="M111" s="92"/>
      <c r="N111" s="92"/>
      <c r="O111" s="92"/>
      <c r="P111" s="93"/>
      <c r="Q111" s="92"/>
      <c r="R111" s="92"/>
      <c r="S111" s="92"/>
      <c r="T111" s="92"/>
      <c r="U111" s="92"/>
      <c r="V111" s="92"/>
      <c r="W111" s="92"/>
      <c r="X111" s="92"/>
      <c r="Y111" s="92"/>
      <c r="Z111" s="92"/>
    </row>
    <row r="112" spans="1:26" ht="15.75" customHeight="1">
      <c r="A112" s="92"/>
      <c r="B112" s="92"/>
      <c r="C112" s="92"/>
      <c r="D112" s="92"/>
      <c r="E112" s="92"/>
      <c r="F112" s="92"/>
      <c r="G112" s="92">
        <f>1/G54</f>
        <v>19.342359767891683</v>
      </c>
      <c r="H112" s="92"/>
      <c r="I112" s="92"/>
      <c r="J112" s="92"/>
      <c r="K112" s="92"/>
      <c r="L112" s="92"/>
      <c r="M112" s="92"/>
      <c r="N112" s="92"/>
      <c r="O112" s="92"/>
      <c r="P112" s="93"/>
      <c r="Q112" s="92"/>
      <c r="R112" s="92"/>
      <c r="S112" s="92"/>
      <c r="T112" s="92"/>
      <c r="U112" s="92"/>
      <c r="V112" s="92"/>
      <c r="W112" s="92"/>
      <c r="X112" s="92"/>
      <c r="Y112" s="92"/>
      <c r="Z112" s="92"/>
    </row>
    <row r="113" spans="1:26" ht="15.75" customHeight="1">
      <c r="A113" s="92"/>
      <c r="B113" s="92"/>
      <c r="C113" s="92"/>
      <c r="D113" s="92"/>
      <c r="E113" s="92"/>
      <c r="F113" s="92"/>
      <c r="G113" s="92"/>
      <c r="H113" s="92"/>
      <c r="I113" s="92"/>
      <c r="J113" s="92"/>
      <c r="K113" s="92"/>
      <c r="L113" s="92"/>
      <c r="M113" s="92"/>
      <c r="N113" s="92"/>
      <c r="O113" s="92"/>
      <c r="P113" s="93"/>
      <c r="Q113" s="92"/>
      <c r="R113" s="92"/>
      <c r="S113" s="92"/>
      <c r="T113" s="92"/>
      <c r="U113" s="92"/>
      <c r="V113" s="92"/>
      <c r="W113" s="92"/>
      <c r="X113" s="92"/>
      <c r="Y113" s="92"/>
      <c r="Z113" s="92"/>
    </row>
    <row r="114" spans="1:26" ht="15.75" customHeight="1">
      <c r="A114" s="92"/>
      <c r="B114" s="92"/>
      <c r="C114" s="92"/>
      <c r="D114" s="92"/>
      <c r="E114" s="92"/>
      <c r="F114" s="92"/>
      <c r="G114" s="92">
        <f>1/G56</f>
        <v>32.051282051282051</v>
      </c>
      <c r="H114" s="92"/>
      <c r="I114" s="92"/>
      <c r="J114" s="92"/>
      <c r="K114" s="92"/>
      <c r="L114" s="92"/>
      <c r="M114" s="92"/>
      <c r="N114" s="92"/>
      <c r="O114" s="92"/>
      <c r="P114" s="93"/>
      <c r="Q114" s="92"/>
      <c r="R114" s="92"/>
      <c r="S114" s="92"/>
      <c r="T114" s="92"/>
      <c r="U114" s="92"/>
      <c r="V114" s="92"/>
      <c r="W114" s="92"/>
      <c r="X114" s="92"/>
      <c r="Y114" s="92"/>
      <c r="Z114" s="92"/>
    </row>
    <row r="115" spans="1:26" ht="15.75" customHeight="1">
      <c r="A115" s="1377" t="s">
        <v>203</v>
      </c>
      <c r="B115" s="1337"/>
      <c r="C115" s="1337"/>
      <c r="D115" s="1337"/>
      <c r="E115" s="1337"/>
      <c r="F115" s="1337"/>
      <c r="G115" s="1337"/>
      <c r="H115" s="119"/>
      <c r="I115" s="92"/>
      <c r="J115" s="92"/>
      <c r="K115" s="92"/>
      <c r="L115" s="92"/>
      <c r="M115" s="92"/>
      <c r="N115" s="92"/>
      <c r="O115" s="92"/>
      <c r="P115" s="93"/>
      <c r="Q115" s="92"/>
      <c r="R115" s="92"/>
      <c r="S115" s="92"/>
      <c r="T115" s="92"/>
      <c r="U115" s="92"/>
      <c r="V115" s="92"/>
      <c r="W115" s="92"/>
      <c r="X115" s="92"/>
      <c r="Y115" s="92"/>
      <c r="Z115" s="92"/>
    </row>
    <row r="116" spans="1:26" ht="33" customHeight="1">
      <c r="A116" s="120" t="s">
        <v>204</v>
      </c>
      <c r="B116" s="120" t="s">
        <v>91</v>
      </c>
      <c r="C116" s="121" t="s">
        <v>92</v>
      </c>
      <c r="D116" s="120" t="s">
        <v>93</v>
      </c>
      <c r="E116" s="120" t="s">
        <v>94</v>
      </c>
      <c r="F116" s="120" t="s">
        <v>95</v>
      </c>
      <c r="G116" s="122" t="s">
        <v>205</v>
      </c>
      <c r="H116" s="123" t="s">
        <v>206</v>
      </c>
      <c r="I116" s="124" t="s">
        <v>207</v>
      </c>
      <c r="J116" s="92"/>
      <c r="K116" s="92"/>
      <c r="L116" s="92"/>
      <c r="M116" s="92"/>
      <c r="N116" s="92"/>
      <c r="O116" s="92"/>
      <c r="P116" s="93"/>
      <c r="Q116" s="92"/>
      <c r="R116" s="92"/>
      <c r="S116" s="92"/>
      <c r="T116" s="92"/>
      <c r="U116" s="92"/>
      <c r="V116" s="92"/>
      <c r="W116" s="92"/>
      <c r="X116" s="92"/>
      <c r="Y116" s="92"/>
      <c r="Z116" s="92"/>
    </row>
    <row r="117" spans="1:26" ht="15.75" customHeight="1">
      <c r="A117" s="110" t="s">
        <v>136</v>
      </c>
      <c r="B117" s="111">
        <v>42</v>
      </c>
      <c r="C117" s="111">
        <v>0.99</v>
      </c>
      <c r="D117" s="112">
        <v>0.1792</v>
      </c>
      <c r="E117" s="112">
        <v>0.14710000000000001</v>
      </c>
      <c r="F117" s="111">
        <v>0.87</v>
      </c>
      <c r="G117" s="100" t="s">
        <v>208</v>
      </c>
      <c r="H117" s="125">
        <v>0.3</v>
      </c>
      <c r="I117" s="126">
        <f>+F117*(1+(1-H117)*D117)</f>
        <v>0.97913280000000003</v>
      </c>
      <c r="J117" s="92"/>
      <c r="K117" s="92"/>
      <c r="L117" s="92"/>
      <c r="M117" s="92"/>
      <c r="N117" s="92"/>
      <c r="O117" s="92"/>
      <c r="P117" s="93"/>
      <c r="Q117" s="92"/>
      <c r="R117" s="92"/>
      <c r="S117" s="92"/>
      <c r="T117" s="92"/>
      <c r="U117" s="92"/>
      <c r="V117" s="92"/>
      <c r="W117" s="92"/>
      <c r="X117" s="92"/>
      <c r="Y117" s="92"/>
      <c r="Z117" s="92"/>
    </row>
    <row r="118" spans="1:26" ht="15.75" customHeight="1">
      <c r="A118" s="92"/>
      <c r="B118" s="92"/>
      <c r="C118" s="92"/>
      <c r="D118" s="92"/>
      <c r="E118" s="92"/>
      <c r="F118" s="92"/>
      <c r="G118" s="92"/>
      <c r="H118" s="92"/>
      <c r="I118" s="92"/>
      <c r="J118" s="92"/>
      <c r="K118" s="92"/>
      <c r="L118" s="92"/>
      <c r="M118" s="92"/>
      <c r="N118" s="92"/>
      <c r="O118" s="92"/>
      <c r="P118" s="93"/>
      <c r="Q118" s="92"/>
      <c r="R118" s="92"/>
      <c r="S118" s="92"/>
      <c r="T118" s="92"/>
      <c r="U118" s="92"/>
      <c r="V118" s="92"/>
      <c r="W118" s="92"/>
      <c r="X118" s="92"/>
      <c r="Y118" s="92"/>
      <c r="Z118" s="92"/>
    </row>
    <row r="119" spans="1:26" ht="15.75" customHeight="1">
      <c r="A119" s="92"/>
      <c r="B119" s="92"/>
      <c r="C119" s="92"/>
      <c r="D119" s="92"/>
      <c r="E119" s="92"/>
      <c r="F119" s="92"/>
      <c r="G119" s="92"/>
      <c r="H119" s="92"/>
      <c r="I119" s="92"/>
      <c r="J119" s="92"/>
      <c r="K119" s="92"/>
      <c r="L119" s="92"/>
      <c r="M119" s="92"/>
      <c r="N119" s="92"/>
      <c r="O119" s="92"/>
      <c r="P119" s="93"/>
      <c r="Q119" s="92"/>
      <c r="R119" s="92"/>
      <c r="S119" s="92"/>
      <c r="T119" s="92"/>
      <c r="U119" s="92"/>
      <c r="V119" s="92"/>
      <c r="W119" s="92"/>
      <c r="X119" s="92"/>
      <c r="Y119" s="92"/>
      <c r="Z119" s="92"/>
    </row>
    <row r="120" spans="1:26" ht="15.75" customHeight="1">
      <c r="A120" s="92"/>
      <c r="B120" s="92"/>
      <c r="C120" s="92"/>
      <c r="D120" s="92"/>
      <c r="E120" s="92"/>
      <c r="F120" s="92"/>
      <c r="G120" s="92"/>
      <c r="H120" s="92"/>
      <c r="I120" s="92"/>
      <c r="J120" s="92"/>
      <c r="K120" s="92"/>
      <c r="L120" s="92"/>
      <c r="M120" s="92"/>
      <c r="N120" s="92"/>
      <c r="O120" s="92"/>
      <c r="P120" s="93"/>
      <c r="Q120" s="92"/>
      <c r="R120" s="92"/>
      <c r="S120" s="92"/>
      <c r="T120" s="92"/>
      <c r="U120" s="92"/>
      <c r="V120" s="92"/>
      <c r="W120" s="92"/>
      <c r="X120" s="92"/>
      <c r="Y120" s="92"/>
      <c r="Z120" s="92"/>
    </row>
    <row r="121" spans="1:26" ht="15.75" customHeight="1">
      <c r="A121" s="92"/>
      <c r="B121" s="92"/>
      <c r="C121" s="92"/>
      <c r="D121" s="92"/>
      <c r="E121" s="92"/>
      <c r="F121" s="92"/>
      <c r="G121" s="92"/>
      <c r="H121" s="92"/>
      <c r="I121" s="92"/>
      <c r="J121" s="92"/>
      <c r="K121" s="92"/>
      <c r="L121" s="92"/>
      <c r="M121" s="92"/>
      <c r="N121" s="92"/>
      <c r="O121" s="92"/>
      <c r="P121" s="93"/>
      <c r="Q121" s="92"/>
      <c r="R121" s="92"/>
      <c r="S121" s="92"/>
      <c r="T121" s="92"/>
      <c r="U121" s="92"/>
      <c r="V121" s="92"/>
      <c r="W121" s="92"/>
      <c r="X121" s="92"/>
      <c r="Y121" s="92"/>
      <c r="Z121" s="92"/>
    </row>
    <row r="122" spans="1:26" ht="15.75" customHeight="1">
      <c r="A122" s="92"/>
      <c r="B122" s="92"/>
      <c r="C122" s="92"/>
      <c r="D122" s="92"/>
      <c r="E122" s="92"/>
      <c r="F122" s="92"/>
      <c r="G122" s="92"/>
      <c r="H122" s="92"/>
      <c r="I122" s="92"/>
      <c r="J122" s="92"/>
      <c r="K122" s="92"/>
      <c r="L122" s="92"/>
      <c r="M122" s="92"/>
      <c r="N122" s="92"/>
      <c r="O122" s="92"/>
      <c r="P122" s="93"/>
      <c r="Q122" s="92"/>
      <c r="R122" s="92"/>
      <c r="S122" s="92"/>
      <c r="T122" s="92"/>
      <c r="U122" s="92"/>
      <c r="V122" s="92"/>
      <c r="W122" s="92"/>
      <c r="X122" s="92"/>
      <c r="Y122" s="92"/>
      <c r="Z122" s="92"/>
    </row>
    <row r="123" spans="1:26" ht="15.75" customHeight="1">
      <c r="A123" s="92"/>
      <c r="B123" s="92"/>
      <c r="C123" s="92"/>
      <c r="D123" s="92"/>
      <c r="E123" s="92"/>
      <c r="F123" s="92"/>
      <c r="G123" s="92"/>
      <c r="H123" s="92"/>
      <c r="I123" s="92"/>
      <c r="J123" s="92"/>
      <c r="K123" s="92"/>
      <c r="L123" s="92"/>
      <c r="M123" s="92"/>
      <c r="N123" s="92"/>
      <c r="O123" s="92"/>
      <c r="P123" s="93"/>
      <c r="Q123" s="92"/>
      <c r="R123" s="92"/>
      <c r="S123" s="92"/>
      <c r="T123" s="92"/>
      <c r="U123" s="92"/>
      <c r="V123" s="92"/>
      <c r="W123" s="92"/>
      <c r="X123" s="92"/>
      <c r="Y123" s="92"/>
      <c r="Z123" s="92"/>
    </row>
    <row r="124" spans="1:26" ht="15.75" customHeight="1">
      <c r="A124" s="92"/>
      <c r="B124" s="92"/>
      <c r="C124" s="92"/>
      <c r="D124" s="92"/>
      <c r="E124" s="92"/>
      <c r="F124" s="92"/>
      <c r="G124" s="92"/>
      <c r="H124" s="92"/>
      <c r="I124" s="92"/>
      <c r="J124" s="92"/>
      <c r="K124" s="92"/>
      <c r="L124" s="92"/>
      <c r="M124" s="92"/>
      <c r="N124" s="92"/>
      <c r="O124" s="92"/>
      <c r="P124" s="93"/>
      <c r="Q124" s="92"/>
      <c r="R124" s="92"/>
      <c r="S124" s="92"/>
      <c r="T124" s="92"/>
      <c r="U124" s="92"/>
      <c r="V124" s="92"/>
      <c r="W124" s="92"/>
      <c r="X124" s="92"/>
      <c r="Y124" s="92"/>
      <c r="Z124" s="92"/>
    </row>
    <row r="125" spans="1:26" ht="15.75" customHeight="1">
      <c r="A125" s="92"/>
      <c r="B125" s="92"/>
      <c r="C125" s="92"/>
      <c r="D125" s="92"/>
      <c r="E125" s="92"/>
      <c r="F125" s="92"/>
      <c r="G125" s="92"/>
      <c r="H125" s="92"/>
      <c r="I125" s="92"/>
      <c r="J125" s="92"/>
      <c r="K125" s="92"/>
      <c r="L125" s="92"/>
      <c r="M125" s="92"/>
      <c r="N125" s="92"/>
      <c r="O125" s="92"/>
      <c r="P125" s="93"/>
      <c r="Q125" s="92"/>
      <c r="R125" s="92"/>
      <c r="S125" s="92"/>
      <c r="T125" s="92"/>
      <c r="U125" s="92"/>
      <c r="V125" s="92"/>
      <c r="W125" s="92"/>
      <c r="X125" s="92"/>
      <c r="Y125" s="92"/>
      <c r="Z125" s="92"/>
    </row>
    <row r="126" spans="1:26" ht="15.75" customHeight="1">
      <c r="A126" s="92"/>
      <c r="B126" s="92"/>
      <c r="C126" s="92"/>
      <c r="D126" s="92"/>
      <c r="E126" s="92"/>
      <c r="F126" s="92"/>
      <c r="G126" s="92"/>
      <c r="H126" s="92"/>
      <c r="I126" s="92"/>
      <c r="J126" s="92"/>
      <c r="K126" s="92"/>
      <c r="L126" s="92"/>
      <c r="M126" s="92"/>
      <c r="N126" s="92"/>
      <c r="O126" s="92"/>
      <c r="P126" s="93"/>
      <c r="Q126" s="92"/>
      <c r="R126" s="92"/>
      <c r="S126" s="92"/>
      <c r="T126" s="92"/>
      <c r="U126" s="92"/>
      <c r="V126" s="92"/>
      <c r="W126" s="92"/>
      <c r="X126" s="92"/>
      <c r="Y126" s="92"/>
      <c r="Z126" s="92"/>
    </row>
    <row r="127" spans="1:26" ht="15.75" customHeight="1">
      <c r="A127" s="92"/>
      <c r="B127" s="92"/>
      <c r="C127" s="92"/>
      <c r="D127" s="92"/>
      <c r="E127" s="92"/>
      <c r="F127" s="92"/>
      <c r="G127" s="92"/>
      <c r="H127" s="92"/>
      <c r="I127" s="92"/>
      <c r="J127" s="92"/>
      <c r="K127" s="92"/>
      <c r="L127" s="92"/>
      <c r="M127" s="92"/>
      <c r="N127" s="92"/>
      <c r="O127" s="92"/>
      <c r="P127" s="93"/>
      <c r="Q127" s="92"/>
      <c r="R127" s="92"/>
      <c r="S127" s="92"/>
      <c r="T127" s="92"/>
      <c r="U127" s="92"/>
      <c r="V127" s="92"/>
      <c r="W127" s="92"/>
      <c r="X127" s="92"/>
      <c r="Y127" s="92"/>
      <c r="Z127" s="92"/>
    </row>
    <row r="128" spans="1:26" ht="15.75" customHeight="1">
      <c r="A128" s="92"/>
      <c r="B128" s="92"/>
      <c r="C128" s="92"/>
      <c r="D128" s="92"/>
      <c r="E128" s="92"/>
      <c r="F128" s="92"/>
      <c r="G128" s="92"/>
      <c r="H128" s="92"/>
      <c r="I128" s="92"/>
      <c r="J128" s="92"/>
      <c r="K128" s="92"/>
      <c r="L128" s="92"/>
      <c r="M128" s="92"/>
      <c r="N128" s="92"/>
      <c r="O128" s="92"/>
      <c r="P128" s="93"/>
      <c r="Q128" s="92"/>
      <c r="R128" s="92"/>
      <c r="S128" s="92"/>
      <c r="T128" s="92"/>
      <c r="U128" s="92"/>
      <c r="V128" s="92"/>
      <c r="W128" s="92"/>
      <c r="X128" s="92"/>
      <c r="Y128" s="92"/>
      <c r="Z128" s="92"/>
    </row>
    <row r="129" spans="1:26" ht="15.75" customHeight="1">
      <c r="A129" s="92"/>
      <c r="B129" s="92"/>
      <c r="C129" s="92"/>
      <c r="D129" s="92"/>
      <c r="E129" s="92"/>
      <c r="F129" s="92"/>
      <c r="G129" s="92"/>
      <c r="H129" s="92"/>
      <c r="I129" s="92"/>
      <c r="J129" s="92"/>
      <c r="K129" s="92"/>
      <c r="L129" s="92"/>
      <c r="M129" s="92"/>
      <c r="N129" s="92"/>
      <c r="O129" s="92"/>
      <c r="P129" s="93"/>
      <c r="Q129" s="92"/>
      <c r="R129" s="92"/>
      <c r="S129" s="92"/>
      <c r="T129" s="92"/>
      <c r="U129" s="92"/>
      <c r="V129" s="92"/>
      <c r="W129" s="92"/>
      <c r="X129" s="92"/>
      <c r="Y129" s="92"/>
      <c r="Z129" s="92"/>
    </row>
    <row r="130" spans="1:26" ht="15.75" customHeight="1">
      <c r="A130" s="92"/>
      <c r="B130" s="92"/>
      <c r="C130" s="92"/>
      <c r="D130" s="92"/>
      <c r="E130" s="92"/>
      <c r="F130" s="92"/>
      <c r="G130" s="92"/>
      <c r="H130" s="92"/>
      <c r="I130" s="92"/>
      <c r="J130" s="92"/>
      <c r="K130" s="92"/>
      <c r="L130" s="92"/>
      <c r="M130" s="92"/>
      <c r="N130" s="92"/>
      <c r="O130" s="92"/>
      <c r="P130" s="93"/>
      <c r="Q130" s="92"/>
      <c r="R130" s="92"/>
      <c r="S130" s="92"/>
      <c r="T130" s="92"/>
      <c r="U130" s="92"/>
      <c r="V130" s="92"/>
      <c r="W130" s="92"/>
      <c r="X130" s="92"/>
      <c r="Y130" s="92"/>
      <c r="Z130" s="92"/>
    </row>
    <row r="131" spans="1:26" ht="15.75" customHeight="1">
      <c r="A131" s="92"/>
      <c r="B131" s="92"/>
      <c r="C131" s="92"/>
      <c r="D131" s="92"/>
      <c r="E131" s="92"/>
      <c r="F131" s="92"/>
      <c r="G131" s="92"/>
      <c r="H131" s="92"/>
      <c r="I131" s="92"/>
      <c r="J131" s="92"/>
      <c r="K131" s="92"/>
      <c r="L131" s="92"/>
      <c r="M131" s="92"/>
      <c r="N131" s="92"/>
      <c r="O131" s="92"/>
      <c r="P131" s="93"/>
      <c r="Q131" s="92"/>
      <c r="R131" s="92"/>
      <c r="S131" s="92"/>
      <c r="T131" s="92"/>
      <c r="U131" s="92"/>
      <c r="V131" s="92"/>
      <c r="W131" s="92"/>
      <c r="X131" s="92"/>
      <c r="Y131" s="92"/>
      <c r="Z131" s="92"/>
    </row>
    <row r="132" spans="1:26" ht="15.75" customHeight="1">
      <c r="A132" s="92"/>
      <c r="B132" s="92"/>
      <c r="C132" s="92"/>
      <c r="D132" s="92"/>
      <c r="E132" s="92"/>
      <c r="F132" s="92"/>
      <c r="G132" s="92"/>
      <c r="H132" s="92"/>
      <c r="I132" s="92"/>
      <c r="J132" s="92"/>
      <c r="K132" s="92"/>
      <c r="L132" s="92"/>
      <c r="M132" s="92"/>
      <c r="N132" s="92"/>
      <c r="O132" s="92"/>
      <c r="P132" s="93"/>
      <c r="Q132" s="92"/>
      <c r="R132" s="92"/>
      <c r="S132" s="92"/>
      <c r="T132" s="92"/>
      <c r="U132" s="92"/>
      <c r="V132" s="92"/>
      <c r="W132" s="92"/>
      <c r="X132" s="92"/>
      <c r="Y132" s="92"/>
      <c r="Z132" s="92"/>
    </row>
    <row r="133" spans="1:26" ht="15.75" customHeight="1">
      <c r="A133" s="92"/>
      <c r="B133" s="92"/>
      <c r="C133" s="92"/>
      <c r="D133" s="92"/>
      <c r="E133" s="92"/>
      <c r="F133" s="92"/>
      <c r="G133" s="92"/>
      <c r="H133" s="92"/>
      <c r="I133" s="92"/>
      <c r="J133" s="92"/>
      <c r="K133" s="92"/>
      <c r="L133" s="92"/>
      <c r="M133" s="92"/>
      <c r="N133" s="92"/>
      <c r="O133" s="92"/>
      <c r="P133" s="93"/>
      <c r="Q133" s="92"/>
      <c r="R133" s="92"/>
      <c r="S133" s="92"/>
      <c r="T133" s="92"/>
      <c r="U133" s="92"/>
      <c r="V133" s="92"/>
      <c r="W133" s="92"/>
      <c r="X133" s="92"/>
      <c r="Y133" s="92"/>
      <c r="Z133" s="92"/>
    </row>
    <row r="134" spans="1:26" ht="15.75" customHeight="1">
      <c r="A134" s="92"/>
      <c r="B134" s="92"/>
      <c r="C134" s="92"/>
      <c r="D134" s="92"/>
      <c r="E134" s="92"/>
      <c r="F134" s="92"/>
      <c r="G134" s="92"/>
      <c r="H134" s="92"/>
      <c r="I134" s="92"/>
      <c r="J134" s="92"/>
      <c r="K134" s="92"/>
      <c r="L134" s="92"/>
      <c r="M134" s="92"/>
      <c r="N134" s="92"/>
      <c r="O134" s="92"/>
      <c r="P134" s="93"/>
      <c r="Q134" s="92"/>
      <c r="R134" s="92"/>
      <c r="S134" s="92"/>
      <c r="T134" s="92"/>
      <c r="U134" s="92"/>
      <c r="V134" s="92"/>
      <c r="W134" s="92"/>
      <c r="X134" s="92"/>
      <c r="Y134" s="92"/>
      <c r="Z134" s="92"/>
    </row>
    <row r="135" spans="1:26" ht="15.75" customHeight="1">
      <c r="A135" s="92"/>
      <c r="B135" s="92"/>
      <c r="C135" s="92"/>
      <c r="D135" s="92"/>
      <c r="E135" s="92"/>
      <c r="F135" s="92"/>
      <c r="G135" s="92"/>
      <c r="H135" s="92"/>
      <c r="I135" s="92"/>
      <c r="J135" s="92"/>
      <c r="K135" s="92"/>
      <c r="L135" s="92"/>
      <c r="M135" s="92"/>
      <c r="N135" s="92"/>
      <c r="O135" s="92"/>
      <c r="P135" s="93"/>
      <c r="Q135" s="92"/>
      <c r="R135" s="92"/>
      <c r="S135" s="92"/>
      <c r="T135" s="92"/>
      <c r="U135" s="92"/>
      <c r="V135" s="92"/>
      <c r="W135" s="92"/>
      <c r="X135" s="92"/>
      <c r="Y135" s="92"/>
      <c r="Z135" s="92"/>
    </row>
    <row r="136" spans="1:26" ht="15.75" customHeight="1">
      <c r="A136" s="92"/>
      <c r="B136" s="92"/>
      <c r="C136" s="92"/>
      <c r="D136" s="92"/>
      <c r="E136" s="92"/>
      <c r="F136" s="92"/>
      <c r="G136" s="92"/>
      <c r="H136" s="92"/>
      <c r="I136" s="92"/>
      <c r="J136" s="92"/>
      <c r="K136" s="92"/>
      <c r="L136" s="92"/>
      <c r="M136" s="92"/>
      <c r="N136" s="92"/>
      <c r="O136" s="92"/>
      <c r="P136" s="93"/>
      <c r="Q136" s="92"/>
      <c r="R136" s="92"/>
      <c r="S136" s="92"/>
      <c r="T136" s="92"/>
      <c r="U136" s="92"/>
      <c r="V136" s="92"/>
      <c r="W136" s="92"/>
      <c r="X136" s="92"/>
      <c r="Y136" s="92"/>
      <c r="Z136" s="92"/>
    </row>
    <row r="137" spans="1:26" ht="15.75" customHeight="1">
      <c r="A137" s="92"/>
      <c r="B137" s="92"/>
      <c r="C137" s="92"/>
      <c r="D137" s="92"/>
      <c r="E137" s="92"/>
      <c r="F137" s="92"/>
      <c r="G137" s="92"/>
      <c r="H137" s="92"/>
      <c r="I137" s="92"/>
      <c r="J137" s="92"/>
      <c r="K137" s="92"/>
      <c r="L137" s="92"/>
      <c r="M137" s="92"/>
      <c r="N137" s="92"/>
      <c r="O137" s="92"/>
      <c r="P137" s="93"/>
      <c r="Q137" s="92"/>
      <c r="R137" s="92"/>
      <c r="S137" s="92"/>
      <c r="T137" s="92"/>
      <c r="U137" s="92"/>
      <c r="V137" s="92"/>
      <c r="W137" s="92"/>
      <c r="X137" s="92"/>
      <c r="Y137" s="92"/>
      <c r="Z137" s="92"/>
    </row>
    <row r="138" spans="1:26" ht="15.75" customHeight="1">
      <c r="A138" s="92"/>
      <c r="B138" s="92"/>
      <c r="C138" s="92"/>
      <c r="D138" s="92"/>
      <c r="E138" s="92"/>
      <c r="F138" s="92"/>
      <c r="G138" s="92"/>
      <c r="H138" s="92"/>
      <c r="I138" s="92"/>
      <c r="J138" s="92"/>
      <c r="K138" s="92"/>
      <c r="L138" s="92"/>
      <c r="M138" s="92"/>
      <c r="N138" s="92"/>
      <c r="O138" s="92"/>
      <c r="P138" s="93"/>
      <c r="Q138" s="92"/>
      <c r="R138" s="92"/>
      <c r="S138" s="92"/>
      <c r="T138" s="92"/>
      <c r="U138" s="92"/>
      <c r="V138" s="92"/>
      <c r="W138" s="92"/>
      <c r="X138" s="92"/>
      <c r="Y138" s="92"/>
      <c r="Z138" s="92"/>
    </row>
    <row r="139" spans="1:26" ht="15.75" customHeight="1">
      <c r="A139" s="92"/>
      <c r="B139" s="92"/>
      <c r="C139" s="92"/>
      <c r="D139" s="92"/>
      <c r="E139" s="92"/>
      <c r="F139" s="92"/>
      <c r="G139" s="92"/>
      <c r="H139" s="92"/>
      <c r="I139" s="92"/>
      <c r="J139" s="92"/>
      <c r="K139" s="92"/>
      <c r="L139" s="92"/>
      <c r="M139" s="92"/>
      <c r="N139" s="92"/>
      <c r="O139" s="92"/>
      <c r="P139" s="93"/>
      <c r="Q139" s="92"/>
      <c r="R139" s="92"/>
      <c r="S139" s="92"/>
      <c r="T139" s="92"/>
      <c r="U139" s="92"/>
      <c r="V139" s="92"/>
      <c r="W139" s="92"/>
      <c r="X139" s="92"/>
      <c r="Y139" s="92"/>
      <c r="Z139" s="92"/>
    </row>
    <row r="140" spans="1:26" ht="15.75" customHeight="1">
      <c r="A140" s="92"/>
      <c r="B140" s="92"/>
      <c r="C140" s="92"/>
      <c r="D140" s="92"/>
      <c r="E140" s="92"/>
      <c r="F140" s="92"/>
      <c r="G140" s="92"/>
      <c r="H140" s="92"/>
      <c r="I140" s="92"/>
      <c r="J140" s="92"/>
      <c r="K140" s="92"/>
      <c r="L140" s="92"/>
      <c r="M140" s="92"/>
      <c r="N140" s="92"/>
      <c r="O140" s="92"/>
      <c r="P140" s="93"/>
      <c r="Q140" s="92"/>
      <c r="R140" s="92"/>
      <c r="S140" s="92"/>
      <c r="T140" s="92"/>
      <c r="U140" s="92"/>
      <c r="V140" s="92"/>
      <c r="W140" s="92"/>
      <c r="X140" s="92"/>
      <c r="Y140" s="92"/>
      <c r="Z140" s="92"/>
    </row>
    <row r="141" spans="1:26" ht="15.75" customHeight="1">
      <c r="A141" s="92"/>
      <c r="B141" s="92"/>
      <c r="C141" s="92"/>
      <c r="D141" s="92"/>
      <c r="E141" s="92"/>
      <c r="F141" s="92"/>
      <c r="G141" s="92"/>
      <c r="H141" s="92"/>
      <c r="I141" s="92"/>
      <c r="J141" s="92"/>
      <c r="K141" s="92"/>
      <c r="L141" s="92"/>
      <c r="M141" s="92"/>
      <c r="N141" s="92"/>
      <c r="O141" s="92"/>
      <c r="P141" s="93"/>
      <c r="Q141" s="92"/>
      <c r="R141" s="92"/>
      <c r="S141" s="92"/>
      <c r="T141" s="92"/>
      <c r="U141" s="92"/>
      <c r="V141" s="92"/>
      <c r="W141" s="92"/>
      <c r="X141" s="92"/>
      <c r="Y141" s="92"/>
      <c r="Z141" s="92"/>
    </row>
    <row r="142" spans="1:26" ht="15.75" customHeight="1">
      <c r="A142" s="92"/>
      <c r="B142" s="92"/>
      <c r="C142" s="92"/>
      <c r="D142" s="92"/>
      <c r="E142" s="92"/>
      <c r="F142" s="92"/>
      <c r="G142" s="92"/>
      <c r="H142" s="92"/>
      <c r="I142" s="92"/>
      <c r="J142" s="92"/>
      <c r="K142" s="92"/>
      <c r="L142" s="92"/>
      <c r="M142" s="92"/>
      <c r="N142" s="92"/>
      <c r="O142" s="92"/>
      <c r="P142" s="93"/>
      <c r="Q142" s="92"/>
      <c r="R142" s="92"/>
      <c r="S142" s="92"/>
      <c r="T142" s="92"/>
      <c r="U142" s="92"/>
      <c r="V142" s="92"/>
      <c r="W142" s="92"/>
      <c r="X142" s="92"/>
      <c r="Y142" s="92"/>
      <c r="Z142" s="92"/>
    </row>
    <row r="143" spans="1:26" ht="15.75" customHeight="1">
      <c r="A143" s="92"/>
      <c r="B143" s="92"/>
      <c r="C143" s="92"/>
      <c r="D143" s="92"/>
      <c r="E143" s="92"/>
      <c r="F143" s="92"/>
      <c r="G143" s="92"/>
      <c r="H143" s="92"/>
      <c r="I143" s="92"/>
      <c r="J143" s="92"/>
      <c r="K143" s="92"/>
      <c r="L143" s="92"/>
      <c r="M143" s="92"/>
      <c r="N143" s="92"/>
      <c r="O143" s="92"/>
      <c r="P143" s="93"/>
      <c r="Q143" s="92"/>
      <c r="R143" s="92"/>
      <c r="S143" s="92"/>
      <c r="T143" s="92"/>
      <c r="U143" s="92"/>
      <c r="V143" s="92"/>
      <c r="W143" s="92"/>
      <c r="X143" s="92"/>
      <c r="Y143" s="92"/>
      <c r="Z143" s="92"/>
    </row>
    <row r="144" spans="1:26" ht="15.75" customHeight="1">
      <c r="A144" s="92"/>
      <c r="B144" s="92"/>
      <c r="C144" s="92"/>
      <c r="D144" s="92"/>
      <c r="E144" s="92"/>
      <c r="F144" s="92"/>
      <c r="G144" s="92"/>
      <c r="H144" s="92"/>
      <c r="I144" s="92"/>
      <c r="J144" s="92"/>
      <c r="K144" s="92"/>
      <c r="L144" s="92"/>
      <c r="M144" s="92"/>
      <c r="N144" s="92"/>
      <c r="O144" s="92"/>
      <c r="P144" s="93"/>
      <c r="Q144" s="92"/>
      <c r="R144" s="92"/>
      <c r="S144" s="92"/>
      <c r="T144" s="92"/>
      <c r="U144" s="92"/>
      <c r="V144" s="92"/>
      <c r="W144" s="92"/>
      <c r="X144" s="92"/>
      <c r="Y144" s="92"/>
      <c r="Z144" s="92"/>
    </row>
    <row r="145" spans="1:26" ht="15.75" customHeight="1">
      <c r="A145" s="92"/>
      <c r="B145" s="92"/>
      <c r="C145" s="92"/>
      <c r="D145" s="92"/>
      <c r="E145" s="92"/>
      <c r="F145" s="92"/>
      <c r="G145" s="92"/>
      <c r="H145" s="92"/>
      <c r="I145" s="92"/>
      <c r="J145" s="92"/>
      <c r="K145" s="92"/>
      <c r="L145" s="92"/>
      <c r="M145" s="92"/>
      <c r="N145" s="92"/>
      <c r="O145" s="92"/>
      <c r="P145" s="93"/>
      <c r="Q145" s="92"/>
      <c r="R145" s="92"/>
      <c r="S145" s="92"/>
      <c r="T145" s="92"/>
      <c r="U145" s="92"/>
      <c r="V145" s="92"/>
      <c r="W145" s="92"/>
      <c r="X145" s="92"/>
      <c r="Y145" s="92"/>
      <c r="Z145" s="92"/>
    </row>
    <row r="146" spans="1:26" ht="15.75" customHeight="1">
      <c r="A146" s="92"/>
      <c r="B146" s="92"/>
      <c r="C146" s="92"/>
      <c r="D146" s="92"/>
      <c r="E146" s="92"/>
      <c r="F146" s="92"/>
      <c r="G146" s="92"/>
      <c r="H146" s="92"/>
      <c r="I146" s="92"/>
      <c r="J146" s="92"/>
      <c r="K146" s="92"/>
      <c r="L146" s="92"/>
      <c r="M146" s="92"/>
      <c r="N146" s="92"/>
      <c r="O146" s="92"/>
      <c r="P146" s="93"/>
      <c r="Q146" s="92"/>
      <c r="R146" s="92"/>
      <c r="S146" s="92"/>
      <c r="T146" s="92"/>
      <c r="U146" s="92"/>
      <c r="V146" s="92"/>
      <c r="W146" s="92"/>
      <c r="X146" s="92"/>
      <c r="Y146" s="92"/>
      <c r="Z146" s="92"/>
    </row>
    <row r="147" spans="1:26" ht="15.75" customHeight="1">
      <c r="A147" s="92"/>
      <c r="B147" s="92"/>
      <c r="C147" s="92"/>
      <c r="D147" s="92"/>
      <c r="E147" s="92"/>
      <c r="F147" s="92"/>
      <c r="G147" s="92"/>
      <c r="H147" s="92"/>
      <c r="I147" s="92"/>
      <c r="J147" s="92"/>
      <c r="K147" s="92"/>
      <c r="L147" s="92"/>
      <c r="M147" s="92"/>
      <c r="N147" s="92"/>
      <c r="O147" s="92"/>
      <c r="P147" s="93"/>
      <c r="Q147" s="92"/>
      <c r="R147" s="92"/>
      <c r="S147" s="92"/>
      <c r="T147" s="92"/>
      <c r="U147" s="92"/>
      <c r="V147" s="92"/>
      <c r="W147" s="92"/>
      <c r="X147" s="92"/>
      <c r="Y147" s="92"/>
      <c r="Z147" s="92"/>
    </row>
    <row r="148" spans="1:26" ht="15.75" customHeight="1">
      <c r="A148" s="92"/>
      <c r="B148" s="92"/>
      <c r="C148" s="92"/>
      <c r="D148" s="92"/>
      <c r="E148" s="92"/>
      <c r="F148" s="92"/>
      <c r="G148" s="92"/>
      <c r="H148" s="92"/>
      <c r="I148" s="92"/>
      <c r="J148" s="92"/>
      <c r="K148" s="92"/>
      <c r="L148" s="92"/>
      <c r="M148" s="92"/>
      <c r="N148" s="92"/>
      <c r="O148" s="92"/>
      <c r="P148" s="93"/>
      <c r="Q148" s="92"/>
      <c r="R148" s="92"/>
      <c r="S148" s="92"/>
      <c r="T148" s="92"/>
      <c r="U148" s="92"/>
      <c r="V148" s="92"/>
      <c r="W148" s="92"/>
      <c r="X148" s="92"/>
      <c r="Y148" s="92"/>
      <c r="Z148" s="92"/>
    </row>
    <row r="149" spans="1:26" ht="15.75" customHeight="1">
      <c r="A149" s="92"/>
      <c r="B149" s="92"/>
      <c r="C149" s="92"/>
      <c r="D149" s="92"/>
      <c r="E149" s="92"/>
      <c r="F149" s="92"/>
      <c r="G149" s="92"/>
      <c r="H149" s="92"/>
      <c r="I149" s="92"/>
      <c r="J149" s="92"/>
      <c r="K149" s="92"/>
      <c r="L149" s="92"/>
      <c r="M149" s="92"/>
      <c r="N149" s="92"/>
      <c r="O149" s="92"/>
      <c r="P149" s="93"/>
      <c r="Q149" s="92"/>
      <c r="R149" s="92"/>
      <c r="S149" s="92"/>
      <c r="T149" s="92"/>
      <c r="U149" s="92"/>
      <c r="V149" s="92"/>
      <c r="W149" s="92"/>
      <c r="X149" s="92"/>
      <c r="Y149" s="92"/>
      <c r="Z149" s="92"/>
    </row>
    <row r="150" spans="1:26" ht="15.75" customHeight="1">
      <c r="A150" s="92"/>
      <c r="B150" s="92"/>
      <c r="C150" s="92"/>
      <c r="D150" s="92"/>
      <c r="E150" s="92"/>
      <c r="F150" s="92"/>
      <c r="G150" s="92"/>
      <c r="H150" s="92"/>
      <c r="I150" s="92"/>
      <c r="J150" s="92"/>
      <c r="K150" s="92"/>
      <c r="L150" s="92"/>
      <c r="M150" s="92"/>
      <c r="N150" s="92"/>
      <c r="O150" s="92"/>
      <c r="P150" s="93"/>
      <c r="Q150" s="92"/>
      <c r="R150" s="92"/>
      <c r="S150" s="92"/>
      <c r="T150" s="92"/>
      <c r="U150" s="92"/>
      <c r="V150" s="92"/>
      <c r="W150" s="92"/>
      <c r="X150" s="92"/>
      <c r="Y150" s="92"/>
      <c r="Z150" s="92"/>
    </row>
    <row r="151" spans="1:26" ht="15.75" customHeight="1">
      <c r="A151" s="92"/>
      <c r="B151" s="92"/>
      <c r="C151" s="92"/>
      <c r="D151" s="92"/>
      <c r="E151" s="92"/>
      <c r="F151" s="92"/>
      <c r="G151" s="92"/>
      <c r="H151" s="92"/>
      <c r="I151" s="92"/>
      <c r="J151" s="92"/>
      <c r="K151" s="92"/>
      <c r="L151" s="92"/>
      <c r="M151" s="92"/>
      <c r="N151" s="92"/>
      <c r="O151" s="92"/>
      <c r="P151" s="93"/>
      <c r="Q151" s="92"/>
      <c r="R151" s="92"/>
      <c r="S151" s="92"/>
      <c r="T151" s="92"/>
      <c r="U151" s="92"/>
      <c r="V151" s="92"/>
      <c r="W151" s="92"/>
      <c r="X151" s="92"/>
      <c r="Y151" s="92"/>
      <c r="Z151" s="92"/>
    </row>
    <row r="152" spans="1:26" ht="15.75" customHeight="1">
      <c r="A152" s="92"/>
      <c r="B152" s="92"/>
      <c r="C152" s="92"/>
      <c r="D152" s="92"/>
      <c r="E152" s="92"/>
      <c r="F152" s="92"/>
      <c r="G152" s="92"/>
      <c r="H152" s="92"/>
      <c r="I152" s="92"/>
      <c r="J152" s="92"/>
      <c r="K152" s="92"/>
      <c r="L152" s="92"/>
      <c r="M152" s="92"/>
      <c r="N152" s="92"/>
      <c r="O152" s="92"/>
      <c r="P152" s="93"/>
      <c r="Q152" s="92"/>
      <c r="R152" s="92"/>
      <c r="S152" s="92"/>
      <c r="T152" s="92"/>
      <c r="U152" s="92"/>
      <c r="V152" s="92"/>
      <c r="W152" s="92"/>
      <c r="X152" s="92"/>
      <c r="Y152" s="92"/>
      <c r="Z152" s="92"/>
    </row>
    <row r="153" spans="1:26" ht="15.75" customHeight="1">
      <c r="A153" s="92"/>
      <c r="B153" s="92"/>
      <c r="C153" s="92"/>
      <c r="D153" s="92"/>
      <c r="E153" s="92"/>
      <c r="F153" s="92"/>
      <c r="G153" s="92"/>
      <c r="H153" s="92"/>
      <c r="I153" s="92"/>
      <c r="J153" s="92"/>
      <c r="K153" s="92"/>
      <c r="L153" s="92"/>
      <c r="M153" s="92"/>
      <c r="N153" s="92"/>
      <c r="O153" s="92"/>
      <c r="P153" s="93"/>
      <c r="Q153" s="92"/>
      <c r="R153" s="92"/>
      <c r="S153" s="92"/>
      <c r="T153" s="92"/>
      <c r="U153" s="92"/>
      <c r="V153" s="92"/>
      <c r="W153" s="92"/>
      <c r="X153" s="92"/>
      <c r="Y153" s="92"/>
      <c r="Z153" s="92"/>
    </row>
    <row r="154" spans="1:26" ht="15.75" customHeight="1">
      <c r="A154" s="92"/>
      <c r="B154" s="92"/>
      <c r="C154" s="92"/>
      <c r="D154" s="92"/>
      <c r="E154" s="92"/>
      <c r="F154" s="92"/>
      <c r="G154" s="92"/>
      <c r="H154" s="92"/>
      <c r="I154" s="92"/>
      <c r="J154" s="92"/>
      <c r="K154" s="92"/>
      <c r="L154" s="92"/>
      <c r="M154" s="92"/>
      <c r="N154" s="92"/>
      <c r="O154" s="92"/>
      <c r="P154" s="93"/>
      <c r="Q154" s="92"/>
      <c r="R154" s="92"/>
      <c r="S154" s="92"/>
      <c r="T154" s="92"/>
      <c r="U154" s="92"/>
      <c r="V154" s="92"/>
      <c r="W154" s="92"/>
      <c r="X154" s="92"/>
      <c r="Y154" s="92"/>
      <c r="Z154" s="92"/>
    </row>
    <row r="155" spans="1:26" ht="15.75" customHeight="1">
      <c r="A155" s="92"/>
      <c r="B155" s="92"/>
      <c r="C155" s="92"/>
      <c r="D155" s="92"/>
      <c r="E155" s="92"/>
      <c r="F155" s="92"/>
      <c r="G155" s="92"/>
      <c r="H155" s="92"/>
      <c r="I155" s="92"/>
      <c r="J155" s="92"/>
      <c r="K155" s="92"/>
      <c r="L155" s="92"/>
      <c r="M155" s="92"/>
      <c r="N155" s="92"/>
      <c r="O155" s="92"/>
      <c r="P155" s="93"/>
      <c r="Q155" s="92"/>
      <c r="R155" s="92"/>
      <c r="S155" s="92"/>
      <c r="T155" s="92"/>
      <c r="U155" s="92"/>
      <c r="V155" s="92"/>
      <c r="W155" s="92"/>
      <c r="X155" s="92"/>
      <c r="Y155" s="92"/>
      <c r="Z155" s="92"/>
    </row>
    <row r="156" spans="1:26" ht="15.75" customHeight="1">
      <c r="A156" s="92"/>
      <c r="B156" s="92"/>
      <c r="C156" s="92"/>
      <c r="D156" s="92"/>
      <c r="E156" s="92"/>
      <c r="F156" s="92"/>
      <c r="G156" s="92"/>
      <c r="H156" s="92"/>
      <c r="I156" s="92"/>
      <c r="J156" s="92"/>
      <c r="K156" s="92"/>
      <c r="L156" s="92"/>
      <c r="M156" s="92"/>
      <c r="N156" s="92"/>
      <c r="O156" s="92"/>
      <c r="P156" s="93"/>
      <c r="Q156" s="92"/>
      <c r="R156" s="92"/>
      <c r="S156" s="92"/>
      <c r="T156" s="92"/>
      <c r="U156" s="92"/>
      <c r="V156" s="92"/>
      <c r="W156" s="92"/>
      <c r="X156" s="92"/>
      <c r="Y156" s="92"/>
      <c r="Z156" s="92"/>
    </row>
    <row r="157" spans="1:26" ht="15.75" customHeight="1">
      <c r="A157" s="92"/>
      <c r="B157" s="92"/>
      <c r="C157" s="92"/>
      <c r="D157" s="92"/>
      <c r="E157" s="92"/>
      <c r="F157" s="92"/>
      <c r="G157" s="92"/>
      <c r="H157" s="92"/>
      <c r="I157" s="92"/>
      <c r="J157" s="92"/>
      <c r="K157" s="92"/>
      <c r="L157" s="92"/>
      <c r="M157" s="92"/>
      <c r="N157" s="92"/>
      <c r="O157" s="92"/>
      <c r="P157" s="93"/>
      <c r="Q157" s="92"/>
      <c r="R157" s="92"/>
      <c r="S157" s="92"/>
      <c r="T157" s="92"/>
      <c r="U157" s="92"/>
      <c r="V157" s="92"/>
      <c r="W157" s="92"/>
      <c r="X157" s="92"/>
      <c r="Y157" s="92"/>
      <c r="Z157" s="92"/>
    </row>
    <row r="158" spans="1:26" ht="15.75" customHeight="1">
      <c r="A158" s="92"/>
      <c r="B158" s="92"/>
      <c r="C158" s="92"/>
      <c r="D158" s="92"/>
      <c r="E158" s="92"/>
      <c r="F158" s="92"/>
      <c r="G158" s="92"/>
      <c r="H158" s="92"/>
      <c r="I158" s="92"/>
      <c r="J158" s="92"/>
      <c r="K158" s="92"/>
      <c r="L158" s="92"/>
      <c r="M158" s="92"/>
      <c r="N158" s="92"/>
      <c r="O158" s="92"/>
      <c r="P158" s="93"/>
      <c r="Q158" s="92"/>
      <c r="R158" s="92"/>
      <c r="S158" s="92"/>
      <c r="T158" s="92"/>
      <c r="U158" s="92"/>
      <c r="V158" s="92"/>
      <c r="W158" s="92"/>
      <c r="X158" s="92"/>
      <c r="Y158" s="92"/>
      <c r="Z158" s="92"/>
    </row>
    <row r="159" spans="1:26" ht="15.75" customHeight="1">
      <c r="A159" s="92"/>
      <c r="B159" s="92"/>
      <c r="C159" s="92"/>
      <c r="D159" s="92"/>
      <c r="E159" s="92"/>
      <c r="F159" s="92"/>
      <c r="G159" s="92"/>
      <c r="H159" s="92"/>
      <c r="I159" s="92"/>
      <c r="J159" s="92"/>
      <c r="K159" s="92"/>
      <c r="L159" s="92"/>
      <c r="M159" s="92"/>
      <c r="N159" s="92"/>
      <c r="O159" s="92"/>
      <c r="P159" s="93"/>
      <c r="Q159" s="92"/>
      <c r="R159" s="92"/>
      <c r="S159" s="92"/>
      <c r="T159" s="92"/>
      <c r="U159" s="92"/>
      <c r="V159" s="92"/>
      <c r="W159" s="92"/>
      <c r="X159" s="92"/>
      <c r="Y159" s="92"/>
      <c r="Z159" s="92"/>
    </row>
    <row r="160" spans="1:26" ht="15.75" customHeight="1">
      <c r="A160" s="92"/>
      <c r="B160" s="92"/>
      <c r="C160" s="92"/>
      <c r="D160" s="92"/>
      <c r="E160" s="92"/>
      <c r="F160" s="92"/>
      <c r="G160" s="92"/>
      <c r="H160" s="92"/>
      <c r="I160" s="92"/>
      <c r="J160" s="92"/>
      <c r="K160" s="92"/>
      <c r="L160" s="92"/>
      <c r="M160" s="92"/>
      <c r="N160" s="92"/>
      <c r="O160" s="92"/>
      <c r="P160" s="93"/>
      <c r="Q160" s="92"/>
      <c r="R160" s="92"/>
      <c r="S160" s="92"/>
      <c r="T160" s="92"/>
      <c r="U160" s="92"/>
      <c r="V160" s="92"/>
      <c r="W160" s="92"/>
      <c r="X160" s="92"/>
      <c r="Y160" s="92"/>
      <c r="Z160" s="92"/>
    </row>
    <row r="161" spans="1:26" ht="15.75" customHeight="1">
      <c r="A161" s="92"/>
      <c r="B161" s="92"/>
      <c r="C161" s="92"/>
      <c r="D161" s="92"/>
      <c r="E161" s="92"/>
      <c r="F161" s="92"/>
      <c r="G161" s="92"/>
      <c r="H161" s="92"/>
      <c r="I161" s="92"/>
      <c r="J161" s="92"/>
      <c r="K161" s="92"/>
      <c r="L161" s="92"/>
      <c r="M161" s="92"/>
      <c r="N161" s="92"/>
      <c r="O161" s="92"/>
      <c r="P161" s="93"/>
      <c r="Q161" s="92"/>
      <c r="R161" s="92"/>
      <c r="S161" s="92"/>
      <c r="T161" s="92"/>
      <c r="U161" s="92"/>
      <c r="V161" s="92"/>
      <c r="W161" s="92"/>
      <c r="X161" s="92"/>
      <c r="Y161" s="92"/>
      <c r="Z161" s="92"/>
    </row>
    <row r="162" spans="1:26" ht="15.75" customHeight="1">
      <c r="A162" s="92"/>
      <c r="B162" s="92"/>
      <c r="C162" s="92"/>
      <c r="D162" s="92"/>
      <c r="E162" s="92"/>
      <c r="F162" s="92"/>
      <c r="G162" s="92"/>
      <c r="H162" s="92"/>
      <c r="I162" s="92"/>
      <c r="J162" s="92"/>
      <c r="K162" s="92"/>
      <c r="L162" s="92"/>
      <c r="M162" s="92"/>
      <c r="N162" s="92"/>
      <c r="O162" s="92"/>
      <c r="P162" s="93"/>
      <c r="Q162" s="92"/>
      <c r="R162" s="92"/>
      <c r="S162" s="92"/>
      <c r="T162" s="92"/>
      <c r="U162" s="92"/>
      <c r="V162" s="92"/>
      <c r="W162" s="92"/>
      <c r="X162" s="92"/>
      <c r="Y162" s="92"/>
      <c r="Z162" s="92"/>
    </row>
    <row r="163" spans="1:26" ht="15.75" customHeight="1">
      <c r="A163" s="92"/>
      <c r="B163" s="92"/>
      <c r="C163" s="92"/>
      <c r="D163" s="92"/>
      <c r="E163" s="92"/>
      <c r="F163" s="92"/>
      <c r="G163" s="92"/>
      <c r="H163" s="92"/>
      <c r="I163" s="92"/>
      <c r="J163" s="92"/>
      <c r="K163" s="92"/>
      <c r="L163" s="92"/>
      <c r="M163" s="92"/>
      <c r="N163" s="92"/>
      <c r="O163" s="92"/>
      <c r="P163" s="93"/>
      <c r="Q163" s="92"/>
      <c r="R163" s="92"/>
      <c r="S163" s="92"/>
      <c r="T163" s="92"/>
      <c r="U163" s="92"/>
      <c r="V163" s="92"/>
      <c r="W163" s="92"/>
      <c r="X163" s="92"/>
      <c r="Y163" s="92"/>
      <c r="Z163" s="92"/>
    </row>
    <row r="164" spans="1:26" ht="15.75" customHeight="1">
      <c r="A164" s="92"/>
      <c r="B164" s="92"/>
      <c r="C164" s="92"/>
      <c r="D164" s="92"/>
      <c r="E164" s="92"/>
      <c r="F164" s="92"/>
      <c r="G164" s="92"/>
      <c r="H164" s="92"/>
      <c r="I164" s="92"/>
      <c r="J164" s="92"/>
      <c r="K164" s="92"/>
      <c r="L164" s="92"/>
      <c r="M164" s="92"/>
      <c r="N164" s="92"/>
      <c r="O164" s="92"/>
      <c r="P164" s="93"/>
      <c r="Q164" s="92"/>
      <c r="R164" s="92"/>
      <c r="S164" s="92"/>
      <c r="T164" s="92"/>
      <c r="U164" s="92"/>
      <c r="V164" s="92"/>
      <c r="W164" s="92"/>
      <c r="X164" s="92"/>
      <c r="Y164" s="92"/>
      <c r="Z164" s="92"/>
    </row>
    <row r="165" spans="1:26" ht="15.75" customHeight="1">
      <c r="A165" s="92"/>
      <c r="B165" s="92"/>
      <c r="C165" s="92"/>
      <c r="D165" s="92"/>
      <c r="E165" s="92"/>
      <c r="F165" s="92"/>
      <c r="G165" s="92"/>
      <c r="H165" s="92"/>
      <c r="I165" s="92"/>
      <c r="J165" s="92"/>
      <c r="K165" s="92"/>
      <c r="L165" s="92"/>
      <c r="M165" s="92"/>
      <c r="N165" s="92"/>
      <c r="O165" s="92"/>
      <c r="P165" s="93"/>
      <c r="Q165" s="92"/>
      <c r="R165" s="92"/>
      <c r="S165" s="92"/>
      <c r="T165" s="92"/>
      <c r="U165" s="92"/>
      <c r="V165" s="92"/>
      <c r="W165" s="92"/>
      <c r="X165" s="92"/>
      <c r="Y165" s="92"/>
      <c r="Z165" s="92"/>
    </row>
    <row r="166" spans="1:26" ht="15.75" customHeight="1">
      <c r="A166" s="92"/>
      <c r="B166" s="92"/>
      <c r="C166" s="92"/>
      <c r="D166" s="92"/>
      <c r="E166" s="92"/>
      <c r="F166" s="92"/>
      <c r="G166" s="92"/>
      <c r="H166" s="92"/>
      <c r="I166" s="92"/>
      <c r="J166" s="92"/>
      <c r="K166" s="92"/>
      <c r="L166" s="92"/>
      <c r="M166" s="92"/>
      <c r="N166" s="92"/>
      <c r="O166" s="92"/>
      <c r="P166" s="93"/>
      <c r="Q166" s="92"/>
      <c r="R166" s="92"/>
      <c r="S166" s="92"/>
      <c r="T166" s="92"/>
      <c r="U166" s="92"/>
      <c r="V166" s="92"/>
      <c r="W166" s="92"/>
      <c r="X166" s="92"/>
      <c r="Y166" s="92"/>
      <c r="Z166" s="92"/>
    </row>
    <row r="167" spans="1:26" ht="15.75" customHeight="1">
      <c r="A167" s="92"/>
      <c r="B167" s="92"/>
      <c r="C167" s="92"/>
      <c r="D167" s="92"/>
      <c r="E167" s="92"/>
      <c r="F167" s="92"/>
      <c r="G167" s="92"/>
      <c r="H167" s="92"/>
      <c r="I167" s="92"/>
      <c r="J167" s="92"/>
      <c r="K167" s="92"/>
      <c r="L167" s="92"/>
      <c r="M167" s="92"/>
      <c r="N167" s="92"/>
      <c r="O167" s="92"/>
      <c r="P167" s="93"/>
      <c r="Q167" s="92"/>
      <c r="R167" s="92"/>
      <c r="S167" s="92"/>
      <c r="T167" s="92"/>
      <c r="U167" s="92"/>
      <c r="V167" s="92"/>
      <c r="W167" s="92"/>
      <c r="X167" s="92"/>
      <c r="Y167" s="92"/>
      <c r="Z167" s="92"/>
    </row>
    <row r="168" spans="1:26" ht="15.75" customHeight="1">
      <c r="A168" s="92"/>
      <c r="B168" s="92"/>
      <c r="C168" s="92"/>
      <c r="D168" s="92"/>
      <c r="E168" s="92"/>
      <c r="F168" s="92"/>
      <c r="G168" s="92"/>
      <c r="H168" s="92"/>
      <c r="I168" s="92"/>
      <c r="J168" s="92"/>
      <c r="K168" s="92"/>
      <c r="L168" s="92"/>
      <c r="M168" s="92"/>
      <c r="N168" s="92"/>
      <c r="O168" s="92"/>
      <c r="P168" s="93"/>
      <c r="Q168" s="92"/>
      <c r="R168" s="92"/>
      <c r="S168" s="92"/>
      <c r="T168" s="92"/>
      <c r="U168" s="92"/>
      <c r="V168" s="92"/>
      <c r="W168" s="92"/>
      <c r="X168" s="92"/>
      <c r="Y168" s="92"/>
      <c r="Z168" s="92"/>
    </row>
    <row r="169" spans="1:26" ht="15.75" customHeight="1">
      <c r="A169" s="92"/>
      <c r="B169" s="92"/>
      <c r="C169" s="92"/>
      <c r="D169" s="92"/>
      <c r="E169" s="92"/>
      <c r="F169" s="92"/>
      <c r="G169" s="92"/>
      <c r="H169" s="92"/>
      <c r="I169" s="92"/>
      <c r="J169" s="92"/>
      <c r="K169" s="92"/>
      <c r="L169" s="92"/>
      <c r="M169" s="92"/>
      <c r="N169" s="92"/>
      <c r="O169" s="92"/>
      <c r="P169" s="93"/>
      <c r="Q169" s="92"/>
      <c r="R169" s="92"/>
      <c r="S169" s="92"/>
      <c r="T169" s="92"/>
      <c r="U169" s="92"/>
      <c r="V169" s="92"/>
      <c r="W169" s="92"/>
      <c r="X169" s="92"/>
      <c r="Y169" s="92"/>
      <c r="Z169" s="92"/>
    </row>
    <row r="170" spans="1:26" ht="15.75" customHeight="1">
      <c r="A170" s="92"/>
      <c r="B170" s="92"/>
      <c r="C170" s="92"/>
      <c r="D170" s="92"/>
      <c r="E170" s="92"/>
      <c r="F170" s="92"/>
      <c r="G170" s="92"/>
      <c r="H170" s="92"/>
      <c r="I170" s="92"/>
      <c r="J170" s="92"/>
      <c r="K170" s="92"/>
      <c r="L170" s="92"/>
      <c r="M170" s="92"/>
      <c r="N170" s="92"/>
      <c r="O170" s="92"/>
      <c r="P170" s="93"/>
      <c r="Q170" s="92"/>
      <c r="R170" s="92"/>
      <c r="S170" s="92"/>
      <c r="T170" s="92"/>
      <c r="U170" s="92"/>
      <c r="V170" s="92"/>
      <c r="W170" s="92"/>
      <c r="X170" s="92"/>
      <c r="Y170" s="92"/>
      <c r="Z170" s="92"/>
    </row>
    <row r="171" spans="1:26" ht="15.75" customHeight="1">
      <c r="A171" s="92"/>
      <c r="B171" s="92"/>
      <c r="C171" s="92"/>
      <c r="D171" s="92"/>
      <c r="E171" s="92"/>
      <c r="F171" s="92"/>
      <c r="G171" s="92"/>
      <c r="H171" s="92"/>
      <c r="I171" s="92"/>
      <c r="J171" s="92"/>
      <c r="K171" s="92"/>
      <c r="L171" s="92"/>
      <c r="M171" s="92"/>
      <c r="N171" s="92"/>
      <c r="O171" s="92"/>
      <c r="P171" s="93"/>
      <c r="Q171" s="92"/>
      <c r="R171" s="92"/>
      <c r="S171" s="92"/>
      <c r="T171" s="92"/>
      <c r="U171" s="92"/>
      <c r="V171" s="92"/>
      <c r="W171" s="92"/>
      <c r="X171" s="92"/>
      <c r="Y171" s="92"/>
      <c r="Z171" s="92"/>
    </row>
    <row r="172" spans="1:26" ht="15.75" customHeight="1">
      <c r="A172" s="92"/>
      <c r="B172" s="92"/>
      <c r="C172" s="92"/>
      <c r="D172" s="92"/>
      <c r="E172" s="92"/>
      <c r="F172" s="92"/>
      <c r="G172" s="92"/>
      <c r="H172" s="92"/>
      <c r="I172" s="92"/>
      <c r="J172" s="92"/>
      <c r="K172" s="92"/>
      <c r="L172" s="92"/>
      <c r="M172" s="92"/>
      <c r="N172" s="92"/>
      <c r="O172" s="92"/>
      <c r="P172" s="93"/>
      <c r="Q172" s="92"/>
      <c r="R172" s="92"/>
      <c r="S172" s="92"/>
      <c r="T172" s="92"/>
      <c r="U172" s="92"/>
      <c r="V172" s="92"/>
      <c r="W172" s="92"/>
      <c r="X172" s="92"/>
      <c r="Y172" s="92"/>
      <c r="Z172" s="92"/>
    </row>
    <row r="173" spans="1:26" ht="15.75" customHeight="1">
      <c r="A173" s="92"/>
      <c r="B173" s="92"/>
      <c r="C173" s="92"/>
      <c r="D173" s="92"/>
      <c r="E173" s="92"/>
      <c r="F173" s="92"/>
      <c r="G173" s="92"/>
      <c r="H173" s="92"/>
      <c r="I173" s="92"/>
      <c r="J173" s="92"/>
      <c r="K173" s="92"/>
      <c r="L173" s="92"/>
      <c r="M173" s="92"/>
      <c r="N173" s="92"/>
      <c r="O173" s="92"/>
      <c r="P173" s="93"/>
      <c r="Q173" s="92"/>
      <c r="R173" s="92"/>
      <c r="S173" s="92"/>
      <c r="T173" s="92"/>
      <c r="U173" s="92"/>
      <c r="V173" s="92"/>
      <c r="W173" s="92"/>
      <c r="X173" s="92"/>
      <c r="Y173" s="92"/>
      <c r="Z173" s="92"/>
    </row>
    <row r="174" spans="1:26" ht="15.75" customHeight="1">
      <c r="A174" s="92"/>
      <c r="B174" s="92"/>
      <c r="C174" s="92"/>
      <c r="D174" s="92"/>
      <c r="E174" s="92"/>
      <c r="F174" s="92"/>
      <c r="G174" s="92"/>
      <c r="H174" s="92"/>
      <c r="I174" s="92"/>
      <c r="J174" s="92"/>
      <c r="K174" s="92"/>
      <c r="L174" s="92"/>
      <c r="M174" s="92"/>
      <c r="N174" s="92"/>
      <c r="O174" s="92"/>
      <c r="P174" s="93"/>
      <c r="Q174" s="92"/>
      <c r="R174" s="92"/>
      <c r="S174" s="92"/>
      <c r="T174" s="92"/>
      <c r="U174" s="92"/>
      <c r="V174" s="92"/>
      <c r="W174" s="92"/>
      <c r="X174" s="92"/>
      <c r="Y174" s="92"/>
      <c r="Z174" s="92"/>
    </row>
    <row r="175" spans="1:26" ht="15.75" customHeight="1">
      <c r="A175" s="92"/>
      <c r="B175" s="92"/>
      <c r="C175" s="92"/>
      <c r="D175" s="92"/>
      <c r="E175" s="92"/>
      <c r="F175" s="92"/>
      <c r="G175" s="92"/>
      <c r="H175" s="92"/>
      <c r="I175" s="92"/>
      <c r="J175" s="92"/>
      <c r="K175" s="92"/>
      <c r="L175" s="92"/>
      <c r="M175" s="92"/>
      <c r="N175" s="92"/>
      <c r="O175" s="92"/>
      <c r="P175" s="93"/>
      <c r="Q175" s="92"/>
      <c r="R175" s="92"/>
      <c r="S175" s="92"/>
      <c r="T175" s="92"/>
      <c r="U175" s="92"/>
      <c r="V175" s="92"/>
      <c r="W175" s="92"/>
      <c r="X175" s="92"/>
      <c r="Y175" s="92"/>
      <c r="Z175" s="92"/>
    </row>
    <row r="176" spans="1:26" ht="15.75" customHeight="1">
      <c r="A176" s="92"/>
      <c r="B176" s="92"/>
      <c r="C176" s="92"/>
      <c r="D176" s="92"/>
      <c r="E176" s="92"/>
      <c r="F176" s="92"/>
      <c r="G176" s="92"/>
      <c r="H176" s="92"/>
      <c r="I176" s="92"/>
      <c r="J176" s="92"/>
      <c r="K176" s="92"/>
      <c r="L176" s="92"/>
      <c r="M176" s="92"/>
      <c r="N176" s="92"/>
      <c r="O176" s="92"/>
      <c r="P176" s="93"/>
      <c r="Q176" s="92"/>
      <c r="R176" s="92"/>
      <c r="S176" s="92"/>
      <c r="T176" s="92"/>
      <c r="U176" s="92"/>
      <c r="V176" s="92"/>
      <c r="W176" s="92"/>
      <c r="X176" s="92"/>
      <c r="Y176" s="92"/>
      <c r="Z176" s="92"/>
    </row>
    <row r="177" spans="1:26" ht="15.75" customHeight="1">
      <c r="A177" s="92"/>
      <c r="B177" s="92"/>
      <c r="C177" s="92"/>
      <c r="D177" s="92"/>
      <c r="E177" s="92"/>
      <c r="F177" s="92"/>
      <c r="G177" s="92"/>
      <c r="H177" s="92"/>
      <c r="I177" s="92"/>
      <c r="J177" s="92"/>
      <c r="K177" s="92"/>
      <c r="L177" s="92"/>
      <c r="M177" s="92"/>
      <c r="N177" s="92"/>
      <c r="O177" s="92"/>
      <c r="P177" s="93"/>
      <c r="Q177" s="92"/>
      <c r="R177" s="92"/>
      <c r="S177" s="92"/>
      <c r="T177" s="92"/>
      <c r="U177" s="92"/>
      <c r="V177" s="92"/>
      <c r="W177" s="92"/>
      <c r="X177" s="92"/>
      <c r="Y177" s="92"/>
      <c r="Z177" s="92"/>
    </row>
    <row r="178" spans="1:26" ht="15.75" customHeight="1">
      <c r="A178" s="92"/>
      <c r="B178" s="92"/>
      <c r="C178" s="92"/>
      <c r="D178" s="92"/>
      <c r="E178" s="92"/>
      <c r="F178" s="92"/>
      <c r="G178" s="92"/>
      <c r="H178" s="92"/>
      <c r="I178" s="92"/>
      <c r="J178" s="92"/>
      <c r="K178" s="92"/>
      <c r="L178" s="92"/>
      <c r="M178" s="92"/>
      <c r="N178" s="92"/>
      <c r="O178" s="92"/>
      <c r="P178" s="93"/>
      <c r="Q178" s="92"/>
      <c r="R178" s="92"/>
      <c r="S178" s="92"/>
      <c r="T178" s="92"/>
      <c r="U178" s="92"/>
      <c r="V178" s="92"/>
      <c r="W178" s="92"/>
      <c r="X178" s="92"/>
      <c r="Y178" s="92"/>
      <c r="Z178" s="92"/>
    </row>
    <row r="179" spans="1:26" ht="15.75" customHeight="1">
      <c r="A179" s="92"/>
      <c r="B179" s="92"/>
      <c r="C179" s="92"/>
      <c r="D179" s="92"/>
      <c r="E179" s="92"/>
      <c r="F179" s="92"/>
      <c r="G179" s="92"/>
      <c r="H179" s="92"/>
      <c r="I179" s="92"/>
      <c r="J179" s="92"/>
      <c r="K179" s="92"/>
      <c r="L179" s="92"/>
      <c r="M179" s="92"/>
      <c r="N179" s="92"/>
      <c r="O179" s="92"/>
      <c r="P179" s="93"/>
      <c r="Q179" s="92"/>
      <c r="R179" s="92"/>
      <c r="S179" s="92"/>
      <c r="T179" s="92"/>
      <c r="U179" s="92"/>
      <c r="V179" s="92"/>
      <c r="W179" s="92"/>
      <c r="X179" s="92"/>
      <c r="Y179" s="92"/>
      <c r="Z179" s="92"/>
    </row>
    <row r="180" spans="1:26" ht="15.75" customHeight="1">
      <c r="A180" s="92"/>
      <c r="B180" s="92"/>
      <c r="C180" s="92"/>
      <c r="D180" s="92"/>
      <c r="E180" s="92"/>
      <c r="F180" s="92"/>
      <c r="G180" s="92"/>
      <c r="H180" s="92"/>
      <c r="I180" s="92"/>
      <c r="J180" s="92"/>
      <c r="K180" s="92"/>
      <c r="L180" s="92"/>
      <c r="M180" s="92"/>
      <c r="N180" s="92"/>
      <c r="O180" s="92"/>
      <c r="P180" s="93"/>
      <c r="Q180" s="92"/>
      <c r="R180" s="92"/>
      <c r="S180" s="92"/>
      <c r="T180" s="92"/>
      <c r="U180" s="92"/>
      <c r="V180" s="92"/>
      <c r="W180" s="92"/>
      <c r="X180" s="92"/>
      <c r="Y180" s="92"/>
      <c r="Z180" s="92"/>
    </row>
    <row r="181" spans="1:26" ht="15.75" customHeight="1">
      <c r="A181" s="92"/>
      <c r="B181" s="92"/>
      <c r="C181" s="92"/>
      <c r="D181" s="92"/>
      <c r="E181" s="92"/>
      <c r="F181" s="92"/>
      <c r="G181" s="92"/>
      <c r="H181" s="92"/>
      <c r="I181" s="92"/>
      <c r="J181" s="92"/>
      <c r="K181" s="92"/>
      <c r="L181" s="92"/>
      <c r="M181" s="92"/>
      <c r="N181" s="92"/>
      <c r="O181" s="92"/>
      <c r="P181" s="93"/>
      <c r="Q181" s="92"/>
      <c r="R181" s="92"/>
      <c r="S181" s="92"/>
      <c r="T181" s="92"/>
      <c r="U181" s="92"/>
      <c r="V181" s="92"/>
      <c r="W181" s="92"/>
      <c r="X181" s="92"/>
      <c r="Y181" s="92"/>
      <c r="Z181" s="92"/>
    </row>
    <row r="182" spans="1:26" ht="15.75" customHeight="1">
      <c r="A182" s="92"/>
      <c r="B182" s="92"/>
      <c r="C182" s="92"/>
      <c r="D182" s="92"/>
      <c r="E182" s="92"/>
      <c r="F182" s="92"/>
      <c r="G182" s="92"/>
      <c r="H182" s="92"/>
      <c r="I182" s="92"/>
      <c r="J182" s="92"/>
      <c r="K182" s="92"/>
      <c r="L182" s="92"/>
      <c r="M182" s="92"/>
      <c r="N182" s="92"/>
      <c r="O182" s="92"/>
      <c r="P182" s="93"/>
      <c r="Q182" s="92"/>
      <c r="R182" s="92"/>
      <c r="S182" s="92"/>
      <c r="T182" s="92"/>
      <c r="U182" s="92"/>
      <c r="V182" s="92"/>
      <c r="W182" s="92"/>
      <c r="X182" s="92"/>
      <c r="Y182" s="92"/>
      <c r="Z182" s="92"/>
    </row>
    <row r="183" spans="1:26" ht="15.75" customHeight="1">
      <c r="A183" s="92"/>
      <c r="B183" s="92"/>
      <c r="C183" s="92"/>
      <c r="D183" s="92"/>
      <c r="E183" s="92"/>
      <c r="F183" s="92"/>
      <c r="G183" s="92"/>
      <c r="H183" s="92"/>
      <c r="I183" s="92"/>
      <c r="J183" s="92"/>
      <c r="K183" s="92"/>
      <c r="L183" s="92"/>
      <c r="M183" s="92"/>
      <c r="N183" s="92"/>
      <c r="O183" s="92"/>
      <c r="P183" s="93"/>
      <c r="Q183" s="92"/>
      <c r="R183" s="92"/>
      <c r="S183" s="92"/>
      <c r="T183" s="92"/>
      <c r="U183" s="92"/>
      <c r="V183" s="92"/>
      <c r="W183" s="92"/>
      <c r="X183" s="92"/>
      <c r="Y183" s="92"/>
      <c r="Z183" s="92"/>
    </row>
    <row r="184" spans="1:26" ht="15.75" customHeight="1">
      <c r="A184" s="92"/>
      <c r="B184" s="92"/>
      <c r="C184" s="92"/>
      <c r="D184" s="92"/>
      <c r="E184" s="92"/>
      <c r="F184" s="92"/>
      <c r="G184" s="92"/>
      <c r="H184" s="92"/>
      <c r="I184" s="92"/>
      <c r="J184" s="92"/>
      <c r="K184" s="92"/>
      <c r="L184" s="92"/>
      <c r="M184" s="92"/>
      <c r="N184" s="92"/>
      <c r="O184" s="92"/>
      <c r="P184" s="93"/>
      <c r="Q184" s="92"/>
      <c r="R184" s="92"/>
      <c r="S184" s="92"/>
      <c r="T184" s="92"/>
      <c r="U184" s="92"/>
      <c r="V184" s="92"/>
      <c r="W184" s="92"/>
      <c r="X184" s="92"/>
      <c r="Y184" s="92"/>
      <c r="Z184" s="92"/>
    </row>
    <row r="185" spans="1:26" ht="15.75" customHeight="1">
      <c r="A185" s="92"/>
      <c r="B185" s="92"/>
      <c r="C185" s="92"/>
      <c r="D185" s="92"/>
      <c r="E185" s="92"/>
      <c r="F185" s="92"/>
      <c r="G185" s="92"/>
      <c r="H185" s="92"/>
      <c r="I185" s="92"/>
      <c r="J185" s="92"/>
      <c r="K185" s="92"/>
      <c r="L185" s="92"/>
      <c r="M185" s="92"/>
      <c r="N185" s="92"/>
      <c r="O185" s="92"/>
      <c r="P185" s="93"/>
      <c r="Q185" s="92"/>
      <c r="R185" s="92"/>
      <c r="S185" s="92"/>
      <c r="T185" s="92"/>
      <c r="U185" s="92"/>
      <c r="V185" s="92"/>
      <c r="W185" s="92"/>
      <c r="X185" s="92"/>
      <c r="Y185" s="92"/>
      <c r="Z185" s="92"/>
    </row>
    <row r="186" spans="1:26" ht="15.75" customHeight="1">
      <c r="A186" s="92"/>
      <c r="B186" s="92"/>
      <c r="C186" s="92"/>
      <c r="D186" s="92"/>
      <c r="E186" s="92"/>
      <c r="F186" s="92"/>
      <c r="G186" s="92"/>
      <c r="H186" s="92"/>
      <c r="I186" s="92"/>
      <c r="J186" s="92"/>
      <c r="K186" s="92"/>
      <c r="L186" s="92"/>
      <c r="M186" s="92"/>
      <c r="N186" s="92"/>
      <c r="O186" s="92"/>
      <c r="P186" s="93"/>
      <c r="Q186" s="92"/>
      <c r="R186" s="92"/>
      <c r="S186" s="92"/>
      <c r="T186" s="92"/>
      <c r="U186" s="92"/>
      <c r="V186" s="92"/>
      <c r="W186" s="92"/>
      <c r="X186" s="92"/>
      <c r="Y186" s="92"/>
      <c r="Z186" s="92"/>
    </row>
    <row r="187" spans="1:26" ht="15.75" customHeight="1">
      <c r="A187" s="92"/>
      <c r="B187" s="92"/>
      <c r="C187" s="92"/>
      <c r="D187" s="92"/>
      <c r="E187" s="92"/>
      <c r="F187" s="92"/>
      <c r="G187" s="92"/>
      <c r="H187" s="92"/>
      <c r="I187" s="92"/>
      <c r="J187" s="92"/>
      <c r="K187" s="92"/>
      <c r="L187" s="92"/>
      <c r="M187" s="92"/>
      <c r="N187" s="92"/>
      <c r="O187" s="92"/>
      <c r="P187" s="93"/>
      <c r="Q187" s="92"/>
      <c r="R187" s="92"/>
      <c r="S187" s="92"/>
      <c r="T187" s="92"/>
      <c r="U187" s="92"/>
      <c r="V187" s="92"/>
      <c r="W187" s="92"/>
      <c r="X187" s="92"/>
      <c r="Y187" s="92"/>
      <c r="Z187" s="92"/>
    </row>
    <row r="188" spans="1:26" ht="15.75" customHeight="1">
      <c r="A188" s="92"/>
      <c r="B188" s="92"/>
      <c r="C188" s="92"/>
      <c r="D188" s="92"/>
      <c r="E188" s="92"/>
      <c r="F188" s="92"/>
      <c r="G188" s="92"/>
      <c r="H188" s="92"/>
      <c r="I188" s="92"/>
      <c r="J188" s="92"/>
      <c r="K188" s="92"/>
      <c r="L188" s="92"/>
      <c r="M188" s="92"/>
      <c r="N188" s="92"/>
      <c r="O188" s="92"/>
      <c r="P188" s="93"/>
      <c r="Q188" s="92"/>
      <c r="R188" s="92"/>
      <c r="S188" s="92"/>
      <c r="T188" s="92"/>
      <c r="U188" s="92"/>
      <c r="V188" s="92"/>
      <c r="W188" s="92"/>
      <c r="X188" s="92"/>
      <c r="Y188" s="92"/>
      <c r="Z188" s="92"/>
    </row>
    <row r="189" spans="1:26" ht="15.75" customHeight="1">
      <c r="A189" s="92"/>
      <c r="B189" s="92"/>
      <c r="C189" s="92"/>
      <c r="D189" s="92"/>
      <c r="E189" s="92"/>
      <c r="F189" s="92"/>
      <c r="G189" s="92"/>
      <c r="H189" s="92"/>
      <c r="I189" s="92"/>
      <c r="J189" s="92"/>
      <c r="K189" s="92"/>
      <c r="L189" s="92"/>
      <c r="M189" s="92"/>
      <c r="N189" s="92"/>
      <c r="O189" s="92"/>
      <c r="P189" s="93"/>
      <c r="Q189" s="92"/>
      <c r="R189" s="92"/>
      <c r="S189" s="92"/>
      <c r="T189" s="92"/>
      <c r="U189" s="92"/>
      <c r="V189" s="92"/>
      <c r="W189" s="92"/>
      <c r="X189" s="92"/>
      <c r="Y189" s="92"/>
      <c r="Z189" s="92"/>
    </row>
    <row r="190" spans="1:26" ht="15.75" customHeight="1">
      <c r="A190" s="92"/>
      <c r="B190" s="92"/>
      <c r="C190" s="92"/>
      <c r="D190" s="92"/>
      <c r="E190" s="92"/>
      <c r="F190" s="92"/>
      <c r="G190" s="92"/>
      <c r="H190" s="92"/>
      <c r="I190" s="92"/>
      <c r="J190" s="92"/>
      <c r="K190" s="92"/>
      <c r="L190" s="92"/>
      <c r="M190" s="92"/>
      <c r="N190" s="92"/>
      <c r="O190" s="92"/>
      <c r="P190" s="93"/>
      <c r="Q190" s="92"/>
      <c r="R190" s="92"/>
      <c r="S190" s="92"/>
      <c r="T190" s="92"/>
      <c r="U190" s="92"/>
      <c r="V190" s="92"/>
      <c r="W190" s="92"/>
      <c r="X190" s="92"/>
      <c r="Y190" s="92"/>
      <c r="Z190" s="92"/>
    </row>
    <row r="191" spans="1:26" ht="15.75" customHeight="1">
      <c r="A191" s="92"/>
      <c r="B191" s="92"/>
      <c r="C191" s="92"/>
      <c r="D191" s="92"/>
      <c r="E191" s="92"/>
      <c r="F191" s="92"/>
      <c r="G191" s="92"/>
      <c r="H191" s="92"/>
      <c r="I191" s="92"/>
      <c r="J191" s="92"/>
      <c r="K191" s="92"/>
      <c r="L191" s="92"/>
      <c r="M191" s="92"/>
      <c r="N191" s="92"/>
      <c r="O191" s="92"/>
      <c r="P191" s="93"/>
      <c r="Q191" s="92"/>
      <c r="R191" s="92"/>
      <c r="S191" s="92"/>
      <c r="T191" s="92"/>
      <c r="U191" s="92"/>
      <c r="V191" s="92"/>
      <c r="W191" s="92"/>
      <c r="X191" s="92"/>
      <c r="Y191" s="92"/>
      <c r="Z191" s="92"/>
    </row>
    <row r="192" spans="1:26" ht="15.75" customHeight="1">
      <c r="A192" s="92"/>
      <c r="B192" s="92"/>
      <c r="C192" s="92"/>
      <c r="D192" s="92"/>
      <c r="E192" s="92"/>
      <c r="F192" s="92"/>
      <c r="G192" s="92"/>
      <c r="H192" s="92"/>
      <c r="I192" s="92"/>
      <c r="J192" s="92"/>
      <c r="K192" s="92"/>
      <c r="L192" s="92"/>
      <c r="M192" s="92"/>
      <c r="N192" s="92"/>
      <c r="O192" s="92"/>
      <c r="P192" s="93"/>
      <c r="Q192" s="92"/>
      <c r="R192" s="92"/>
      <c r="S192" s="92"/>
      <c r="T192" s="92"/>
      <c r="U192" s="92"/>
      <c r="V192" s="92"/>
      <c r="W192" s="92"/>
      <c r="X192" s="92"/>
      <c r="Y192" s="92"/>
      <c r="Z192" s="92"/>
    </row>
    <row r="193" spans="1:26" ht="15.75" customHeight="1">
      <c r="A193" s="92"/>
      <c r="B193" s="92"/>
      <c r="C193" s="92"/>
      <c r="D193" s="92"/>
      <c r="E193" s="92"/>
      <c r="F193" s="92"/>
      <c r="G193" s="92"/>
      <c r="H193" s="92"/>
      <c r="I193" s="92"/>
      <c r="J193" s="92"/>
      <c r="K193" s="92"/>
      <c r="L193" s="92"/>
      <c r="M193" s="92"/>
      <c r="N193" s="92"/>
      <c r="O193" s="92"/>
      <c r="P193" s="93"/>
      <c r="Q193" s="92"/>
      <c r="R193" s="92"/>
      <c r="S193" s="92"/>
      <c r="T193" s="92"/>
      <c r="U193" s="92"/>
      <c r="V193" s="92"/>
      <c r="W193" s="92"/>
      <c r="X193" s="92"/>
      <c r="Y193" s="92"/>
      <c r="Z193" s="92"/>
    </row>
    <row r="194" spans="1:26" ht="15.75" customHeight="1">
      <c r="A194" s="92"/>
      <c r="B194" s="92"/>
      <c r="C194" s="92"/>
      <c r="D194" s="92"/>
      <c r="E194" s="92"/>
      <c r="F194" s="92"/>
      <c r="G194" s="92"/>
      <c r="H194" s="92"/>
      <c r="I194" s="92"/>
      <c r="J194" s="92"/>
      <c r="K194" s="92"/>
      <c r="L194" s="92"/>
      <c r="M194" s="92"/>
      <c r="N194" s="92"/>
      <c r="O194" s="92"/>
      <c r="P194" s="93"/>
      <c r="Q194" s="92"/>
      <c r="R194" s="92"/>
      <c r="S194" s="92"/>
      <c r="T194" s="92"/>
      <c r="U194" s="92"/>
      <c r="V194" s="92"/>
      <c r="W194" s="92"/>
      <c r="X194" s="92"/>
      <c r="Y194" s="92"/>
      <c r="Z194" s="92"/>
    </row>
    <row r="195" spans="1:26" ht="15.75" customHeight="1">
      <c r="A195" s="92"/>
      <c r="B195" s="92"/>
      <c r="C195" s="92"/>
      <c r="D195" s="92"/>
      <c r="E195" s="92"/>
      <c r="F195" s="92"/>
      <c r="G195" s="92"/>
      <c r="H195" s="92"/>
      <c r="I195" s="92"/>
      <c r="J195" s="92"/>
      <c r="K195" s="92"/>
      <c r="L195" s="92"/>
      <c r="M195" s="92"/>
      <c r="N195" s="92"/>
      <c r="O195" s="92"/>
      <c r="P195" s="93"/>
      <c r="Q195" s="92"/>
      <c r="R195" s="92"/>
      <c r="S195" s="92"/>
      <c r="T195" s="92"/>
      <c r="U195" s="92"/>
      <c r="V195" s="92"/>
      <c r="W195" s="92"/>
      <c r="X195" s="92"/>
      <c r="Y195" s="92"/>
      <c r="Z195" s="92"/>
    </row>
    <row r="196" spans="1:26" ht="15.75" customHeight="1">
      <c r="A196" s="92"/>
      <c r="B196" s="92"/>
      <c r="C196" s="92"/>
      <c r="D196" s="92"/>
      <c r="E196" s="92"/>
      <c r="F196" s="92"/>
      <c r="G196" s="92"/>
      <c r="H196" s="92"/>
      <c r="I196" s="92"/>
      <c r="J196" s="92"/>
      <c r="K196" s="92"/>
      <c r="L196" s="92"/>
      <c r="M196" s="92"/>
      <c r="N196" s="92"/>
      <c r="O196" s="92"/>
      <c r="P196" s="93"/>
      <c r="Q196" s="92"/>
      <c r="R196" s="92"/>
      <c r="S196" s="92"/>
      <c r="T196" s="92"/>
      <c r="U196" s="92"/>
      <c r="V196" s="92"/>
      <c r="W196" s="92"/>
      <c r="X196" s="92"/>
      <c r="Y196" s="92"/>
      <c r="Z196" s="92"/>
    </row>
    <row r="197" spans="1:26" ht="15.75" customHeight="1">
      <c r="A197" s="92"/>
      <c r="B197" s="92"/>
      <c r="C197" s="92"/>
      <c r="D197" s="92"/>
      <c r="E197" s="92"/>
      <c r="F197" s="92"/>
      <c r="G197" s="92"/>
      <c r="H197" s="92"/>
      <c r="I197" s="92"/>
      <c r="J197" s="92"/>
      <c r="K197" s="92"/>
      <c r="L197" s="92"/>
      <c r="M197" s="92"/>
      <c r="N197" s="92"/>
      <c r="O197" s="92"/>
      <c r="P197" s="93"/>
      <c r="Q197" s="92"/>
      <c r="R197" s="92"/>
      <c r="S197" s="92"/>
      <c r="T197" s="92"/>
      <c r="U197" s="92"/>
      <c r="V197" s="92"/>
      <c r="W197" s="92"/>
      <c r="X197" s="92"/>
      <c r="Y197" s="92"/>
      <c r="Z197" s="92"/>
    </row>
    <row r="198" spans="1:26" ht="15.75" customHeight="1">
      <c r="A198" s="92"/>
      <c r="B198" s="92"/>
      <c r="C198" s="92"/>
      <c r="D198" s="92"/>
      <c r="E198" s="92"/>
      <c r="F198" s="92"/>
      <c r="G198" s="92"/>
      <c r="H198" s="92"/>
      <c r="I198" s="92"/>
      <c r="J198" s="92"/>
      <c r="K198" s="92"/>
      <c r="L198" s="92"/>
      <c r="M198" s="92"/>
      <c r="N198" s="92"/>
      <c r="O198" s="92"/>
      <c r="P198" s="93"/>
      <c r="Q198" s="92"/>
      <c r="R198" s="92"/>
      <c r="S198" s="92"/>
      <c r="T198" s="92"/>
      <c r="U198" s="92"/>
      <c r="V198" s="92"/>
      <c r="W198" s="92"/>
      <c r="X198" s="92"/>
      <c r="Y198" s="92"/>
      <c r="Z198" s="92"/>
    </row>
    <row r="199" spans="1:26" ht="15.75" customHeight="1">
      <c r="A199" s="92"/>
      <c r="B199" s="92"/>
      <c r="C199" s="92"/>
      <c r="D199" s="92"/>
      <c r="E199" s="92"/>
      <c r="F199" s="92"/>
      <c r="G199" s="92"/>
      <c r="H199" s="92"/>
      <c r="I199" s="92"/>
      <c r="J199" s="92"/>
      <c r="K199" s="92"/>
      <c r="L199" s="92"/>
      <c r="M199" s="92"/>
      <c r="N199" s="92"/>
      <c r="O199" s="92"/>
      <c r="P199" s="93"/>
      <c r="Q199" s="92"/>
      <c r="R199" s="92"/>
      <c r="S199" s="92"/>
      <c r="T199" s="92"/>
      <c r="U199" s="92"/>
      <c r="V199" s="92"/>
      <c r="W199" s="92"/>
      <c r="X199" s="92"/>
      <c r="Y199" s="92"/>
      <c r="Z199" s="92"/>
    </row>
    <row r="200" spans="1:26" ht="15.75" customHeight="1">
      <c r="A200" s="92"/>
      <c r="B200" s="92"/>
      <c r="C200" s="92"/>
      <c r="D200" s="92"/>
      <c r="E200" s="92"/>
      <c r="F200" s="92"/>
      <c r="G200" s="92"/>
      <c r="H200" s="92"/>
      <c r="I200" s="92"/>
      <c r="J200" s="92"/>
      <c r="K200" s="92"/>
      <c r="L200" s="92"/>
      <c r="M200" s="92"/>
      <c r="N200" s="92"/>
      <c r="O200" s="92"/>
      <c r="P200" s="93"/>
      <c r="Q200" s="92"/>
      <c r="R200" s="92"/>
      <c r="S200" s="92"/>
      <c r="T200" s="92"/>
      <c r="U200" s="92"/>
      <c r="V200" s="92"/>
      <c r="W200" s="92"/>
      <c r="X200" s="92"/>
      <c r="Y200" s="92"/>
      <c r="Z200" s="92"/>
    </row>
    <row r="201" spans="1:26" ht="15.75" customHeight="1">
      <c r="A201" s="92"/>
      <c r="B201" s="92"/>
      <c r="C201" s="92"/>
      <c r="D201" s="92"/>
      <c r="E201" s="92"/>
      <c r="F201" s="92"/>
      <c r="G201" s="92"/>
      <c r="H201" s="92"/>
      <c r="I201" s="92"/>
      <c r="J201" s="92"/>
      <c r="K201" s="92"/>
      <c r="L201" s="92"/>
      <c r="M201" s="92"/>
      <c r="N201" s="92"/>
      <c r="O201" s="92"/>
      <c r="P201" s="93"/>
      <c r="Q201" s="92"/>
      <c r="R201" s="92"/>
      <c r="S201" s="92"/>
      <c r="T201" s="92"/>
      <c r="U201" s="92"/>
      <c r="V201" s="92"/>
      <c r="W201" s="92"/>
      <c r="X201" s="92"/>
      <c r="Y201" s="92"/>
      <c r="Z201" s="92"/>
    </row>
    <row r="202" spans="1:26" ht="15.75" customHeight="1">
      <c r="A202" s="92"/>
      <c r="B202" s="92"/>
      <c r="C202" s="92"/>
      <c r="D202" s="92"/>
      <c r="E202" s="92"/>
      <c r="F202" s="92"/>
      <c r="G202" s="92"/>
      <c r="H202" s="92"/>
      <c r="I202" s="92"/>
      <c r="J202" s="92"/>
      <c r="K202" s="92"/>
      <c r="L202" s="92"/>
      <c r="M202" s="92"/>
      <c r="N202" s="92"/>
      <c r="O202" s="92"/>
      <c r="P202" s="93"/>
      <c r="Q202" s="92"/>
      <c r="R202" s="92"/>
      <c r="S202" s="92"/>
      <c r="T202" s="92"/>
      <c r="U202" s="92"/>
      <c r="V202" s="92"/>
      <c r="W202" s="92"/>
      <c r="X202" s="92"/>
      <c r="Y202" s="92"/>
      <c r="Z202" s="92"/>
    </row>
    <row r="203" spans="1:26" ht="15.75" customHeight="1">
      <c r="A203" s="92"/>
      <c r="B203" s="92"/>
      <c r="C203" s="92"/>
      <c r="D203" s="92"/>
      <c r="E203" s="92"/>
      <c r="F203" s="92"/>
      <c r="G203" s="92"/>
      <c r="H203" s="92"/>
      <c r="I203" s="92"/>
      <c r="J203" s="92"/>
      <c r="K203" s="92"/>
      <c r="L203" s="92"/>
      <c r="M203" s="92"/>
      <c r="N203" s="92"/>
      <c r="O203" s="92"/>
      <c r="P203" s="93"/>
      <c r="Q203" s="92"/>
      <c r="R203" s="92"/>
      <c r="S203" s="92"/>
      <c r="T203" s="92"/>
      <c r="U203" s="92"/>
      <c r="V203" s="92"/>
      <c r="W203" s="92"/>
      <c r="X203" s="92"/>
      <c r="Y203" s="92"/>
      <c r="Z203" s="92"/>
    </row>
    <row r="204" spans="1:26" ht="15.75" customHeight="1">
      <c r="A204" s="92"/>
      <c r="B204" s="92"/>
      <c r="C204" s="92"/>
      <c r="D204" s="92"/>
      <c r="E204" s="92"/>
      <c r="F204" s="92"/>
      <c r="G204" s="92"/>
      <c r="H204" s="92"/>
      <c r="I204" s="92"/>
      <c r="J204" s="92"/>
      <c r="K204" s="92"/>
      <c r="L204" s="92"/>
      <c r="M204" s="92"/>
      <c r="N204" s="92"/>
      <c r="O204" s="92"/>
      <c r="P204" s="93"/>
      <c r="Q204" s="92"/>
      <c r="R204" s="92"/>
      <c r="S204" s="92"/>
      <c r="T204" s="92"/>
      <c r="U204" s="92"/>
      <c r="V204" s="92"/>
      <c r="W204" s="92"/>
      <c r="X204" s="92"/>
      <c r="Y204" s="92"/>
      <c r="Z204" s="92"/>
    </row>
    <row r="205" spans="1:26" ht="15.75" customHeight="1">
      <c r="A205" s="92"/>
      <c r="B205" s="92"/>
      <c r="C205" s="92"/>
      <c r="D205" s="92"/>
      <c r="E205" s="92"/>
      <c r="F205" s="92"/>
      <c r="G205" s="92"/>
      <c r="H205" s="92"/>
      <c r="I205" s="92"/>
      <c r="J205" s="92"/>
      <c r="K205" s="92"/>
      <c r="L205" s="92"/>
      <c r="M205" s="92"/>
      <c r="N205" s="92"/>
      <c r="O205" s="92"/>
      <c r="P205" s="93"/>
      <c r="Q205" s="92"/>
      <c r="R205" s="92"/>
      <c r="S205" s="92"/>
      <c r="T205" s="92"/>
      <c r="U205" s="92"/>
      <c r="V205" s="92"/>
      <c r="W205" s="92"/>
      <c r="X205" s="92"/>
      <c r="Y205" s="92"/>
      <c r="Z205" s="92"/>
    </row>
    <row r="206" spans="1:26" ht="15.75" customHeight="1">
      <c r="A206" s="92"/>
      <c r="B206" s="92"/>
      <c r="C206" s="92"/>
      <c r="D206" s="92"/>
      <c r="E206" s="92"/>
      <c r="F206" s="92"/>
      <c r="G206" s="92"/>
      <c r="H206" s="92"/>
      <c r="I206" s="92"/>
      <c r="J206" s="92"/>
      <c r="K206" s="92"/>
      <c r="L206" s="92"/>
      <c r="M206" s="92"/>
      <c r="N206" s="92"/>
      <c r="O206" s="92"/>
      <c r="P206" s="93"/>
      <c r="Q206" s="92"/>
      <c r="R206" s="92"/>
      <c r="S206" s="92"/>
      <c r="T206" s="92"/>
      <c r="U206" s="92"/>
      <c r="V206" s="92"/>
      <c r="W206" s="92"/>
      <c r="X206" s="92"/>
      <c r="Y206" s="92"/>
      <c r="Z206" s="92"/>
    </row>
    <row r="207" spans="1:26" ht="15.75" customHeight="1">
      <c r="A207" s="92"/>
      <c r="B207" s="92"/>
      <c r="C207" s="92"/>
      <c r="D207" s="92"/>
      <c r="E207" s="92"/>
      <c r="F207" s="92"/>
      <c r="G207" s="92"/>
      <c r="H207" s="92"/>
      <c r="I207" s="92"/>
      <c r="J207" s="92"/>
      <c r="K207" s="92"/>
      <c r="L207" s="92"/>
      <c r="M207" s="92"/>
      <c r="N207" s="92"/>
      <c r="O207" s="92"/>
      <c r="P207" s="93"/>
      <c r="Q207" s="92"/>
      <c r="R207" s="92"/>
      <c r="S207" s="92"/>
      <c r="T207" s="92"/>
      <c r="U207" s="92"/>
      <c r="V207" s="92"/>
      <c r="W207" s="92"/>
      <c r="X207" s="92"/>
      <c r="Y207" s="92"/>
      <c r="Z207" s="92"/>
    </row>
    <row r="208" spans="1:26" ht="15.75" customHeight="1">
      <c r="A208" s="92"/>
      <c r="B208" s="92"/>
      <c r="C208" s="92"/>
      <c r="D208" s="92"/>
      <c r="E208" s="92"/>
      <c r="F208" s="92"/>
      <c r="G208" s="92"/>
      <c r="H208" s="92"/>
      <c r="I208" s="92"/>
      <c r="J208" s="92"/>
      <c r="K208" s="92"/>
      <c r="L208" s="92"/>
      <c r="M208" s="92"/>
      <c r="N208" s="92"/>
      <c r="O208" s="92"/>
      <c r="P208" s="93"/>
      <c r="Q208" s="92"/>
      <c r="R208" s="92"/>
      <c r="S208" s="92"/>
      <c r="T208" s="92"/>
      <c r="U208" s="92"/>
      <c r="V208" s="92"/>
      <c r="W208" s="92"/>
      <c r="X208" s="92"/>
      <c r="Y208" s="92"/>
      <c r="Z208" s="92"/>
    </row>
    <row r="209" spans="1:26" ht="15.75" customHeight="1">
      <c r="A209" s="92"/>
      <c r="B209" s="92"/>
      <c r="C209" s="92"/>
      <c r="D209" s="92"/>
      <c r="E209" s="92"/>
      <c r="F209" s="92"/>
      <c r="G209" s="92"/>
      <c r="H209" s="92"/>
      <c r="I209" s="92"/>
      <c r="J209" s="92"/>
      <c r="K209" s="92"/>
      <c r="L209" s="92"/>
      <c r="M209" s="92"/>
      <c r="N209" s="92"/>
      <c r="O209" s="92"/>
      <c r="P209" s="93"/>
      <c r="Q209" s="92"/>
      <c r="R209" s="92"/>
      <c r="S209" s="92"/>
      <c r="T209" s="92"/>
      <c r="U209" s="92"/>
      <c r="V209" s="92"/>
      <c r="W209" s="92"/>
      <c r="X209" s="92"/>
      <c r="Y209" s="92"/>
      <c r="Z209" s="92"/>
    </row>
    <row r="210" spans="1:26" ht="15.75" customHeight="1">
      <c r="A210" s="92"/>
      <c r="B210" s="92"/>
      <c r="C210" s="92"/>
      <c r="D210" s="92"/>
      <c r="E210" s="92"/>
      <c r="F210" s="92"/>
      <c r="G210" s="92"/>
      <c r="H210" s="92"/>
      <c r="I210" s="92"/>
      <c r="J210" s="92"/>
      <c r="K210" s="92"/>
      <c r="L210" s="92"/>
      <c r="M210" s="92"/>
      <c r="N210" s="92"/>
      <c r="O210" s="92"/>
      <c r="P210" s="93"/>
      <c r="Q210" s="92"/>
      <c r="R210" s="92"/>
      <c r="S210" s="92"/>
      <c r="T210" s="92"/>
      <c r="U210" s="92"/>
      <c r="V210" s="92"/>
      <c r="W210" s="92"/>
      <c r="X210" s="92"/>
      <c r="Y210" s="92"/>
      <c r="Z210" s="92"/>
    </row>
    <row r="211" spans="1:26" ht="15.75" customHeight="1">
      <c r="A211" s="92"/>
      <c r="B211" s="92"/>
      <c r="C211" s="92"/>
      <c r="D211" s="92"/>
      <c r="E211" s="92"/>
      <c r="F211" s="92"/>
      <c r="G211" s="92"/>
      <c r="H211" s="92"/>
      <c r="I211" s="92"/>
      <c r="J211" s="92"/>
      <c r="K211" s="92"/>
      <c r="L211" s="92"/>
      <c r="M211" s="92"/>
      <c r="N211" s="92"/>
      <c r="O211" s="92"/>
      <c r="P211" s="93"/>
      <c r="Q211" s="92"/>
      <c r="R211" s="92"/>
      <c r="S211" s="92"/>
      <c r="T211" s="92"/>
      <c r="U211" s="92"/>
      <c r="V211" s="92"/>
      <c r="W211" s="92"/>
      <c r="X211" s="92"/>
      <c r="Y211" s="92"/>
      <c r="Z211" s="92"/>
    </row>
    <row r="212" spans="1:26" ht="15.75" customHeight="1">
      <c r="A212" s="92"/>
      <c r="B212" s="92"/>
      <c r="C212" s="92"/>
      <c r="D212" s="92"/>
      <c r="E212" s="92"/>
      <c r="F212" s="92"/>
      <c r="G212" s="92"/>
      <c r="H212" s="92"/>
      <c r="I212" s="92"/>
      <c r="J212" s="92"/>
      <c r="K212" s="92"/>
      <c r="L212" s="92"/>
      <c r="M212" s="92"/>
      <c r="N212" s="92"/>
      <c r="O212" s="92"/>
      <c r="P212" s="93"/>
      <c r="Q212" s="92"/>
      <c r="R212" s="92"/>
      <c r="S212" s="92"/>
      <c r="T212" s="92"/>
      <c r="U212" s="92"/>
      <c r="V212" s="92"/>
      <c r="W212" s="92"/>
      <c r="X212" s="92"/>
      <c r="Y212" s="92"/>
      <c r="Z212" s="92"/>
    </row>
    <row r="213" spans="1:26" ht="15.75" customHeight="1">
      <c r="A213" s="92"/>
      <c r="B213" s="92"/>
      <c r="C213" s="92"/>
      <c r="D213" s="92"/>
      <c r="E213" s="92"/>
      <c r="F213" s="92"/>
      <c r="G213" s="92"/>
      <c r="H213" s="92"/>
      <c r="I213" s="92"/>
      <c r="J213" s="92"/>
      <c r="K213" s="92"/>
      <c r="L213" s="92"/>
      <c r="M213" s="92"/>
      <c r="N213" s="92"/>
      <c r="O213" s="92"/>
      <c r="P213" s="93"/>
      <c r="Q213" s="92"/>
      <c r="R213" s="92"/>
      <c r="S213" s="92"/>
      <c r="T213" s="92"/>
      <c r="U213" s="92"/>
      <c r="V213" s="92"/>
      <c r="W213" s="92"/>
      <c r="X213" s="92"/>
      <c r="Y213" s="92"/>
      <c r="Z213" s="92"/>
    </row>
    <row r="214" spans="1:26" ht="15.75" customHeight="1">
      <c r="A214" s="92"/>
      <c r="B214" s="92"/>
      <c r="C214" s="92"/>
      <c r="D214" s="92"/>
      <c r="E214" s="92"/>
      <c r="F214" s="92"/>
      <c r="G214" s="92"/>
      <c r="H214" s="92"/>
      <c r="I214" s="92"/>
      <c r="J214" s="92"/>
      <c r="K214" s="92"/>
      <c r="L214" s="92"/>
      <c r="M214" s="92"/>
      <c r="N214" s="92"/>
      <c r="O214" s="92"/>
      <c r="P214" s="93"/>
      <c r="Q214" s="92"/>
      <c r="R214" s="92"/>
      <c r="S214" s="92"/>
      <c r="T214" s="92"/>
      <c r="U214" s="92"/>
      <c r="V214" s="92"/>
      <c r="W214" s="92"/>
      <c r="X214" s="92"/>
      <c r="Y214" s="92"/>
      <c r="Z214" s="92"/>
    </row>
    <row r="215" spans="1:26" ht="15.75" customHeight="1">
      <c r="A215" s="92"/>
      <c r="B215" s="92"/>
      <c r="C215" s="92"/>
      <c r="D215" s="92"/>
      <c r="E215" s="92"/>
      <c r="F215" s="92"/>
      <c r="G215" s="92"/>
      <c r="H215" s="92"/>
      <c r="I215" s="92"/>
      <c r="J215" s="92"/>
      <c r="K215" s="92"/>
      <c r="L215" s="92"/>
      <c r="M215" s="92"/>
      <c r="N215" s="92"/>
      <c r="O215" s="92"/>
      <c r="P215" s="93"/>
      <c r="Q215" s="92"/>
      <c r="R215" s="92"/>
      <c r="S215" s="92"/>
      <c r="T215" s="92"/>
      <c r="U215" s="92"/>
      <c r="V215" s="92"/>
      <c r="W215" s="92"/>
      <c r="X215" s="92"/>
      <c r="Y215" s="92"/>
      <c r="Z215" s="92"/>
    </row>
    <row r="216" spans="1:26" ht="15.75" customHeight="1">
      <c r="A216" s="92"/>
      <c r="B216" s="92"/>
      <c r="C216" s="92"/>
      <c r="D216" s="92"/>
      <c r="E216" s="92"/>
      <c r="F216" s="92"/>
      <c r="G216" s="92"/>
      <c r="H216" s="92"/>
      <c r="I216" s="92"/>
      <c r="J216" s="92"/>
      <c r="K216" s="92"/>
      <c r="L216" s="92"/>
      <c r="M216" s="92"/>
      <c r="N216" s="92"/>
      <c r="O216" s="92"/>
      <c r="P216" s="93"/>
      <c r="Q216" s="92"/>
      <c r="R216" s="92"/>
      <c r="S216" s="92"/>
      <c r="T216" s="92"/>
      <c r="U216" s="92"/>
      <c r="V216" s="92"/>
      <c r="W216" s="92"/>
      <c r="X216" s="92"/>
      <c r="Y216" s="92"/>
      <c r="Z216" s="92"/>
    </row>
    <row r="217" spans="1:26" ht="15.75" customHeight="1">
      <c r="A217" s="92"/>
      <c r="B217" s="92"/>
      <c r="C217" s="92"/>
      <c r="D217" s="92"/>
      <c r="E217" s="92"/>
      <c r="F217" s="92"/>
      <c r="G217" s="92"/>
      <c r="H217" s="92"/>
      <c r="I217" s="92"/>
      <c r="J217" s="92"/>
      <c r="K217" s="92"/>
      <c r="L217" s="92"/>
      <c r="M217" s="92"/>
      <c r="N217" s="92"/>
      <c r="O217" s="92"/>
      <c r="P217" s="93"/>
      <c r="Q217" s="92"/>
      <c r="R217" s="92"/>
      <c r="S217" s="92"/>
      <c r="T217" s="92"/>
      <c r="U217" s="92"/>
      <c r="V217" s="92"/>
      <c r="W217" s="92"/>
      <c r="X217" s="92"/>
      <c r="Y217" s="92"/>
      <c r="Z217" s="92"/>
    </row>
    <row r="218" spans="1:26" ht="15.75" customHeight="1">
      <c r="A218" s="92"/>
      <c r="B218" s="92"/>
      <c r="C218" s="92"/>
      <c r="D218" s="92"/>
      <c r="E218" s="92"/>
      <c r="F218" s="92"/>
      <c r="G218" s="92"/>
      <c r="H218" s="92"/>
      <c r="I218" s="92"/>
      <c r="J218" s="92"/>
      <c r="K218" s="92"/>
      <c r="L218" s="92"/>
      <c r="M218" s="92"/>
      <c r="N218" s="92"/>
      <c r="O218" s="92"/>
      <c r="P218" s="93"/>
      <c r="Q218" s="92"/>
      <c r="R218" s="92"/>
      <c r="S218" s="92"/>
      <c r="T218" s="92"/>
      <c r="U218" s="92"/>
      <c r="V218" s="92"/>
      <c r="W218" s="92"/>
      <c r="X218" s="92"/>
      <c r="Y218" s="92"/>
      <c r="Z218" s="92"/>
    </row>
    <row r="219" spans="1:26" ht="15.75" customHeight="1">
      <c r="A219" s="92"/>
      <c r="B219" s="92"/>
      <c r="C219" s="92"/>
      <c r="D219" s="92"/>
      <c r="E219" s="92"/>
      <c r="F219" s="92"/>
      <c r="G219" s="92"/>
      <c r="H219" s="92"/>
      <c r="I219" s="92"/>
      <c r="J219" s="92"/>
      <c r="K219" s="92"/>
      <c r="L219" s="92"/>
      <c r="M219" s="92"/>
      <c r="N219" s="92"/>
      <c r="O219" s="92"/>
      <c r="P219" s="93"/>
      <c r="Q219" s="92"/>
      <c r="R219" s="92"/>
      <c r="S219" s="92"/>
      <c r="T219" s="92"/>
      <c r="U219" s="92"/>
      <c r="V219" s="92"/>
      <c r="W219" s="92"/>
      <c r="X219" s="92"/>
      <c r="Y219" s="92"/>
      <c r="Z219" s="92"/>
    </row>
    <row r="220" spans="1:26" ht="15.75" customHeight="1">
      <c r="A220" s="92"/>
      <c r="B220" s="92"/>
      <c r="C220" s="92"/>
      <c r="D220" s="92"/>
      <c r="E220" s="92"/>
      <c r="F220" s="92"/>
      <c r="G220" s="92"/>
      <c r="H220" s="92"/>
      <c r="I220" s="92"/>
      <c r="J220" s="92"/>
      <c r="K220" s="92"/>
      <c r="L220" s="92"/>
      <c r="M220" s="92"/>
      <c r="N220" s="92"/>
      <c r="O220" s="92"/>
      <c r="P220" s="93"/>
      <c r="Q220" s="92"/>
      <c r="R220" s="92"/>
      <c r="S220" s="92"/>
      <c r="T220" s="92"/>
      <c r="U220" s="92"/>
      <c r="V220" s="92"/>
      <c r="W220" s="92"/>
      <c r="X220" s="92"/>
      <c r="Y220" s="92"/>
      <c r="Z220" s="92"/>
    </row>
    <row r="221" spans="1:26" ht="15.75" customHeight="1">
      <c r="A221" s="92"/>
      <c r="B221" s="92"/>
      <c r="C221" s="92"/>
      <c r="D221" s="92"/>
      <c r="E221" s="92"/>
      <c r="F221" s="92"/>
      <c r="G221" s="92"/>
      <c r="H221" s="92"/>
      <c r="I221" s="92"/>
      <c r="J221" s="92"/>
      <c r="K221" s="92"/>
      <c r="L221" s="92"/>
      <c r="M221" s="92"/>
      <c r="N221" s="92"/>
      <c r="O221" s="92"/>
      <c r="P221" s="93"/>
      <c r="Q221" s="92"/>
      <c r="R221" s="92"/>
      <c r="S221" s="92"/>
      <c r="T221" s="92"/>
      <c r="U221" s="92"/>
      <c r="V221" s="92"/>
      <c r="W221" s="92"/>
      <c r="X221" s="92"/>
      <c r="Y221" s="92"/>
      <c r="Z221" s="92"/>
    </row>
    <row r="222" spans="1:26" ht="15.75" customHeight="1">
      <c r="A222" s="92"/>
      <c r="B222" s="92"/>
      <c r="C222" s="92"/>
      <c r="D222" s="92"/>
      <c r="E222" s="92"/>
      <c r="F222" s="92"/>
      <c r="G222" s="92"/>
      <c r="H222" s="92"/>
      <c r="I222" s="92"/>
      <c r="J222" s="92"/>
      <c r="K222" s="92"/>
      <c r="L222" s="92"/>
      <c r="M222" s="92"/>
      <c r="N222" s="92"/>
      <c r="O222" s="92"/>
      <c r="P222" s="93"/>
      <c r="Q222" s="92"/>
      <c r="R222" s="92"/>
      <c r="S222" s="92"/>
      <c r="T222" s="92"/>
      <c r="U222" s="92"/>
      <c r="V222" s="92"/>
      <c r="W222" s="92"/>
      <c r="X222" s="92"/>
      <c r="Y222" s="92"/>
      <c r="Z222" s="92"/>
    </row>
    <row r="223" spans="1:26" ht="15.75" customHeight="1">
      <c r="A223" s="92"/>
      <c r="B223" s="92"/>
      <c r="C223" s="92"/>
      <c r="D223" s="92"/>
      <c r="E223" s="92"/>
      <c r="F223" s="92"/>
      <c r="G223" s="92"/>
      <c r="H223" s="92"/>
      <c r="I223" s="92"/>
      <c r="J223" s="92"/>
      <c r="K223" s="92"/>
      <c r="L223" s="92"/>
      <c r="M223" s="92"/>
      <c r="N223" s="92"/>
      <c r="O223" s="92"/>
      <c r="P223" s="93"/>
      <c r="Q223" s="92"/>
      <c r="R223" s="92"/>
      <c r="S223" s="92"/>
      <c r="T223" s="92"/>
      <c r="U223" s="92"/>
      <c r="V223" s="92"/>
      <c r="W223" s="92"/>
      <c r="X223" s="92"/>
      <c r="Y223" s="92"/>
      <c r="Z223" s="92"/>
    </row>
    <row r="224" spans="1:26" ht="15.75" customHeight="1">
      <c r="A224" s="92"/>
      <c r="B224" s="92"/>
      <c r="C224" s="92"/>
      <c r="D224" s="92"/>
      <c r="E224" s="92"/>
      <c r="F224" s="92"/>
      <c r="G224" s="92"/>
      <c r="H224" s="92"/>
      <c r="I224" s="92"/>
      <c r="J224" s="92"/>
      <c r="K224" s="92"/>
      <c r="L224" s="92"/>
      <c r="M224" s="92"/>
      <c r="N224" s="92"/>
      <c r="O224" s="92"/>
      <c r="P224" s="93"/>
      <c r="Q224" s="92"/>
      <c r="R224" s="92"/>
      <c r="S224" s="92"/>
      <c r="T224" s="92"/>
      <c r="U224" s="92"/>
      <c r="V224" s="92"/>
      <c r="W224" s="92"/>
      <c r="X224" s="92"/>
      <c r="Y224" s="92"/>
      <c r="Z224" s="92"/>
    </row>
    <row r="225" spans="1:26" ht="15.75" customHeight="1">
      <c r="A225" s="92"/>
      <c r="B225" s="92"/>
      <c r="C225" s="92"/>
      <c r="D225" s="92"/>
      <c r="E225" s="92"/>
      <c r="F225" s="92"/>
      <c r="G225" s="92"/>
      <c r="H225" s="92"/>
      <c r="I225" s="92"/>
      <c r="J225" s="92"/>
      <c r="K225" s="92"/>
      <c r="L225" s="92"/>
      <c r="M225" s="92"/>
      <c r="N225" s="92"/>
      <c r="O225" s="92"/>
      <c r="P225" s="93"/>
      <c r="Q225" s="92"/>
      <c r="R225" s="92"/>
      <c r="S225" s="92"/>
      <c r="T225" s="92"/>
      <c r="U225" s="92"/>
      <c r="V225" s="92"/>
      <c r="W225" s="92"/>
      <c r="X225" s="92"/>
      <c r="Y225" s="92"/>
      <c r="Z225" s="92"/>
    </row>
    <row r="226" spans="1:26" ht="15.75" customHeight="1">
      <c r="A226" s="92"/>
      <c r="B226" s="92"/>
      <c r="C226" s="92"/>
      <c r="D226" s="92"/>
      <c r="E226" s="92"/>
      <c r="F226" s="92"/>
      <c r="G226" s="92"/>
      <c r="H226" s="92"/>
      <c r="I226" s="92"/>
      <c r="J226" s="92"/>
      <c r="K226" s="92"/>
      <c r="L226" s="92"/>
      <c r="M226" s="92"/>
      <c r="N226" s="92"/>
      <c r="O226" s="92"/>
      <c r="P226" s="93"/>
      <c r="Q226" s="92"/>
      <c r="R226" s="92"/>
      <c r="S226" s="92"/>
      <c r="T226" s="92"/>
      <c r="U226" s="92"/>
      <c r="V226" s="92"/>
      <c r="W226" s="92"/>
      <c r="X226" s="92"/>
      <c r="Y226" s="92"/>
      <c r="Z226" s="92"/>
    </row>
    <row r="227" spans="1:26" ht="15.75" customHeight="1">
      <c r="A227" s="92"/>
      <c r="B227" s="92"/>
      <c r="C227" s="92"/>
      <c r="D227" s="92"/>
      <c r="E227" s="92"/>
      <c r="F227" s="92"/>
      <c r="G227" s="92"/>
      <c r="H227" s="92"/>
      <c r="I227" s="92"/>
      <c r="J227" s="92"/>
      <c r="K227" s="92"/>
      <c r="L227" s="92"/>
      <c r="M227" s="92"/>
      <c r="N227" s="92"/>
      <c r="O227" s="92"/>
      <c r="P227" s="93"/>
      <c r="Q227" s="92"/>
      <c r="R227" s="92"/>
      <c r="S227" s="92"/>
      <c r="T227" s="92"/>
      <c r="U227" s="92"/>
      <c r="V227" s="92"/>
      <c r="W227" s="92"/>
      <c r="X227" s="92"/>
      <c r="Y227" s="92"/>
      <c r="Z227" s="92"/>
    </row>
    <row r="228" spans="1:26" ht="15.75" customHeight="1">
      <c r="A228" s="92"/>
      <c r="B228" s="92"/>
      <c r="C228" s="92"/>
      <c r="D228" s="92"/>
      <c r="E228" s="92"/>
      <c r="F228" s="92"/>
      <c r="G228" s="92"/>
      <c r="H228" s="92"/>
      <c r="I228" s="92"/>
      <c r="J228" s="92"/>
      <c r="K228" s="92"/>
      <c r="L228" s="92"/>
      <c r="M228" s="92"/>
      <c r="N228" s="92"/>
      <c r="O228" s="92"/>
      <c r="P228" s="93"/>
      <c r="Q228" s="92"/>
      <c r="R228" s="92"/>
      <c r="S228" s="92"/>
      <c r="T228" s="92"/>
      <c r="U228" s="92"/>
      <c r="V228" s="92"/>
      <c r="W228" s="92"/>
      <c r="X228" s="92"/>
      <c r="Y228" s="92"/>
      <c r="Z228" s="92"/>
    </row>
    <row r="229" spans="1:26" ht="15.75" customHeight="1">
      <c r="A229" s="92"/>
      <c r="B229" s="92"/>
      <c r="C229" s="92"/>
      <c r="D229" s="92"/>
      <c r="E229" s="92"/>
      <c r="F229" s="92"/>
      <c r="G229" s="92"/>
      <c r="H229" s="92"/>
      <c r="I229" s="92"/>
      <c r="J229" s="92"/>
      <c r="K229" s="92"/>
      <c r="L229" s="92"/>
      <c r="M229" s="92"/>
      <c r="N229" s="92"/>
      <c r="O229" s="92"/>
      <c r="P229" s="93"/>
      <c r="Q229" s="92"/>
      <c r="R229" s="92"/>
      <c r="S229" s="92"/>
      <c r="T229" s="92"/>
      <c r="U229" s="92"/>
      <c r="V229" s="92"/>
      <c r="W229" s="92"/>
      <c r="X229" s="92"/>
      <c r="Y229" s="92"/>
      <c r="Z229" s="92"/>
    </row>
    <row r="230" spans="1:26" ht="15.75" customHeight="1">
      <c r="A230" s="92"/>
      <c r="B230" s="92"/>
      <c r="C230" s="92"/>
      <c r="D230" s="92"/>
      <c r="E230" s="92"/>
      <c r="F230" s="92"/>
      <c r="G230" s="92"/>
      <c r="H230" s="92"/>
      <c r="I230" s="92"/>
      <c r="J230" s="92"/>
      <c r="K230" s="92"/>
      <c r="L230" s="92"/>
      <c r="M230" s="92"/>
      <c r="N230" s="92"/>
      <c r="O230" s="92"/>
      <c r="P230" s="93"/>
      <c r="Q230" s="92"/>
      <c r="R230" s="92"/>
      <c r="S230" s="92"/>
      <c r="T230" s="92"/>
      <c r="U230" s="92"/>
      <c r="V230" s="92"/>
      <c r="W230" s="92"/>
      <c r="X230" s="92"/>
      <c r="Y230" s="92"/>
      <c r="Z230" s="92"/>
    </row>
    <row r="231" spans="1:26" ht="15.75" customHeight="1">
      <c r="A231" s="92"/>
      <c r="B231" s="92"/>
      <c r="C231" s="92"/>
      <c r="D231" s="92"/>
      <c r="E231" s="92"/>
      <c r="F231" s="92"/>
      <c r="G231" s="92"/>
      <c r="H231" s="92"/>
      <c r="I231" s="92"/>
      <c r="J231" s="92"/>
      <c r="K231" s="92"/>
      <c r="L231" s="92"/>
      <c r="M231" s="92"/>
      <c r="N231" s="92"/>
      <c r="O231" s="92"/>
      <c r="P231" s="93"/>
      <c r="Q231" s="92"/>
      <c r="R231" s="92"/>
      <c r="S231" s="92"/>
      <c r="T231" s="92"/>
      <c r="U231" s="92"/>
      <c r="V231" s="92"/>
      <c r="W231" s="92"/>
      <c r="X231" s="92"/>
      <c r="Y231" s="92"/>
      <c r="Z231" s="92"/>
    </row>
    <row r="232" spans="1:26" ht="15.75" customHeight="1">
      <c r="A232" s="92"/>
      <c r="B232" s="92"/>
      <c r="C232" s="92"/>
      <c r="D232" s="92"/>
      <c r="E232" s="92"/>
      <c r="F232" s="92"/>
      <c r="G232" s="92"/>
      <c r="H232" s="92"/>
      <c r="I232" s="92"/>
      <c r="J232" s="92"/>
      <c r="K232" s="92"/>
      <c r="L232" s="92"/>
      <c r="M232" s="92"/>
      <c r="N232" s="92"/>
      <c r="O232" s="92"/>
      <c r="P232" s="93"/>
      <c r="Q232" s="92"/>
      <c r="R232" s="92"/>
      <c r="S232" s="92"/>
      <c r="T232" s="92"/>
      <c r="U232" s="92"/>
      <c r="V232" s="92"/>
      <c r="W232" s="92"/>
      <c r="X232" s="92"/>
      <c r="Y232" s="92"/>
      <c r="Z232" s="92"/>
    </row>
    <row r="233" spans="1:26" ht="15.75" customHeight="1">
      <c r="A233" s="92"/>
      <c r="B233" s="92"/>
      <c r="C233" s="92"/>
      <c r="D233" s="92"/>
      <c r="E233" s="92"/>
      <c r="F233" s="92"/>
      <c r="G233" s="92"/>
      <c r="H233" s="92"/>
      <c r="I233" s="92"/>
      <c r="J233" s="92"/>
      <c r="K233" s="92"/>
      <c r="L233" s="92"/>
      <c r="M233" s="92"/>
      <c r="N233" s="92"/>
      <c r="O233" s="92"/>
      <c r="P233" s="93"/>
      <c r="Q233" s="92"/>
      <c r="R233" s="92"/>
      <c r="S233" s="92"/>
      <c r="T233" s="92"/>
      <c r="U233" s="92"/>
      <c r="V233" s="92"/>
      <c r="W233" s="92"/>
      <c r="X233" s="92"/>
      <c r="Y233" s="92"/>
      <c r="Z233" s="92"/>
    </row>
    <row r="234" spans="1:26" ht="15.75" customHeight="1">
      <c r="A234" s="92"/>
      <c r="B234" s="92"/>
      <c r="C234" s="92"/>
      <c r="D234" s="92"/>
      <c r="E234" s="92"/>
      <c r="F234" s="92"/>
      <c r="G234" s="92"/>
      <c r="H234" s="92"/>
      <c r="I234" s="92"/>
      <c r="J234" s="92"/>
      <c r="K234" s="92"/>
      <c r="L234" s="92"/>
      <c r="M234" s="92"/>
      <c r="N234" s="92"/>
      <c r="O234" s="92"/>
      <c r="P234" s="93"/>
      <c r="Q234" s="92"/>
      <c r="R234" s="92"/>
      <c r="S234" s="92"/>
      <c r="T234" s="92"/>
      <c r="U234" s="92"/>
      <c r="V234" s="92"/>
      <c r="W234" s="92"/>
      <c r="X234" s="92"/>
      <c r="Y234" s="92"/>
      <c r="Z234" s="92"/>
    </row>
    <row r="235" spans="1:26" ht="15.75" customHeight="1">
      <c r="A235" s="92"/>
      <c r="B235" s="92"/>
      <c r="C235" s="92"/>
      <c r="D235" s="92"/>
      <c r="E235" s="92"/>
      <c r="F235" s="92"/>
      <c r="G235" s="92"/>
      <c r="H235" s="92"/>
      <c r="I235" s="92"/>
      <c r="J235" s="92"/>
      <c r="K235" s="92"/>
      <c r="L235" s="92"/>
      <c r="M235" s="92"/>
      <c r="N235" s="92"/>
      <c r="O235" s="92"/>
      <c r="P235" s="93"/>
      <c r="Q235" s="92"/>
      <c r="R235" s="92"/>
      <c r="S235" s="92"/>
      <c r="T235" s="92"/>
      <c r="U235" s="92"/>
      <c r="V235" s="92"/>
      <c r="W235" s="92"/>
      <c r="X235" s="92"/>
      <c r="Y235" s="92"/>
      <c r="Z235" s="92"/>
    </row>
    <row r="236" spans="1:26" ht="15.75" customHeight="1">
      <c r="A236" s="92"/>
      <c r="B236" s="92"/>
      <c r="C236" s="92"/>
      <c r="D236" s="92"/>
      <c r="E236" s="92"/>
      <c r="F236" s="92"/>
      <c r="G236" s="92"/>
      <c r="H236" s="92"/>
      <c r="I236" s="92"/>
      <c r="J236" s="92"/>
      <c r="K236" s="92"/>
      <c r="L236" s="92"/>
      <c r="M236" s="92"/>
      <c r="N236" s="92"/>
      <c r="O236" s="92"/>
      <c r="P236" s="93"/>
      <c r="Q236" s="92"/>
      <c r="R236" s="92"/>
      <c r="S236" s="92"/>
      <c r="T236" s="92"/>
      <c r="U236" s="92"/>
      <c r="V236" s="92"/>
      <c r="W236" s="92"/>
      <c r="X236" s="92"/>
      <c r="Y236" s="92"/>
      <c r="Z236" s="92"/>
    </row>
    <row r="237" spans="1:26" ht="15.75" customHeight="1">
      <c r="A237" s="92"/>
      <c r="B237" s="92"/>
      <c r="C237" s="92"/>
      <c r="D237" s="92"/>
      <c r="E237" s="92"/>
      <c r="F237" s="92"/>
      <c r="G237" s="92"/>
      <c r="H237" s="92"/>
      <c r="I237" s="92"/>
      <c r="J237" s="92"/>
      <c r="K237" s="92"/>
      <c r="L237" s="92"/>
      <c r="M237" s="92"/>
      <c r="N237" s="92"/>
      <c r="O237" s="92"/>
      <c r="P237" s="93"/>
      <c r="Q237" s="92"/>
      <c r="R237" s="92"/>
      <c r="S237" s="92"/>
      <c r="T237" s="92"/>
      <c r="U237" s="92"/>
      <c r="V237" s="92"/>
      <c r="W237" s="92"/>
      <c r="X237" s="92"/>
      <c r="Y237" s="92"/>
      <c r="Z237" s="92"/>
    </row>
    <row r="238" spans="1:26" ht="15.75" customHeight="1">
      <c r="A238" s="92"/>
      <c r="B238" s="92"/>
      <c r="C238" s="92"/>
      <c r="D238" s="92"/>
      <c r="E238" s="92"/>
      <c r="F238" s="92"/>
      <c r="G238" s="92"/>
      <c r="H238" s="92"/>
      <c r="I238" s="92"/>
      <c r="J238" s="92"/>
      <c r="K238" s="92"/>
      <c r="L238" s="92"/>
      <c r="M238" s="92"/>
      <c r="N238" s="92"/>
      <c r="O238" s="92"/>
      <c r="P238" s="93"/>
      <c r="Q238" s="92"/>
      <c r="R238" s="92"/>
      <c r="S238" s="92"/>
      <c r="T238" s="92"/>
      <c r="U238" s="92"/>
      <c r="V238" s="92"/>
      <c r="W238" s="92"/>
      <c r="X238" s="92"/>
      <c r="Y238" s="92"/>
      <c r="Z238" s="92"/>
    </row>
    <row r="239" spans="1:26" ht="15.75" customHeight="1">
      <c r="A239" s="92"/>
      <c r="B239" s="92"/>
      <c r="C239" s="92"/>
      <c r="D239" s="92"/>
      <c r="E239" s="92"/>
      <c r="F239" s="92"/>
      <c r="G239" s="92"/>
      <c r="H239" s="92"/>
      <c r="I239" s="92"/>
      <c r="J239" s="92"/>
      <c r="K239" s="92"/>
      <c r="L239" s="92"/>
      <c r="M239" s="92"/>
      <c r="N239" s="92"/>
      <c r="O239" s="92"/>
      <c r="P239" s="93"/>
      <c r="Q239" s="92"/>
      <c r="R239" s="92"/>
      <c r="S239" s="92"/>
      <c r="T239" s="92"/>
      <c r="U239" s="92"/>
      <c r="V239" s="92"/>
      <c r="W239" s="92"/>
      <c r="X239" s="92"/>
      <c r="Y239" s="92"/>
      <c r="Z239" s="92"/>
    </row>
    <row r="240" spans="1:26" ht="15.75" customHeight="1">
      <c r="A240" s="92"/>
      <c r="B240" s="92"/>
      <c r="C240" s="92"/>
      <c r="D240" s="92"/>
      <c r="E240" s="92"/>
      <c r="F240" s="92"/>
      <c r="G240" s="92"/>
      <c r="H240" s="92"/>
      <c r="I240" s="92"/>
      <c r="J240" s="92"/>
      <c r="K240" s="92"/>
      <c r="L240" s="92"/>
      <c r="M240" s="92"/>
      <c r="N240" s="92"/>
      <c r="O240" s="92"/>
      <c r="P240" s="93"/>
      <c r="Q240" s="92"/>
      <c r="R240" s="92"/>
      <c r="S240" s="92"/>
      <c r="T240" s="92"/>
      <c r="U240" s="92"/>
      <c r="V240" s="92"/>
      <c r="W240" s="92"/>
      <c r="X240" s="92"/>
      <c r="Y240" s="92"/>
      <c r="Z240" s="92"/>
    </row>
    <row r="241" spans="1:26" ht="15.75" customHeight="1">
      <c r="A241" s="92"/>
      <c r="B241" s="92"/>
      <c r="C241" s="92"/>
      <c r="D241" s="92"/>
      <c r="E241" s="92"/>
      <c r="F241" s="92"/>
      <c r="G241" s="92"/>
      <c r="H241" s="92"/>
      <c r="I241" s="92"/>
      <c r="J241" s="92"/>
      <c r="K241" s="92"/>
      <c r="L241" s="92"/>
      <c r="M241" s="92"/>
      <c r="N241" s="92"/>
      <c r="O241" s="92"/>
      <c r="P241" s="93"/>
      <c r="Q241" s="92"/>
      <c r="R241" s="92"/>
      <c r="S241" s="92"/>
      <c r="T241" s="92"/>
      <c r="U241" s="92"/>
      <c r="V241" s="92"/>
      <c r="W241" s="92"/>
      <c r="X241" s="92"/>
      <c r="Y241" s="92"/>
      <c r="Z241" s="92"/>
    </row>
    <row r="242" spans="1:26" ht="15.75" customHeight="1">
      <c r="A242" s="92"/>
      <c r="B242" s="92"/>
      <c r="C242" s="92"/>
      <c r="D242" s="92"/>
      <c r="E242" s="92"/>
      <c r="F242" s="92"/>
      <c r="G242" s="92"/>
      <c r="H242" s="92"/>
      <c r="I242" s="92"/>
      <c r="J242" s="92"/>
      <c r="K242" s="92"/>
      <c r="L242" s="92"/>
      <c r="M242" s="92"/>
      <c r="N242" s="92"/>
      <c r="O242" s="92"/>
      <c r="P242" s="93"/>
      <c r="Q242" s="92"/>
      <c r="R242" s="92"/>
      <c r="S242" s="92"/>
      <c r="T242" s="92"/>
      <c r="U242" s="92"/>
      <c r="V242" s="92"/>
      <c r="W242" s="92"/>
      <c r="X242" s="92"/>
      <c r="Y242" s="92"/>
      <c r="Z242" s="92"/>
    </row>
    <row r="243" spans="1:26" ht="15.75" customHeight="1">
      <c r="A243" s="92"/>
      <c r="B243" s="92"/>
      <c r="C243" s="92"/>
      <c r="D243" s="92"/>
      <c r="E243" s="92"/>
      <c r="F243" s="92"/>
      <c r="G243" s="92"/>
      <c r="H243" s="92"/>
      <c r="I243" s="92"/>
      <c r="J243" s="92"/>
      <c r="K243" s="92"/>
      <c r="L243" s="92"/>
      <c r="M243" s="92"/>
      <c r="N243" s="92"/>
      <c r="O243" s="92"/>
      <c r="P243" s="93"/>
      <c r="Q243" s="92"/>
      <c r="R243" s="92"/>
      <c r="S243" s="92"/>
      <c r="T243" s="92"/>
      <c r="U243" s="92"/>
      <c r="V243" s="92"/>
      <c r="W243" s="92"/>
      <c r="X243" s="92"/>
      <c r="Y243" s="92"/>
      <c r="Z243" s="92"/>
    </row>
    <row r="244" spans="1:26" ht="15.75" customHeight="1">
      <c r="A244" s="92"/>
      <c r="B244" s="92"/>
      <c r="C244" s="92"/>
      <c r="D244" s="92"/>
      <c r="E244" s="92"/>
      <c r="F244" s="92"/>
      <c r="G244" s="92"/>
      <c r="H244" s="92"/>
      <c r="I244" s="92"/>
      <c r="J244" s="92"/>
      <c r="K244" s="92"/>
      <c r="L244" s="92"/>
      <c r="M244" s="92"/>
      <c r="N244" s="92"/>
      <c r="O244" s="92"/>
      <c r="P244" s="93"/>
      <c r="Q244" s="92"/>
      <c r="R244" s="92"/>
      <c r="S244" s="92"/>
      <c r="T244" s="92"/>
      <c r="U244" s="92"/>
      <c r="V244" s="92"/>
      <c r="W244" s="92"/>
      <c r="X244" s="92"/>
      <c r="Y244" s="92"/>
      <c r="Z244" s="92"/>
    </row>
    <row r="245" spans="1:26" ht="15.75" customHeight="1">
      <c r="A245" s="92"/>
      <c r="B245" s="92"/>
      <c r="C245" s="92"/>
      <c r="D245" s="92"/>
      <c r="E245" s="92"/>
      <c r="F245" s="92"/>
      <c r="G245" s="92"/>
      <c r="H245" s="92"/>
      <c r="I245" s="92"/>
      <c r="J245" s="92"/>
      <c r="K245" s="92"/>
      <c r="L245" s="92"/>
      <c r="M245" s="92"/>
      <c r="N245" s="92"/>
      <c r="O245" s="92"/>
      <c r="P245" s="93"/>
      <c r="Q245" s="92"/>
      <c r="R245" s="92"/>
      <c r="S245" s="92"/>
      <c r="T245" s="92"/>
      <c r="U245" s="92"/>
      <c r="V245" s="92"/>
      <c r="W245" s="92"/>
      <c r="X245" s="92"/>
      <c r="Y245" s="92"/>
      <c r="Z245" s="92"/>
    </row>
    <row r="246" spans="1:26" ht="15.75" customHeight="1">
      <c r="A246" s="92"/>
      <c r="B246" s="92"/>
      <c r="C246" s="92"/>
      <c r="D246" s="92"/>
      <c r="E246" s="92"/>
      <c r="F246" s="92"/>
      <c r="G246" s="92"/>
      <c r="H246" s="92"/>
      <c r="I246" s="92"/>
      <c r="J246" s="92"/>
      <c r="K246" s="92"/>
      <c r="L246" s="92"/>
      <c r="M246" s="92"/>
      <c r="N246" s="92"/>
      <c r="O246" s="92"/>
      <c r="P246" s="93"/>
      <c r="Q246" s="92"/>
      <c r="R246" s="92"/>
      <c r="S246" s="92"/>
      <c r="T246" s="92"/>
      <c r="U246" s="92"/>
      <c r="V246" s="92"/>
      <c r="W246" s="92"/>
      <c r="X246" s="92"/>
      <c r="Y246" s="92"/>
      <c r="Z246" s="92"/>
    </row>
    <row r="247" spans="1:26" ht="15.75" customHeight="1">
      <c r="A247" s="92"/>
      <c r="B247" s="92"/>
      <c r="C247" s="92"/>
      <c r="D247" s="92"/>
      <c r="E247" s="92"/>
      <c r="F247" s="92"/>
      <c r="G247" s="92"/>
      <c r="H247" s="92"/>
      <c r="I247" s="92"/>
      <c r="J247" s="92"/>
      <c r="K247" s="92"/>
      <c r="L247" s="92"/>
      <c r="M247" s="92"/>
      <c r="N247" s="92"/>
      <c r="O247" s="92"/>
      <c r="P247" s="93"/>
      <c r="Q247" s="92"/>
      <c r="R247" s="92"/>
      <c r="S247" s="92"/>
      <c r="T247" s="92"/>
      <c r="U247" s="92"/>
      <c r="V247" s="92"/>
      <c r="W247" s="92"/>
      <c r="X247" s="92"/>
      <c r="Y247" s="92"/>
      <c r="Z247" s="92"/>
    </row>
    <row r="248" spans="1:26" ht="15.75" customHeight="1">
      <c r="A248" s="92"/>
      <c r="B248" s="92"/>
      <c r="C248" s="92"/>
      <c r="D248" s="92"/>
      <c r="E248" s="92"/>
      <c r="F248" s="92"/>
      <c r="G248" s="92"/>
      <c r="H248" s="92"/>
      <c r="I248" s="92"/>
      <c r="J248" s="92"/>
      <c r="K248" s="92"/>
      <c r="L248" s="92"/>
      <c r="M248" s="92"/>
      <c r="N248" s="92"/>
      <c r="O248" s="92"/>
      <c r="P248" s="93"/>
      <c r="Q248" s="92"/>
      <c r="R248" s="92"/>
      <c r="S248" s="92"/>
      <c r="T248" s="92"/>
      <c r="U248" s="92"/>
      <c r="V248" s="92"/>
      <c r="W248" s="92"/>
      <c r="X248" s="92"/>
      <c r="Y248" s="92"/>
      <c r="Z248" s="92"/>
    </row>
    <row r="249" spans="1:26" ht="15.75" customHeight="1">
      <c r="A249" s="92"/>
      <c r="B249" s="92"/>
      <c r="C249" s="92"/>
      <c r="D249" s="92"/>
      <c r="E249" s="92"/>
      <c r="F249" s="92"/>
      <c r="G249" s="92"/>
      <c r="H249" s="92"/>
      <c r="I249" s="92"/>
      <c r="J249" s="92"/>
      <c r="K249" s="92"/>
      <c r="L249" s="92"/>
      <c r="M249" s="92"/>
      <c r="N249" s="92"/>
      <c r="O249" s="92"/>
      <c r="P249" s="93"/>
      <c r="Q249" s="92"/>
      <c r="R249" s="92"/>
      <c r="S249" s="92"/>
      <c r="T249" s="92"/>
      <c r="U249" s="92"/>
      <c r="V249" s="92"/>
      <c r="W249" s="92"/>
      <c r="X249" s="92"/>
      <c r="Y249" s="92"/>
      <c r="Z249" s="92"/>
    </row>
    <row r="250" spans="1:26" ht="15.75" customHeight="1">
      <c r="A250" s="92"/>
      <c r="B250" s="92"/>
      <c r="C250" s="92"/>
      <c r="D250" s="92"/>
      <c r="E250" s="92"/>
      <c r="F250" s="92"/>
      <c r="G250" s="92"/>
      <c r="H250" s="92"/>
      <c r="I250" s="92"/>
      <c r="J250" s="92"/>
      <c r="K250" s="92"/>
      <c r="L250" s="92"/>
      <c r="M250" s="92"/>
      <c r="N250" s="92"/>
      <c r="O250" s="92"/>
      <c r="P250" s="93"/>
      <c r="Q250" s="92"/>
      <c r="R250" s="92"/>
      <c r="S250" s="92"/>
      <c r="T250" s="92"/>
      <c r="U250" s="92"/>
      <c r="V250" s="92"/>
      <c r="W250" s="92"/>
      <c r="X250" s="92"/>
      <c r="Y250" s="92"/>
      <c r="Z250" s="92"/>
    </row>
    <row r="251" spans="1:26" ht="15.75" customHeight="1">
      <c r="A251" s="92"/>
      <c r="B251" s="92"/>
      <c r="C251" s="92"/>
      <c r="D251" s="92"/>
      <c r="E251" s="92"/>
      <c r="F251" s="92"/>
      <c r="G251" s="92"/>
      <c r="H251" s="92"/>
      <c r="I251" s="92"/>
      <c r="J251" s="92"/>
      <c r="K251" s="92"/>
      <c r="L251" s="92"/>
      <c r="M251" s="92"/>
      <c r="N251" s="92"/>
      <c r="O251" s="92"/>
      <c r="P251" s="93"/>
      <c r="Q251" s="92"/>
      <c r="R251" s="92"/>
      <c r="S251" s="92"/>
      <c r="T251" s="92"/>
      <c r="U251" s="92"/>
      <c r="V251" s="92"/>
      <c r="W251" s="92"/>
      <c r="X251" s="92"/>
      <c r="Y251" s="92"/>
      <c r="Z251" s="92"/>
    </row>
    <row r="252" spans="1:26" ht="15.75" customHeight="1">
      <c r="A252" s="92"/>
      <c r="B252" s="92"/>
      <c r="C252" s="92"/>
      <c r="D252" s="92"/>
      <c r="E252" s="92"/>
      <c r="F252" s="92"/>
      <c r="G252" s="92"/>
      <c r="H252" s="92"/>
      <c r="I252" s="92"/>
      <c r="J252" s="92"/>
      <c r="K252" s="92"/>
      <c r="L252" s="92"/>
      <c r="M252" s="92"/>
      <c r="N252" s="92"/>
      <c r="O252" s="92"/>
      <c r="P252" s="93"/>
      <c r="Q252" s="92"/>
      <c r="R252" s="92"/>
      <c r="S252" s="92"/>
      <c r="T252" s="92"/>
      <c r="U252" s="92"/>
      <c r="V252" s="92"/>
      <c r="W252" s="92"/>
      <c r="X252" s="92"/>
      <c r="Y252" s="92"/>
      <c r="Z252" s="92"/>
    </row>
    <row r="253" spans="1:26" ht="15.75" customHeight="1">
      <c r="A253" s="92"/>
      <c r="B253" s="92"/>
      <c r="C253" s="92"/>
      <c r="D253" s="92"/>
      <c r="E253" s="92"/>
      <c r="F253" s="92"/>
      <c r="G253" s="92"/>
      <c r="H253" s="92"/>
      <c r="I253" s="92"/>
      <c r="J253" s="92"/>
      <c r="K253" s="92"/>
      <c r="L253" s="92"/>
      <c r="M253" s="92"/>
      <c r="N253" s="92"/>
      <c r="O253" s="92"/>
      <c r="P253" s="93"/>
      <c r="Q253" s="92"/>
      <c r="R253" s="92"/>
      <c r="S253" s="92"/>
      <c r="T253" s="92"/>
      <c r="U253" s="92"/>
      <c r="V253" s="92"/>
      <c r="W253" s="92"/>
      <c r="X253" s="92"/>
      <c r="Y253" s="92"/>
      <c r="Z253" s="92"/>
    </row>
    <row r="254" spans="1:26" ht="15.75" customHeight="1">
      <c r="A254" s="92"/>
      <c r="B254" s="92"/>
      <c r="C254" s="92"/>
      <c r="D254" s="92"/>
      <c r="E254" s="92"/>
      <c r="F254" s="92"/>
      <c r="G254" s="92"/>
      <c r="H254" s="92"/>
      <c r="I254" s="92"/>
      <c r="J254" s="92"/>
      <c r="K254" s="92"/>
      <c r="L254" s="92"/>
      <c r="M254" s="92"/>
      <c r="N254" s="92"/>
      <c r="O254" s="92"/>
      <c r="P254" s="93"/>
      <c r="Q254" s="92"/>
      <c r="R254" s="92"/>
      <c r="S254" s="92"/>
      <c r="T254" s="92"/>
      <c r="U254" s="92"/>
      <c r="V254" s="92"/>
      <c r="W254" s="92"/>
      <c r="X254" s="92"/>
      <c r="Y254" s="92"/>
      <c r="Z254" s="92"/>
    </row>
    <row r="255" spans="1:26" ht="15.75" customHeight="1">
      <c r="A255" s="92"/>
      <c r="B255" s="92"/>
      <c r="C255" s="92"/>
      <c r="D255" s="92"/>
      <c r="E255" s="92"/>
      <c r="F255" s="92"/>
      <c r="G255" s="92"/>
      <c r="H255" s="92"/>
      <c r="I255" s="92"/>
      <c r="J255" s="92"/>
      <c r="K255" s="92"/>
      <c r="L255" s="92"/>
      <c r="M255" s="92"/>
      <c r="N255" s="92"/>
      <c r="O255" s="92"/>
      <c r="P255" s="93"/>
      <c r="Q255" s="92"/>
      <c r="R255" s="92"/>
      <c r="S255" s="92"/>
      <c r="T255" s="92"/>
      <c r="U255" s="92"/>
      <c r="V255" s="92"/>
      <c r="W255" s="92"/>
      <c r="X255" s="92"/>
      <c r="Y255" s="92"/>
      <c r="Z255" s="92"/>
    </row>
    <row r="256" spans="1:26" ht="15.75" customHeight="1">
      <c r="A256" s="92"/>
      <c r="B256" s="92"/>
      <c r="C256" s="92"/>
      <c r="D256" s="92"/>
      <c r="E256" s="92"/>
      <c r="F256" s="92"/>
      <c r="G256" s="92"/>
      <c r="H256" s="92"/>
      <c r="I256" s="92"/>
      <c r="J256" s="92"/>
      <c r="K256" s="92"/>
      <c r="L256" s="92"/>
      <c r="M256" s="92"/>
      <c r="N256" s="92"/>
      <c r="O256" s="92"/>
      <c r="P256" s="93"/>
      <c r="Q256" s="92"/>
      <c r="R256" s="92"/>
      <c r="S256" s="92"/>
      <c r="T256" s="92"/>
      <c r="U256" s="92"/>
      <c r="V256" s="92"/>
      <c r="W256" s="92"/>
      <c r="X256" s="92"/>
      <c r="Y256" s="92"/>
      <c r="Z256" s="92"/>
    </row>
    <row r="257" spans="1:26" ht="15.75" customHeight="1">
      <c r="A257" s="92"/>
      <c r="B257" s="92"/>
      <c r="C257" s="92"/>
      <c r="D257" s="92"/>
      <c r="E257" s="92"/>
      <c r="F257" s="92"/>
      <c r="G257" s="92"/>
      <c r="H257" s="92"/>
      <c r="I257" s="92"/>
      <c r="J257" s="92"/>
      <c r="K257" s="92"/>
      <c r="L257" s="92"/>
      <c r="M257" s="92"/>
      <c r="N257" s="92"/>
      <c r="O257" s="92"/>
      <c r="P257" s="93"/>
      <c r="Q257" s="92"/>
      <c r="R257" s="92"/>
      <c r="S257" s="92"/>
      <c r="T257" s="92"/>
      <c r="U257" s="92"/>
      <c r="V257" s="92"/>
      <c r="W257" s="92"/>
      <c r="X257" s="92"/>
      <c r="Y257" s="92"/>
      <c r="Z257" s="92"/>
    </row>
    <row r="258" spans="1:26" ht="15.75" customHeight="1">
      <c r="A258" s="92"/>
      <c r="B258" s="92"/>
      <c r="C258" s="92"/>
      <c r="D258" s="92"/>
      <c r="E258" s="92"/>
      <c r="F258" s="92"/>
      <c r="G258" s="92"/>
      <c r="H258" s="92"/>
      <c r="I258" s="92"/>
      <c r="J258" s="92"/>
      <c r="K258" s="92"/>
      <c r="L258" s="92"/>
      <c r="M258" s="92"/>
      <c r="N258" s="92"/>
      <c r="O258" s="92"/>
      <c r="P258" s="93"/>
      <c r="Q258" s="92"/>
      <c r="R258" s="92"/>
      <c r="S258" s="92"/>
      <c r="T258" s="92"/>
      <c r="U258" s="92"/>
      <c r="V258" s="92"/>
      <c r="W258" s="92"/>
      <c r="X258" s="92"/>
      <c r="Y258" s="92"/>
      <c r="Z258" s="92"/>
    </row>
    <row r="259" spans="1:26" ht="15.75" customHeight="1">
      <c r="A259" s="92"/>
      <c r="B259" s="92"/>
      <c r="C259" s="92"/>
      <c r="D259" s="92"/>
      <c r="E259" s="92"/>
      <c r="F259" s="92"/>
      <c r="G259" s="92"/>
      <c r="H259" s="92"/>
      <c r="I259" s="92"/>
      <c r="J259" s="92"/>
      <c r="K259" s="92"/>
      <c r="L259" s="92"/>
      <c r="M259" s="92"/>
      <c r="N259" s="92"/>
      <c r="O259" s="92"/>
      <c r="P259" s="93"/>
      <c r="Q259" s="92"/>
      <c r="R259" s="92"/>
      <c r="S259" s="92"/>
      <c r="T259" s="92"/>
      <c r="U259" s="92"/>
      <c r="V259" s="92"/>
      <c r="W259" s="92"/>
      <c r="X259" s="92"/>
      <c r="Y259" s="92"/>
      <c r="Z259" s="92"/>
    </row>
    <row r="260" spans="1:26" ht="15.75" customHeight="1">
      <c r="A260" s="92"/>
      <c r="B260" s="92"/>
      <c r="C260" s="92"/>
      <c r="D260" s="92"/>
      <c r="E260" s="92"/>
      <c r="F260" s="92"/>
      <c r="G260" s="92"/>
      <c r="H260" s="92"/>
      <c r="I260" s="92"/>
      <c r="J260" s="92"/>
      <c r="K260" s="92"/>
      <c r="L260" s="92"/>
      <c r="M260" s="92"/>
      <c r="N260" s="92"/>
      <c r="O260" s="92"/>
      <c r="P260" s="93"/>
      <c r="Q260" s="92"/>
      <c r="R260" s="92"/>
      <c r="S260" s="92"/>
      <c r="T260" s="92"/>
      <c r="U260" s="92"/>
      <c r="V260" s="92"/>
      <c r="W260" s="92"/>
      <c r="X260" s="92"/>
      <c r="Y260" s="92"/>
      <c r="Z260" s="92"/>
    </row>
    <row r="261" spans="1:26" ht="15.75" customHeight="1">
      <c r="A261" s="92"/>
      <c r="B261" s="92"/>
      <c r="C261" s="92"/>
      <c r="D261" s="92"/>
      <c r="E261" s="92"/>
      <c r="F261" s="92"/>
      <c r="G261" s="92"/>
      <c r="H261" s="92"/>
      <c r="I261" s="92"/>
      <c r="J261" s="92"/>
      <c r="K261" s="92"/>
      <c r="L261" s="92"/>
      <c r="M261" s="92"/>
      <c r="N261" s="92"/>
      <c r="O261" s="92"/>
      <c r="P261" s="93"/>
      <c r="Q261" s="92"/>
      <c r="R261" s="92"/>
      <c r="S261" s="92"/>
      <c r="T261" s="92"/>
      <c r="U261" s="92"/>
      <c r="V261" s="92"/>
      <c r="W261" s="92"/>
      <c r="X261" s="92"/>
      <c r="Y261" s="92"/>
      <c r="Z261" s="92"/>
    </row>
    <row r="262" spans="1:26" ht="15.75" customHeight="1">
      <c r="A262" s="92"/>
      <c r="B262" s="92"/>
      <c r="C262" s="92"/>
      <c r="D262" s="92"/>
      <c r="E262" s="92"/>
      <c r="F262" s="92"/>
      <c r="G262" s="92"/>
      <c r="H262" s="92"/>
      <c r="I262" s="92"/>
      <c r="J262" s="92"/>
      <c r="K262" s="92"/>
      <c r="L262" s="92"/>
      <c r="M262" s="92"/>
      <c r="N262" s="92"/>
      <c r="O262" s="92"/>
      <c r="P262" s="93"/>
      <c r="Q262" s="92"/>
      <c r="R262" s="92"/>
      <c r="S262" s="92"/>
      <c r="T262" s="92"/>
      <c r="U262" s="92"/>
      <c r="V262" s="92"/>
      <c r="W262" s="92"/>
      <c r="X262" s="92"/>
      <c r="Y262" s="92"/>
      <c r="Z262" s="92"/>
    </row>
    <row r="263" spans="1:26" ht="15.75" customHeight="1">
      <c r="A263" s="92"/>
      <c r="B263" s="92"/>
      <c r="C263" s="92"/>
      <c r="D263" s="92"/>
      <c r="E263" s="92"/>
      <c r="F263" s="92"/>
      <c r="G263" s="92"/>
      <c r="H263" s="92"/>
      <c r="I263" s="92"/>
      <c r="J263" s="92"/>
      <c r="K263" s="92"/>
      <c r="L263" s="92"/>
      <c r="M263" s="92"/>
      <c r="N263" s="92"/>
      <c r="O263" s="92"/>
      <c r="P263" s="93"/>
      <c r="Q263" s="92"/>
      <c r="R263" s="92"/>
      <c r="S263" s="92"/>
      <c r="T263" s="92"/>
      <c r="U263" s="92"/>
      <c r="V263" s="92"/>
      <c r="W263" s="92"/>
      <c r="X263" s="92"/>
      <c r="Y263" s="92"/>
      <c r="Z263" s="92"/>
    </row>
    <row r="264" spans="1:26" ht="15.75" customHeight="1">
      <c r="A264" s="92"/>
      <c r="B264" s="92"/>
      <c r="C264" s="92"/>
      <c r="D264" s="92"/>
      <c r="E264" s="92"/>
      <c r="F264" s="92"/>
      <c r="G264" s="92"/>
      <c r="H264" s="92"/>
      <c r="I264" s="92"/>
      <c r="J264" s="92"/>
      <c r="K264" s="92"/>
      <c r="L264" s="92"/>
      <c r="M264" s="92"/>
      <c r="N264" s="92"/>
      <c r="O264" s="92"/>
      <c r="P264" s="93"/>
      <c r="Q264" s="92"/>
      <c r="R264" s="92"/>
      <c r="S264" s="92"/>
      <c r="T264" s="92"/>
      <c r="U264" s="92"/>
      <c r="V264" s="92"/>
      <c r="W264" s="92"/>
      <c r="X264" s="92"/>
      <c r="Y264" s="92"/>
      <c r="Z264" s="92"/>
    </row>
    <row r="265" spans="1:26" ht="15.75" customHeight="1">
      <c r="A265" s="92"/>
      <c r="B265" s="92"/>
      <c r="C265" s="92"/>
      <c r="D265" s="92"/>
      <c r="E265" s="92"/>
      <c r="F265" s="92"/>
      <c r="G265" s="92"/>
      <c r="H265" s="92"/>
      <c r="I265" s="92"/>
      <c r="J265" s="92"/>
      <c r="K265" s="92"/>
      <c r="L265" s="92"/>
      <c r="M265" s="92"/>
      <c r="N265" s="92"/>
      <c r="O265" s="92"/>
      <c r="P265" s="93"/>
      <c r="Q265" s="92"/>
      <c r="R265" s="92"/>
      <c r="S265" s="92"/>
      <c r="T265" s="92"/>
      <c r="U265" s="92"/>
      <c r="V265" s="92"/>
      <c r="W265" s="92"/>
      <c r="X265" s="92"/>
      <c r="Y265" s="92"/>
      <c r="Z265" s="92"/>
    </row>
    <row r="266" spans="1:26" ht="15.75" customHeight="1">
      <c r="A266" s="92"/>
      <c r="B266" s="92"/>
      <c r="C266" s="92"/>
      <c r="D266" s="92"/>
      <c r="E266" s="92"/>
      <c r="F266" s="92"/>
      <c r="G266" s="92"/>
      <c r="H266" s="92"/>
      <c r="I266" s="92"/>
      <c r="J266" s="92"/>
      <c r="K266" s="92"/>
      <c r="L266" s="92"/>
      <c r="M266" s="92"/>
      <c r="N266" s="92"/>
      <c r="O266" s="92"/>
      <c r="P266" s="93"/>
      <c r="Q266" s="92"/>
      <c r="R266" s="92"/>
      <c r="S266" s="92"/>
      <c r="T266" s="92"/>
      <c r="U266" s="92"/>
      <c r="V266" s="92"/>
      <c r="W266" s="92"/>
      <c r="X266" s="92"/>
      <c r="Y266" s="92"/>
      <c r="Z266" s="92"/>
    </row>
    <row r="267" spans="1:26" ht="15.75" customHeight="1">
      <c r="A267" s="92"/>
      <c r="B267" s="92"/>
      <c r="C267" s="92"/>
      <c r="D267" s="92"/>
      <c r="E267" s="92"/>
      <c r="F267" s="92"/>
      <c r="G267" s="92"/>
      <c r="H267" s="92"/>
      <c r="I267" s="92"/>
      <c r="J267" s="92"/>
      <c r="K267" s="92"/>
      <c r="L267" s="92"/>
      <c r="M267" s="92"/>
      <c r="N267" s="92"/>
      <c r="O267" s="92"/>
      <c r="P267" s="93"/>
      <c r="Q267" s="92"/>
      <c r="R267" s="92"/>
      <c r="S267" s="92"/>
      <c r="T267" s="92"/>
      <c r="U267" s="92"/>
      <c r="V267" s="92"/>
      <c r="W267" s="92"/>
      <c r="X267" s="92"/>
      <c r="Y267" s="92"/>
      <c r="Z267" s="92"/>
    </row>
    <row r="268" spans="1:26" ht="15.75" customHeight="1">
      <c r="A268" s="92"/>
      <c r="B268" s="92"/>
      <c r="C268" s="92"/>
      <c r="D268" s="92"/>
      <c r="E268" s="92"/>
      <c r="F268" s="92"/>
      <c r="G268" s="92"/>
      <c r="H268" s="92"/>
      <c r="I268" s="92"/>
      <c r="J268" s="92"/>
      <c r="K268" s="92"/>
      <c r="L268" s="92"/>
      <c r="M268" s="92"/>
      <c r="N268" s="92"/>
      <c r="O268" s="92"/>
      <c r="P268" s="93"/>
      <c r="Q268" s="92"/>
      <c r="R268" s="92"/>
      <c r="S268" s="92"/>
      <c r="T268" s="92"/>
      <c r="U268" s="92"/>
      <c r="V268" s="92"/>
      <c r="W268" s="92"/>
      <c r="X268" s="92"/>
      <c r="Y268" s="92"/>
      <c r="Z268" s="92"/>
    </row>
    <row r="269" spans="1:26" ht="15.75" customHeight="1">
      <c r="A269" s="92"/>
      <c r="B269" s="92"/>
      <c r="C269" s="92"/>
      <c r="D269" s="92"/>
      <c r="E269" s="92"/>
      <c r="F269" s="92"/>
      <c r="G269" s="92"/>
      <c r="H269" s="92"/>
      <c r="I269" s="92"/>
      <c r="J269" s="92"/>
      <c r="K269" s="92"/>
      <c r="L269" s="92"/>
      <c r="M269" s="92"/>
      <c r="N269" s="92"/>
      <c r="O269" s="92"/>
      <c r="P269" s="93"/>
      <c r="Q269" s="92"/>
      <c r="R269" s="92"/>
      <c r="S269" s="92"/>
      <c r="T269" s="92"/>
      <c r="U269" s="92"/>
      <c r="V269" s="92"/>
      <c r="W269" s="92"/>
      <c r="X269" s="92"/>
      <c r="Y269" s="92"/>
      <c r="Z269" s="92"/>
    </row>
    <row r="270" spans="1:26" ht="15.75" customHeight="1">
      <c r="A270" s="92"/>
      <c r="B270" s="92"/>
      <c r="C270" s="92"/>
      <c r="D270" s="92"/>
      <c r="E270" s="92"/>
      <c r="F270" s="92"/>
      <c r="G270" s="92"/>
      <c r="H270" s="92"/>
      <c r="I270" s="92"/>
      <c r="J270" s="92"/>
      <c r="K270" s="92"/>
      <c r="L270" s="92"/>
      <c r="M270" s="92"/>
      <c r="N270" s="92"/>
      <c r="O270" s="92"/>
      <c r="P270" s="93"/>
      <c r="Q270" s="92"/>
      <c r="R270" s="92"/>
      <c r="S270" s="92"/>
      <c r="T270" s="92"/>
      <c r="U270" s="92"/>
      <c r="V270" s="92"/>
      <c r="W270" s="92"/>
      <c r="X270" s="92"/>
      <c r="Y270" s="92"/>
      <c r="Z270" s="92"/>
    </row>
    <row r="271" spans="1:26" ht="15.75" customHeight="1">
      <c r="A271" s="92"/>
      <c r="B271" s="92"/>
      <c r="C271" s="92"/>
      <c r="D271" s="92"/>
      <c r="E271" s="92"/>
      <c r="F271" s="92"/>
      <c r="G271" s="92"/>
      <c r="H271" s="92"/>
      <c r="I271" s="92"/>
      <c r="J271" s="92"/>
      <c r="K271" s="92"/>
      <c r="L271" s="92"/>
      <c r="M271" s="92"/>
      <c r="N271" s="92"/>
      <c r="O271" s="92"/>
      <c r="P271" s="93"/>
      <c r="Q271" s="92"/>
      <c r="R271" s="92"/>
      <c r="S271" s="92"/>
      <c r="T271" s="92"/>
      <c r="U271" s="92"/>
      <c r="V271" s="92"/>
      <c r="W271" s="92"/>
      <c r="X271" s="92"/>
      <c r="Y271" s="92"/>
      <c r="Z271" s="92"/>
    </row>
    <row r="272" spans="1:26" ht="15.75" customHeight="1">
      <c r="A272" s="92"/>
      <c r="B272" s="92"/>
      <c r="C272" s="92"/>
      <c r="D272" s="92"/>
      <c r="E272" s="92"/>
      <c r="F272" s="92"/>
      <c r="G272" s="92"/>
      <c r="H272" s="92"/>
      <c r="I272" s="92"/>
      <c r="J272" s="92"/>
      <c r="K272" s="92"/>
      <c r="L272" s="92"/>
      <c r="M272" s="92"/>
      <c r="N272" s="92"/>
      <c r="O272" s="92"/>
      <c r="P272" s="93"/>
      <c r="Q272" s="92"/>
      <c r="R272" s="92"/>
      <c r="S272" s="92"/>
      <c r="T272" s="92"/>
      <c r="U272" s="92"/>
      <c r="V272" s="92"/>
      <c r="W272" s="92"/>
      <c r="X272" s="92"/>
      <c r="Y272" s="92"/>
      <c r="Z272" s="92"/>
    </row>
    <row r="273" spans="1:26" ht="15.75" customHeight="1">
      <c r="A273" s="92"/>
      <c r="B273" s="92"/>
      <c r="C273" s="92"/>
      <c r="D273" s="92"/>
      <c r="E273" s="92"/>
      <c r="F273" s="92"/>
      <c r="G273" s="92"/>
      <c r="H273" s="92"/>
      <c r="I273" s="92"/>
      <c r="J273" s="92"/>
      <c r="K273" s="92"/>
      <c r="L273" s="92"/>
      <c r="M273" s="92"/>
      <c r="N273" s="92"/>
      <c r="O273" s="92"/>
      <c r="P273" s="93"/>
      <c r="Q273" s="92"/>
      <c r="R273" s="92"/>
      <c r="S273" s="92"/>
      <c r="T273" s="92"/>
      <c r="U273" s="92"/>
      <c r="V273" s="92"/>
      <c r="W273" s="92"/>
      <c r="X273" s="92"/>
      <c r="Y273" s="92"/>
      <c r="Z273" s="92"/>
    </row>
    <row r="274" spans="1:26" ht="15.75" customHeight="1">
      <c r="A274" s="92"/>
      <c r="B274" s="92"/>
      <c r="C274" s="92"/>
      <c r="D274" s="92"/>
      <c r="E274" s="92"/>
      <c r="F274" s="92"/>
      <c r="G274" s="92"/>
      <c r="H274" s="92"/>
      <c r="I274" s="92"/>
      <c r="J274" s="92"/>
      <c r="K274" s="92"/>
      <c r="L274" s="92"/>
      <c r="M274" s="92"/>
      <c r="N274" s="92"/>
      <c r="O274" s="92"/>
      <c r="P274" s="93"/>
      <c r="Q274" s="92"/>
      <c r="R274" s="92"/>
      <c r="S274" s="92"/>
      <c r="T274" s="92"/>
      <c r="U274" s="92"/>
      <c r="V274" s="92"/>
      <c r="W274" s="92"/>
      <c r="X274" s="92"/>
      <c r="Y274" s="92"/>
      <c r="Z274" s="92"/>
    </row>
    <row r="275" spans="1:26" ht="15.75" customHeight="1">
      <c r="A275" s="92"/>
      <c r="B275" s="92"/>
      <c r="C275" s="92"/>
      <c r="D275" s="92"/>
      <c r="E275" s="92"/>
      <c r="F275" s="92"/>
      <c r="G275" s="92"/>
      <c r="H275" s="92"/>
      <c r="I275" s="92"/>
      <c r="J275" s="92"/>
      <c r="K275" s="92"/>
      <c r="L275" s="92"/>
      <c r="M275" s="92"/>
      <c r="N275" s="92"/>
      <c r="O275" s="92"/>
      <c r="P275" s="93"/>
      <c r="Q275" s="92"/>
      <c r="R275" s="92"/>
      <c r="S275" s="92"/>
      <c r="T275" s="92"/>
      <c r="U275" s="92"/>
      <c r="V275" s="92"/>
      <c r="W275" s="92"/>
      <c r="X275" s="92"/>
      <c r="Y275" s="92"/>
      <c r="Z275" s="92"/>
    </row>
    <row r="276" spans="1:26" ht="15.75" customHeight="1">
      <c r="A276" s="92"/>
      <c r="B276" s="92"/>
      <c r="C276" s="92"/>
      <c r="D276" s="92"/>
      <c r="E276" s="92"/>
      <c r="F276" s="92"/>
      <c r="G276" s="92"/>
      <c r="H276" s="92"/>
      <c r="I276" s="92"/>
      <c r="J276" s="92"/>
      <c r="K276" s="92"/>
      <c r="L276" s="92"/>
      <c r="M276" s="92"/>
      <c r="N276" s="92"/>
      <c r="O276" s="92"/>
      <c r="P276" s="93"/>
      <c r="Q276" s="92"/>
      <c r="R276" s="92"/>
      <c r="S276" s="92"/>
      <c r="T276" s="92"/>
      <c r="U276" s="92"/>
      <c r="V276" s="92"/>
      <c r="W276" s="92"/>
      <c r="X276" s="92"/>
      <c r="Y276" s="92"/>
      <c r="Z276" s="92"/>
    </row>
    <row r="277" spans="1:26" ht="15.75" customHeight="1">
      <c r="A277" s="92"/>
      <c r="B277" s="92"/>
      <c r="C277" s="92"/>
      <c r="D277" s="92"/>
      <c r="E277" s="92"/>
      <c r="F277" s="92"/>
      <c r="G277" s="92"/>
      <c r="H277" s="92"/>
      <c r="I277" s="92"/>
      <c r="J277" s="92"/>
      <c r="K277" s="92"/>
      <c r="L277" s="92"/>
      <c r="M277" s="92"/>
      <c r="N277" s="92"/>
      <c r="O277" s="92"/>
      <c r="P277" s="93"/>
      <c r="Q277" s="92"/>
      <c r="R277" s="92"/>
      <c r="S277" s="92"/>
      <c r="T277" s="92"/>
      <c r="U277" s="92"/>
      <c r="V277" s="92"/>
      <c r="W277" s="92"/>
      <c r="X277" s="92"/>
      <c r="Y277" s="92"/>
      <c r="Z277" s="92"/>
    </row>
    <row r="278" spans="1:26" ht="15.75" customHeight="1">
      <c r="A278" s="92"/>
      <c r="B278" s="92"/>
      <c r="C278" s="92"/>
      <c r="D278" s="92"/>
      <c r="E278" s="92"/>
      <c r="F278" s="92"/>
      <c r="G278" s="92"/>
      <c r="H278" s="92"/>
      <c r="I278" s="92"/>
      <c r="J278" s="92"/>
      <c r="K278" s="92"/>
      <c r="L278" s="92"/>
      <c r="M278" s="92"/>
      <c r="N278" s="92"/>
      <c r="O278" s="92"/>
      <c r="P278" s="93"/>
      <c r="Q278" s="92"/>
      <c r="R278" s="92"/>
      <c r="S278" s="92"/>
      <c r="T278" s="92"/>
      <c r="U278" s="92"/>
      <c r="V278" s="92"/>
      <c r="W278" s="92"/>
      <c r="X278" s="92"/>
      <c r="Y278" s="92"/>
      <c r="Z278" s="92"/>
    </row>
    <row r="279" spans="1:26" ht="15.75" customHeight="1">
      <c r="A279" s="92"/>
      <c r="B279" s="92"/>
      <c r="C279" s="92"/>
      <c r="D279" s="92"/>
      <c r="E279" s="92"/>
      <c r="F279" s="92"/>
      <c r="G279" s="92"/>
      <c r="H279" s="92"/>
      <c r="I279" s="92"/>
      <c r="J279" s="92"/>
      <c r="K279" s="92"/>
      <c r="L279" s="92"/>
      <c r="M279" s="92"/>
      <c r="N279" s="92"/>
      <c r="O279" s="92"/>
      <c r="P279" s="93"/>
      <c r="Q279" s="92"/>
      <c r="R279" s="92"/>
      <c r="S279" s="92"/>
      <c r="T279" s="92"/>
      <c r="U279" s="92"/>
      <c r="V279" s="92"/>
      <c r="W279" s="92"/>
      <c r="X279" s="92"/>
      <c r="Y279" s="92"/>
      <c r="Z279" s="92"/>
    </row>
    <row r="280" spans="1:26" ht="15.75" customHeight="1">
      <c r="A280" s="92"/>
      <c r="B280" s="92"/>
      <c r="C280" s="92"/>
      <c r="D280" s="92"/>
      <c r="E280" s="92"/>
      <c r="F280" s="92"/>
      <c r="G280" s="92"/>
      <c r="H280" s="92"/>
      <c r="I280" s="92"/>
      <c r="J280" s="92"/>
      <c r="K280" s="92"/>
      <c r="L280" s="92"/>
      <c r="M280" s="92"/>
      <c r="N280" s="92"/>
      <c r="O280" s="92"/>
      <c r="P280" s="93"/>
      <c r="Q280" s="92"/>
      <c r="R280" s="92"/>
      <c r="S280" s="92"/>
      <c r="T280" s="92"/>
      <c r="U280" s="92"/>
      <c r="V280" s="92"/>
      <c r="W280" s="92"/>
      <c r="X280" s="92"/>
      <c r="Y280" s="92"/>
      <c r="Z280" s="92"/>
    </row>
    <row r="281" spans="1:26" ht="15.75" customHeight="1">
      <c r="A281" s="92"/>
      <c r="B281" s="92"/>
      <c r="C281" s="92"/>
      <c r="D281" s="92"/>
      <c r="E281" s="92"/>
      <c r="F281" s="92"/>
      <c r="G281" s="92"/>
      <c r="H281" s="92"/>
      <c r="I281" s="92"/>
      <c r="J281" s="92"/>
      <c r="K281" s="92"/>
      <c r="L281" s="92"/>
      <c r="M281" s="92"/>
      <c r="N281" s="92"/>
      <c r="O281" s="92"/>
      <c r="P281" s="93"/>
      <c r="Q281" s="92"/>
      <c r="R281" s="92"/>
      <c r="S281" s="92"/>
      <c r="T281" s="92"/>
      <c r="U281" s="92"/>
      <c r="V281" s="92"/>
      <c r="W281" s="92"/>
      <c r="X281" s="92"/>
      <c r="Y281" s="92"/>
      <c r="Z281" s="92"/>
    </row>
    <row r="282" spans="1:26" ht="15.75" customHeight="1">
      <c r="A282" s="92"/>
      <c r="B282" s="92"/>
      <c r="C282" s="92"/>
      <c r="D282" s="92"/>
      <c r="E282" s="92"/>
      <c r="F282" s="92"/>
      <c r="G282" s="92"/>
      <c r="H282" s="92"/>
      <c r="I282" s="92"/>
      <c r="J282" s="92"/>
      <c r="K282" s="92"/>
      <c r="L282" s="92"/>
      <c r="M282" s="92"/>
      <c r="N282" s="92"/>
      <c r="O282" s="92"/>
      <c r="P282" s="93"/>
      <c r="Q282" s="92"/>
      <c r="R282" s="92"/>
      <c r="S282" s="92"/>
      <c r="T282" s="92"/>
      <c r="U282" s="92"/>
      <c r="V282" s="92"/>
      <c r="W282" s="92"/>
      <c r="X282" s="92"/>
      <c r="Y282" s="92"/>
      <c r="Z282" s="92"/>
    </row>
    <row r="283" spans="1:26" ht="15.75" customHeight="1">
      <c r="A283" s="92"/>
      <c r="B283" s="92"/>
      <c r="C283" s="92"/>
      <c r="D283" s="92"/>
      <c r="E283" s="92"/>
      <c r="F283" s="92"/>
      <c r="G283" s="92"/>
      <c r="H283" s="92"/>
      <c r="I283" s="92"/>
      <c r="J283" s="92"/>
      <c r="K283" s="92"/>
      <c r="L283" s="92"/>
      <c r="M283" s="92"/>
      <c r="N283" s="92"/>
      <c r="O283" s="92"/>
      <c r="P283" s="93"/>
      <c r="Q283" s="92"/>
      <c r="R283" s="92"/>
      <c r="S283" s="92"/>
      <c r="T283" s="92"/>
      <c r="U283" s="92"/>
      <c r="V283" s="92"/>
      <c r="W283" s="92"/>
      <c r="X283" s="92"/>
      <c r="Y283" s="92"/>
      <c r="Z283" s="92"/>
    </row>
    <row r="284" spans="1:26" ht="15.75" customHeight="1">
      <c r="A284" s="92"/>
      <c r="B284" s="92"/>
      <c r="C284" s="92"/>
      <c r="D284" s="92"/>
      <c r="E284" s="92"/>
      <c r="F284" s="92"/>
      <c r="G284" s="92"/>
      <c r="H284" s="92"/>
      <c r="I284" s="92"/>
      <c r="J284" s="92"/>
      <c r="K284" s="92"/>
      <c r="L284" s="92"/>
      <c r="M284" s="92"/>
      <c r="N284" s="92"/>
      <c r="O284" s="92"/>
      <c r="P284" s="93"/>
      <c r="Q284" s="92"/>
      <c r="R284" s="92"/>
      <c r="S284" s="92"/>
      <c r="T284" s="92"/>
      <c r="U284" s="92"/>
      <c r="V284" s="92"/>
      <c r="W284" s="92"/>
      <c r="X284" s="92"/>
      <c r="Y284" s="92"/>
      <c r="Z284" s="92"/>
    </row>
    <row r="285" spans="1:26" ht="15.75" customHeight="1">
      <c r="A285" s="92"/>
      <c r="B285" s="92"/>
      <c r="C285" s="92"/>
      <c r="D285" s="92"/>
      <c r="E285" s="92"/>
      <c r="F285" s="92"/>
      <c r="G285" s="92"/>
      <c r="H285" s="92"/>
      <c r="I285" s="92"/>
      <c r="J285" s="92"/>
      <c r="K285" s="92"/>
      <c r="L285" s="92"/>
      <c r="M285" s="92"/>
      <c r="N285" s="92"/>
      <c r="O285" s="92"/>
      <c r="P285" s="93"/>
      <c r="Q285" s="92"/>
      <c r="R285" s="92"/>
      <c r="S285" s="92"/>
      <c r="T285" s="92"/>
      <c r="U285" s="92"/>
      <c r="V285" s="92"/>
      <c r="W285" s="92"/>
      <c r="X285" s="92"/>
      <c r="Y285" s="92"/>
      <c r="Z285" s="92"/>
    </row>
    <row r="286" spans="1:26" ht="15.75" customHeight="1">
      <c r="A286" s="92"/>
      <c r="B286" s="92"/>
      <c r="C286" s="92"/>
      <c r="D286" s="92"/>
      <c r="E286" s="92"/>
      <c r="F286" s="92"/>
      <c r="G286" s="92"/>
      <c r="H286" s="92"/>
      <c r="I286" s="92"/>
      <c r="J286" s="92"/>
      <c r="K286" s="92"/>
      <c r="L286" s="92"/>
      <c r="M286" s="92"/>
      <c r="N286" s="92"/>
      <c r="O286" s="92"/>
      <c r="P286" s="93"/>
      <c r="Q286" s="92"/>
      <c r="R286" s="92"/>
      <c r="S286" s="92"/>
      <c r="T286" s="92"/>
      <c r="U286" s="92"/>
      <c r="V286" s="92"/>
      <c r="W286" s="92"/>
      <c r="X286" s="92"/>
      <c r="Y286" s="92"/>
      <c r="Z286" s="92"/>
    </row>
    <row r="287" spans="1:26" ht="15.75" customHeight="1">
      <c r="A287" s="92"/>
      <c r="B287" s="92"/>
      <c r="C287" s="92"/>
      <c r="D287" s="92"/>
      <c r="E287" s="92"/>
      <c r="F287" s="92"/>
      <c r="G287" s="92"/>
      <c r="H287" s="92"/>
      <c r="I287" s="92"/>
      <c r="J287" s="92"/>
      <c r="K287" s="92"/>
      <c r="L287" s="92"/>
      <c r="M287" s="92"/>
      <c r="N287" s="92"/>
      <c r="O287" s="92"/>
      <c r="P287" s="93"/>
      <c r="Q287" s="92"/>
      <c r="R287" s="92"/>
      <c r="S287" s="92"/>
      <c r="T287" s="92"/>
      <c r="U287" s="92"/>
      <c r="V287" s="92"/>
      <c r="W287" s="92"/>
      <c r="X287" s="92"/>
      <c r="Y287" s="92"/>
      <c r="Z287" s="92"/>
    </row>
    <row r="288" spans="1:26" ht="15.75" customHeight="1">
      <c r="A288" s="92"/>
      <c r="B288" s="92"/>
      <c r="C288" s="92"/>
      <c r="D288" s="92"/>
      <c r="E288" s="92"/>
      <c r="F288" s="92"/>
      <c r="G288" s="92"/>
      <c r="H288" s="92"/>
      <c r="I288" s="92"/>
      <c r="J288" s="92"/>
      <c r="K288" s="92"/>
      <c r="L288" s="92"/>
      <c r="M288" s="92"/>
      <c r="N288" s="92"/>
      <c r="O288" s="92"/>
      <c r="P288" s="93"/>
      <c r="Q288" s="92"/>
      <c r="R288" s="92"/>
      <c r="S288" s="92"/>
      <c r="T288" s="92"/>
      <c r="U288" s="92"/>
      <c r="V288" s="92"/>
      <c r="W288" s="92"/>
      <c r="X288" s="92"/>
      <c r="Y288" s="92"/>
      <c r="Z288" s="92"/>
    </row>
    <row r="289" spans="1:26" ht="15.75" customHeight="1">
      <c r="A289" s="92"/>
      <c r="B289" s="92"/>
      <c r="C289" s="92"/>
      <c r="D289" s="92"/>
      <c r="E289" s="92"/>
      <c r="F289" s="92"/>
      <c r="G289" s="92"/>
      <c r="H289" s="92"/>
      <c r="I289" s="92"/>
      <c r="J289" s="92"/>
      <c r="K289" s="92"/>
      <c r="L289" s="92"/>
      <c r="M289" s="92"/>
      <c r="N289" s="92"/>
      <c r="O289" s="92"/>
      <c r="P289" s="93"/>
      <c r="Q289" s="92"/>
      <c r="R289" s="92"/>
      <c r="S289" s="92"/>
      <c r="T289" s="92"/>
      <c r="U289" s="92"/>
      <c r="V289" s="92"/>
      <c r="W289" s="92"/>
      <c r="X289" s="92"/>
      <c r="Y289" s="92"/>
      <c r="Z289" s="92"/>
    </row>
    <row r="290" spans="1:26" ht="15.75" customHeight="1">
      <c r="A290" s="92"/>
      <c r="B290" s="92"/>
      <c r="C290" s="92"/>
      <c r="D290" s="92"/>
      <c r="E290" s="92"/>
      <c r="F290" s="92"/>
      <c r="G290" s="92"/>
      <c r="H290" s="92"/>
      <c r="I290" s="92"/>
      <c r="J290" s="92"/>
      <c r="K290" s="92"/>
      <c r="L290" s="92"/>
      <c r="M290" s="92"/>
      <c r="N290" s="92"/>
      <c r="O290" s="92"/>
      <c r="P290" s="93"/>
      <c r="Q290" s="92"/>
      <c r="R290" s="92"/>
      <c r="S290" s="92"/>
      <c r="T290" s="92"/>
      <c r="U290" s="92"/>
      <c r="V290" s="92"/>
      <c r="W290" s="92"/>
      <c r="X290" s="92"/>
      <c r="Y290" s="92"/>
      <c r="Z290" s="92"/>
    </row>
    <row r="291" spans="1:26" ht="15.75" customHeight="1">
      <c r="A291" s="92"/>
      <c r="B291" s="92"/>
      <c r="C291" s="92"/>
      <c r="D291" s="92"/>
      <c r="E291" s="92"/>
      <c r="F291" s="92"/>
      <c r="G291" s="92"/>
      <c r="H291" s="92"/>
      <c r="I291" s="92"/>
      <c r="J291" s="92"/>
      <c r="K291" s="92"/>
      <c r="L291" s="92"/>
      <c r="M291" s="92"/>
      <c r="N291" s="92"/>
      <c r="O291" s="92"/>
      <c r="P291" s="93"/>
      <c r="Q291" s="92"/>
      <c r="R291" s="92"/>
      <c r="S291" s="92"/>
      <c r="T291" s="92"/>
      <c r="U291" s="92"/>
      <c r="V291" s="92"/>
      <c r="W291" s="92"/>
      <c r="X291" s="92"/>
      <c r="Y291" s="92"/>
      <c r="Z291" s="92"/>
    </row>
    <row r="292" spans="1:26" ht="15.75" customHeight="1">
      <c r="A292" s="92"/>
      <c r="B292" s="92"/>
      <c r="C292" s="92"/>
      <c r="D292" s="92"/>
      <c r="E292" s="92"/>
      <c r="F292" s="92"/>
      <c r="G292" s="92"/>
      <c r="H292" s="92"/>
      <c r="I292" s="92"/>
      <c r="J292" s="92"/>
      <c r="K292" s="92"/>
      <c r="L292" s="92"/>
      <c r="M292" s="92"/>
      <c r="N292" s="92"/>
      <c r="O292" s="92"/>
      <c r="P292" s="93"/>
      <c r="Q292" s="92"/>
      <c r="R292" s="92"/>
      <c r="S292" s="92"/>
      <c r="T292" s="92"/>
      <c r="U292" s="92"/>
      <c r="V292" s="92"/>
      <c r="W292" s="92"/>
      <c r="X292" s="92"/>
      <c r="Y292" s="92"/>
      <c r="Z292" s="92"/>
    </row>
    <row r="293" spans="1:26" ht="15.75" customHeight="1">
      <c r="A293" s="92"/>
      <c r="B293" s="92"/>
      <c r="C293" s="92"/>
      <c r="D293" s="92"/>
      <c r="E293" s="92"/>
      <c r="F293" s="92"/>
      <c r="G293" s="92"/>
      <c r="H293" s="92"/>
      <c r="I293" s="92"/>
      <c r="J293" s="92"/>
      <c r="K293" s="92"/>
      <c r="L293" s="92"/>
      <c r="M293" s="92"/>
      <c r="N293" s="92"/>
      <c r="O293" s="92"/>
      <c r="P293" s="93"/>
      <c r="Q293" s="92"/>
      <c r="R293" s="92"/>
      <c r="S293" s="92"/>
      <c r="T293" s="92"/>
      <c r="U293" s="92"/>
      <c r="V293" s="92"/>
      <c r="W293" s="92"/>
      <c r="X293" s="92"/>
      <c r="Y293" s="92"/>
      <c r="Z293" s="92"/>
    </row>
    <row r="294" spans="1:26" ht="15.75" customHeight="1">
      <c r="A294" s="92"/>
      <c r="B294" s="92"/>
      <c r="C294" s="92"/>
      <c r="D294" s="92"/>
      <c r="E294" s="92"/>
      <c r="F294" s="92"/>
      <c r="G294" s="92"/>
      <c r="H294" s="92"/>
      <c r="I294" s="92"/>
      <c r="J294" s="92"/>
      <c r="K294" s="92"/>
      <c r="L294" s="92"/>
      <c r="M294" s="92"/>
      <c r="N294" s="92"/>
      <c r="O294" s="92"/>
      <c r="P294" s="93"/>
      <c r="Q294" s="92"/>
      <c r="R294" s="92"/>
      <c r="S294" s="92"/>
      <c r="T294" s="92"/>
      <c r="U294" s="92"/>
      <c r="V294" s="92"/>
      <c r="W294" s="92"/>
      <c r="X294" s="92"/>
      <c r="Y294" s="92"/>
      <c r="Z294" s="92"/>
    </row>
    <row r="295" spans="1:26" ht="15.75" customHeight="1">
      <c r="A295" s="92"/>
      <c r="B295" s="92"/>
      <c r="C295" s="92"/>
      <c r="D295" s="92"/>
      <c r="E295" s="92"/>
      <c r="F295" s="92"/>
      <c r="G295" s="92"/>
      <c r="H295" s="92"/>
      <c r="I295" s="92"/>
      <c r="J295" s="92"/>
      <c r="K295" s="92"/>
      <c r="L295" s="92"/>
      <c r="M295" s="92"/>
      <c r="N295" s="92"/>
      <c r="O295" s="92"/>
      <c r="P295" s="93"/>
      <c r="Q295" s="92"/>
      <c r="R295" s="92"/>
      <c r="S295" s="92"/>
      <c r="T295" s="92"/>
      <c r="U295" s="92"/>
      <c r="V295" s="92"/>
      <c r="W295" s="92"/>
      <c r="X295" s="92"/>
      <c r="Y295" s="92"/>
      <c r="Z295" s="92"/>
    </row>
    <row r="296" spans="1:26" ht="15.75" customHeight="1">
      <c r="A296" s="92"/>
      <c r="B296" s="92"/>
      <c r="C296" s="92"/>
      <c r="D296" s="92"/>
      <c r="E296" s="92"/>
      <c r="F296" s="92"/>
      <c r="G296" s="92"/>
      <c r="H296" s="92"/>
      <c r="I296" s="92"/>
      <c r="J296" s="92"/>
      <c r="K296" s="92"/>
      <c r="L296" s="92"/>
      <c r="M296" s="92"/>
      <c r="N296" s="92"/>
      <c r="O296" s="92"/>
      <c r="P296" s="93"/>
      <c r="Q296" s="92"/>
      <c r="R296" s="92"/>
      <c r="S296" s="92"/>
      <c r="T296" s="92"/>
      <c r="U296" s="92"/>
      <c r="V296" s="92"/>
      <c r="W296" s="92"/>
      <c r="X296" s="92"/>
      <c r="Y296" s="92"/>
      <c r="Z296" s="92"/>
    </row>
    <row r="297" spans="1:26" ht="15.75" customHeight="1">
      <c r="A297" s="92"/>
      <c r="B297" s="92"/>
      <c r="C297" s="92"/>
      <c r="D297" s="92"/>
      <c r="E297" s="92"/>
      <c r="F297" s="92"/>
      <c r="G297" s="92"/>
      <c r="H297" s="92"/>
      <c r="I297" s="92"/>
      <c r="J297" s="92"/>
      <c r="K297" s="92"/>
      <c r="L297" s="92"/>
      <c r="M297" s="92"/>
      <c r="N297" s="92"/>
      <c r="O297" s="92"/>
      <c r="P297" s="93"/>
      <c r="Q297" s="92"/>
      <c r="R297" s="92"/>
      <c r="S297" s="92"/>
      <c r="T297" s="92"/>
      <c r="U297" s="92"/>
      <c r="V297" s="92"/>
      <c r="W297" s="92"/>
      <c r="X297" s="92"/>
      <c r="Y297" s="92"/>
      <c r="Z297" s="92"/>
    </row>
    <row r="298" spans="1:26" ht="15.75" customHeight="1">
      <c r="A298" s="92"/>
      <c r="B298" s="92"/>
      <c r="C298" s="92"/>
      <c r="D298" s="92"/>
      <c r="E298" s="92"/>
      <c r="F298" s="92"/>
      <c r="G298" s="92"/>
      <c r="H298" s="92"/>
      <c r="I298" s="92"/>
      <c r="J298" s="92"/>
      <c r="K298" s="92"/>
      <c r="L298" s="92"/>
      <c r="M298" s="92"/>
      <c r="N298" s="92"/>
      <c r="O298" s="92"/>
      <c r="P298" s="93"/>
      <c r="Q298" s="92"/>
      <c r="R298" s="92"/>
      <c r="S298" s="92"/>
      <c r="T298" s="92"/>
      <c r="U298" s="92"/>
      <c r="V298" s="92"/>
      <c r="W298" s="92"/>
      <c r="X298" s="92"/>
      <c r="Y298" s="92"/>
      <c r="Z298" s="92"/>
    </row>
    <row r="299" spans="1:26" ht="15.75" customHeight="1">
      <c r="A299" s="92"/>
      <c r="B299" s="92"/>
      <c r="C299" s="92"/>
      <c r="D299" s="92"/>
      <c r="E299" s="92"/>
      <c r="F299" s="92"/>
      <c r="G299" s="92"/>
      <c r="H299" s="92"/>
      <c r="I299" s="92"/>
      <c r="J299" s="92"/>
      <c r="K299" s="92"/>
      <c r="L299" s="92"/>
      <c r="M299" s="92"/>
      <c r="N299" s="92"/>
      <c r="O299" s="92"/>
      <c r="P299" s="93"/>
      <c r="Q299" s="92"/>
      <c r="R299" s="92"/>
      <c r="S299" s="92"/>
      <c r="T299" s="92"/>
      <c r="U299" s="92"/>
      <c r="V299" s="92"/>
      <c r="W299" s="92"/>
      <c r="X299" s="92"/>
      <c r="Y299" s="92"/>
      <c r="Z299" s="92"/>
    </row>
    <row r="300" spans="1:26" ht="15.75" customHeight="1">
      <c r="A300" s="92"/>
      <c r="B300" s="92"/>
      <c r="C300" s="92"/>
      <c r="D300" s="92"/>
      <c r="E300" s="92"/>
      <c r="F300" s="92"/>
      <c r="G300" s="92"/>
      <c r="H300" s="92"/>
      <c r="I300" s="92"/>
      <c r="J300" s="92"/>
      <c r="K300" s="92"/>
      <c r="L300" s="92"/>
      <c r="M300" s="92"/>
      <c r="N300" s="92"/>
      <c r="O300" s="92"/>
      <c r="P300" s="93"/>
      <c r="Q300" s="92"/>
      <c r="R300" s="92"/>
      <c r="S300" s="92"/>
      <c r="T300" s="92"/>
      <c r="U300" s="92"/>
      <c r="V300" s="92"/>
      <c r="W300" s="92"/>
      <c r="X300" s="92"/>
      <c r="Y300" s="92"/>
      <c r="Z300" s="92"/>
    </row>
    <row r="301" spans="1:26" ht="15.75" customHeight="1">
      <c r="A301" s="92"/>
      <c r="B301" s="92"/>
      <c r="C301" s="92"/>
      <c r="D301" s="92"/>
      <c r="E301" s="92"/>
      <c r="F301" s="92"/>
      <c r="G301" s="92"/>
      <c r="H301" s="92"/>
      <c r="I301" s="92"/>
      <c r="J301" s="92"/>
      <c r="K301" s="92"/>
      <c r="L301" s="92"/>
      <c r="M301" s="92"/>
      <c r="N301" s="92"/>
      <c r="O301" s="92"/>
      <c r="P301" s="93"/>
      <c r="Q301" s="92"/>
      <c r="R301" s="92"/>
      <c r="S301" s="92"/>
      <c r="T301" s="92"/>
      <c r="U301" s="92"/>
      <c r="V301" s="92"/>
      <c r="W301" s="92"/>
      <c r="X301" s="92"/>
      <c r="Y301" s="92"/>
      <c r="Z301" s="92"/>
    </row>
    <row r="302" spans="1:26" ht="15.75" customHeight="1">
      <c r="A302" s="92"/>
      <c r="B302" s="92"/>
      <c r="C302" s="92"/>
      <c r="D302" s="92"/>
      <c r="E302" s="92"/>
      <c r="F302" s="92"/>
      <c r="G302" s="92"/>
      <c r="H302" s="92"/>
      <c r="I302" s="92"/>
      <c r="J302" s="92"/>
      <c r="K302" s="92"/>
      <c r="L302" s="92"/>
      <c r="M302" s="92"/>
      <c r="N302" s="92"/>
      <c r="O302" s="92"/>
      <c r="P302" s="93"/>
      <c r="Q302" s="92"/>
      <c r="R302" s="92"/>
      <c r="S302" s="92"/>
      <c r="T302" s="92"/>
      <c r="U302" s="92"/>
      <c r="V302" s="92"/>
      <c r="W302" s="92"/>
      <c r="X302" s="92"/>
      <c r="Y302" s="92"/>
      <c r="Z302" s="92"/>
    </row>
    <row r="303" spans="1:26" ht="15.75" customHeight="1">
      <c r="A303" s="92"/>
      <c r="B303" s="92"/>
      <c r="C303" s="92"/>
      <c r="D303" s="92"/>
      <c r="E303" s="92"/>
      <c r="F303" s="92"/>
      <c r="G303" s="92"/>
      <c r="H303" s="92"/>
      <c r="I303" s="92"/>
      <c r="J303" s="92"/>
      <c r="K303" s="92"/>
      <c r="L303" s="92"/>
      <c r="M303" s="92"/>
      <c r="N303" s="92"/>
      <c r="O303" s="92"/>
      <c r="P303" s="93"/>
      <c r="Q303" s="92"/>
      <c r="R303" s="92"/>
      <c r="S303" s="92"/>
      <c r="T303" s="92"/>
      <c r="U303" s="92"/>
      <c r="V303" s="92"/>
      <c r="W303" s="92"/>
      <c r="X303" s="92"/>
      <c r="Y303" s="92"/>
      <c r="Z303" s="92"/>
    </row>
    <row r="304" spans="1:26" ht="15.75" customHeight="1">
      <c r="A304" s="92"/>
      <c r="B304" s="92"/>
      <c r="C304" s="92"/>
      <c r="D304" s="92"/>
      <c r="E304" s="92"/>
      <c r="F304" s="92"/>
      <c r="G304" s="92"/>
      <c r="H304" s="92"/>
      <c r="I304" s="92"/>
      <c r="J304" s="92"/>
      <c r="K304" s="92"/>
      <c r="L304" s="92"/>
      <c r="M304" s="92"/>
      <c r="N304" s="92"/>
      <c r="O304" s="92"/>
      <c r="P304" s="93"/>
      <c r="Q304" s="92"/>
      <c r="R304" s="92"/>
      <c r="S304" s="92"/>
      <c r="T304" s="92"/>
      <c r="U304" s="92"/>
      <c r="V304" s="92"/>
      <c r="W304" s="92"/>
      <c r="X304" s="92"/>
      <c r="Y304" s="92"/>
      <c r="Z304" s="92"/>
    </row>
    <row r="305" spans="1:26" ht="15.75" customHeight="1">
      <c r="A305" s="92"/>
      <c r="B305" s="92"/>
      <c r="C305" s="92"/>
      <c r="D305" s="92"/>
      <c r="E305" s="92"/>
      <c r="F305" s="92"/>
      <c r="G305" s="92"/>
      <c r="H305" s="92"/>
      <c r="I305" s="92"/>
      <c r="J305" s="92"/>
      <c r="K305" s="92"/>
      <c r="L305" s="92"/>
      <c r="M305" s="92"/>
      <c r="N305" s="92"/>
      <c r="O305" s="92"/>
      <c r="P305" s="93"/>
      <c r="Q305" s="92"/>
      <c r="R305" s="92"/>
      <c r="S305" s="92"/>
      <c r="T305" s="92"/>
      <c r="U305" s="92"/>
      <c r="V305" s="92"/>
      <c r="W305" s="92"/>
      <c r="X305" s="92"/>
      <c r="Y305" s="92"/>
      <c r="Z305" s="92"/>
    </row>
    <row r="306" spans="1:26" ht="15.75" customHeight="1">
      <c r="A306" s="92"/>
      <c r="B306" s="92"/>
      <c r="C306" s="92"/>
      <c r="D306" s="92"/>
      <c r="E306" s="92"/>
      <c r="F306" s="92"/>
      <c r="G306" s="92"/>
      <c r="H306" s="92"/>
      <c r="I306" s="92"/>
      <c r="J306" s="92"/>
      <c r="K306" s="92"/>
      <c r="L306" s="92"/>
      <c r="M306" s="92"/>
      <c r="N306" s="92"/>
      <c r="O306" s="92"/>
      <c r="P306" s="93"/>
      <c r="Q306" s="92"/>
      <c r="R306" s="92"/>
      <c r="S306" s="92"/>
      <c r="T306" s="92"/>
      <c r="U306" s="92"/>
      <c r="V306" s="92"/>
      <c r="W306" s="92"/>
      <c r="X306" s="92"/>
      <c r="Y306" s="92"/>
      <c r="Z306" s="92"/>
    </row>
    <row r="307" spans="1:26" ht="15.75" customHeight="1">
      <c r="A307" s="92"/>
      <c r="B307" s="92"/>
      <c r="C307" s="92"/>
      <c r="D307" s="92"/>
      <c r="E307" s="92"/>
      <c r="F307" s="92"/>
      <c r="G307" s="92"/>
      <c r="H307" s="92"/>
      <c r="I307" s="92"/>
      <c r="J307" s="92"/>
      <c r="K307" s="92"/>
      <c r="L307" s="92"/>
      <c r="M307" s="92"/>
      <c r="N307" s="92"/>
      <c r="O307" s="92"/>
      <c r="P307" s="93"/>
      <c r="Q307" s="92"/>
      <c r="R307" s="92"/>
      <c r="S307" s="92"/>
      <c r="T307" s="92"/>
      <c r="U307" s="92"/>
      <c r="V307" s="92"/>
      <c r="W307" s="92"/>
      <c r="X307" s="92"/>
      <c r="Y307" s="92"/>
      <c r="Z307" s="92"/>
    </row>
    <row r="308" spans="1:26" ht="15.75" customHeight="1">
      <c r="A308" s="92"/>
      <c r="B308" s="92"/>
      <c r="C308" s="92"/>
      <c r="D308" s="92"/>
      <c r="E308" s="92"/>
      <c r="F308" s="92"/>
      <c r="G308" s="92"/>
      <c r="H308" s="92"/>
      <c r="I308" s="92"/>
      <c r="J308" s="92"/>
      <c r="K308" s="92"/>
      <c r="L308" s="92"/>
      <c r="M308" s="92"/>
      <c r="N308" s="92"/>
      <c r="O308" s="92"/>
      <c r="P308" s="93"/>
      <c r="Q308" s="92"/>
      <c r="R308" s="92"/>
      <c r="S308" s="92"/>
      <c r="T308" s="92"/>
      <c r="U308" s="92"/>
      <c r="V308" s="92"/>
      <c r="W308" s="92"/>
      <c r="X308" s="92"/>
      <c r="Y308" s="92"/>
      <c r="Z308" s="92"/>
    </row>
    <row r="309" spans="1:26" ht="15.75" customHeight="1">
      <c r="A309" s="92"/>
      <c r="B309" s="92"/>
      <c r="C309" s="92"/>
      <c r="D309" s="92"/>
      <c r="E309" s="92"/>
      <c r="F309" s="92"/>
      <c r="G309" s="92"/>
      <c r="H309" s="92"/>
      <c r="I309" s="92"/>
      <c r="J309" s="92"/>
      <c r="K309" s="92"/>
      <c r="L309" s="92"/>
      <c r="M309" s="92"/>
      <c r="N309" s="92"/>
      <c r="O309" s="92"/>
      <c r="P309" s="93"/>
      <c r="Q309" s="92"/>
      <c r="R309" s="92"/>
      <c r="S309" s="92"/>
      <c r="T309" s="92"/>
      <c r="U309" s="92"/>
      <c r="V309" s="92"/>
      <c r="W309" s="92"/>
      <c r="X309" s="92"/>
      <c r="Y309" s="92"/>
      <c r="Z309" s="92"/>
    </row>
    <row r="310" spans="1:26" ht="15.75" customHeight="1">
      <c r="A310" s="92"/>
      <c r="B310" s="92"/>
      <c r="C310" s="92"/>
      <c r="D310" s="92"/>
      <c r="E310" s="92"/>
      <c r="F310" s="92"/>
      <c r="G310" s="92"/>
      <c r="H310" s="92"/>
      <c r="I310" s="92"/>
      <c r="J310" s="92"/>
      <c r="K310" s="92"/>
      <c r="L310" s="92"/>
      <c r="M310" s="92"/>
      <c r="N310" s="92"/>
      <c r="O310" s="92"/>
      <c r="P310" s="93"/>
      <c r="Q310" s="92"/>
      <c r="R310" s="92"/>
      <c r="S310" s="92"/>
      <c r="T310" s="92"/>
      <c r="U310" s="92"/>
      <c r="V310" s="92"/>
      <c r="W310" s="92"/>
      <c r="X310" s="92"/>
      <c r="Y310" s="92"/>
      <c r="Z310" s="92"/>
    </row>
    <row r="311" spans="1:26" ht="15.75" customHeight="1">
      <c r="A311" s="92"/>
      <c r="B311" s="92"/>
      <c r="C311" s="92"/>
      <c r="D311" s="92"/>
      <c r="E311" s="92"/>
      <c r="F311" s="92"/>
      <c r="G311" s="92"/>
      <c r="H311" s="92"/>
      <c r="I311" s="92"/>
      <c r="J311" s="92"/>
      <c r="K311" s="92"/>
      <c r="L311" s="92"/>
      <c r="M311" s="92"/>
      <c r="N311" s="92"/>
      <c r="O311" s="92"/>
      <c r="P311" s="93"/>
      <c r="Q311" s="92"/>
      <c r="R311" s="92"/>
      <c r="S311" s="92"/>
      <c r="T311" s="92"/>
      <c r="U311" s="92"/>
      <c r="V311" s="92"/>
      <c r="W311" s="92"/>
      <c r="X311" s="92"/>
      <c r="Y311" s="92"/>
      <c r="Z311" s="92"/>
    </row>
    <row r="312" spans="1:26" ht="15.75" customHeight="1">
      <c r="A312" s="92"/>
      <c r="B312" s="92"/>
      <c r="C312" s="92"/>
      <c r="D312" s="92"/>
      <c r="E312" s="92"/>
      <c r="F312" s="92"/>
      <c r="G312" s="92"/>
      <c r="H312" s="92"/>
      <c r="I312" s="92"/>
      <c r="J312" s="92"/>
      <c r="K312" s="92"/>
      <c r="L312" s="92"/>
      <c r="M312" s="92"/>
      <c r="N312" s="92"/>
      <c r="O312" s="92"/>
      <c r="P312" s="93"/>
      <c r="Q312" s="92"/>
      <c r="R312" s="92"/>
      <c r="S312" s="92"/>
      <c r="T312" s="92"/>
      <c r="U312" s="92"/>
      <c r="V312" s="92"/>
      <c r="W312" s="92"/>
      <c r="X312" s="92"/>
      <c r="Y312" s="92"/>
      <c r="Z312" s="92"/>
    </row>
    <row r="313" spans="1:26" ht="15.75" customHeight="1">
      <c r="A313" s="92"/>
      <c r="B313" s="92"/>
      <c r="C313" s="92"/>
      <c r="D313" s="92"/>
      <c r="E313" s="92"/>
      <c r="F313" s="92"/>
      <c r="G313" s="92"/>
      <c r="H313" s="92"/>
      <c r="I313" s="92"/>
      <c r="J313" s="92"/>
      <c r="K313" s="92"/>
      <c r="L313" s="92"/>
      <c r="M313" s="92"/>
      <c r="N313" s="92"/>
      <c r="O313" s="92"/>
      <c r="P313" s="93"/>
      <c r="Q313" s="92"/>
      <c r="R313" s="92"/>
      <c r="S313" s="92"/>
      <c r="T313" s="92"/>
      <c r="U313" s="92"/>
      <c r="V313" s="92"/>
      <c r="W313" s="92"/>
      <c r="X313" s="92"/>
      <c r="Y313" s="92"/>
      <c r="Z313" s="92"/>
    </row>
    <row r="314" spans="1:26" ht="15.75" customHeight="1">
      <c r="A314" s="92"/>
      <c r="B314" s="92"/>
      <c r="C314" s="92"/>
      <c r="D314" s="92"/>
      <c r="E314" s="92"/>
      <c r="F314" s="92"/>
      <c r="G314" s="92"/>
      <c r="H314" s="92"/>
      <c r="I314" s="92"/>
      <c r="J314" s="92"/>
      <c r="K314" s="92"/>
      <c r="L314" s="92"/>
      <c r="M314" s="92"/>
      <c r="N314" s="92"/>
      <c r="O314" s="92"/>
      <c r="P314" s="93"/>
      <c r="Q314" s="92"/>
      <c r="R314" s="92"/>
      <c r="S314" s="92"/>
      <c r="T314" s="92"/>
      <c r="U314" s="92"/>
      <c r="V314" s="92"/>
      <c r="W314" s="92"/>
      <c r="X314" s="92"/>
      <c r="Y314" s="92"/>
      <c r="Z314" s="92"/>
    </row>
    <row r="315" spans="1:26" ht="15.75" customHeight="1">
      <c r="A315" s="92"/>
      <c r="B315" s="92"/>
      <c r="C315" s="92"/>
      <c r="D315" s="92"/>
      <c r="E315" s="92"/>
      <c r="F315" s="92"/>
      <c r="G315" s="92"/>
      <c r="H315" s="92"/>
      <c r="I315" s="92"/>
      <c r="J315" s="92"/>
      <c r="K315" s="92"/>
      <c r="L315" s="92"/>
      <c r="M315" s="92"/>
      <c r="N315" s="92"/>
      <c r="O315" s="92"/>
      <c r="P315" s="93"/>
      <c r="Q315" s="92"/>
      <c r="R315" s="92"/>
      <c r="S315" s="92"/>
      <c r="T315" s="92"/>
      <c r="U315" s="92"/>
      <c r="V315" s="92"/>
      <c r="W315" s="92"/>
      <c r="X315" s="92"/>
      <c r="Y315" s="92"/>
      <c r="Z315" s="92"/>
    </row>
    <row r="316" spans="1:26" ht="15.75" customHeight="1">
      <c r="A316" s="92"/>
      <c r="B316" s="92"/>
      <c r="C316" s="92"/>
      <c r="D316" s="92"/>
      <c r="E316" s="92"/>
      <c r="F316" s="92"/>
      <c r="G316" s="92"/>
      <c r="H316" s="92"/>
      <c r="I316" s="92"/>
      <c r="J316" s="92"/>
      <c r="K316" s="92"/>
      <c r="L316" s="92"/>
      <c r="M316" s="92"/>
      <c r="N316" s="92"/>
      <c r="O316" s="92"/>
      <c r="P316" s="93"/>
      <c r="Q316" s="92"/>
      <c r="R316" s="92"/>
      <c r="S316" s="92"/>
      <c r="T316" s="92"/>
      <c r="U316" s="92"/>
      <c r="V316" s="92"/>
      <c r="W316" s="92"/>
      <c r="X316" s="92"/>
      <c r="Y316" s="92"/>
      <c r="Z316" s="92"/>
    </row>
    <row r="317" spans="1:26" ht="15.75" customHeight="1">
      <c r="A317" s="92"/>
      <c r="B317" s="92"/>
      <c r="C317" s="92"/>
      <c r="D317" s="92"/>
      <c r="E317" s="92"/>
      <c r="F317" s="92"/>
      <c r="G317" s="92"/>
      <c r="H317" s="92"/>
      <c r="I317" s="92"/>
      <c r="J317" s="92"/>
      <c r="K317" s="92"/>
      <c r="L317" s="92"/>
      <c r="M317" s="92"/>
      <c r="N317" s="92"/>
      <c r="O317" s="92"/>
      <c r="P317" s="93"/>
      <c r="Q317" s="92"/>
      <c r="R317" s="92"/>
      <c r="S317" s="92"/>
      <c r="T317" s="92"/>
      <c r="U317" s="92"/>
      <c r="V317" s="92"/>
      <c r="W317" s="92"/>
      <c r="X317" s="92"/>
      <c r="Y317" s="92"/>
      <c r="Z317" s="92"/>
    </row>
    <row r="318" spans="1:26" ht="15.75" customHeight="1"/>
    <row r="319" spans="1:26" ht="15.75" customHeight="1"/>
    <row r="320" spans="1:26"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0:P108" xr:uid="{00000000-0009-0000-0000-000003000000}">
    <filterColumn colId="0">
      <filters>
        <filter val="Engineering/Construction"/>
      </filters>
    </filterColumn>
  </autoFilter>
  <mergeCells count="13">
    <mergeCell ref="A115:G115"/>
    <mergeCell ref="B6:G6"/>
    <mergeCell ref="B7:G7"/>
    <mergeCell ref="L9:P9"/>
    <mergeCell ref="B1:G1"/>
    <mergeCell ref="H1:H7"/>
    <mergeCell ref="I1:K1"/>
    <mergeCell ref="B2:G2"/>
    <mergeCell ref="I2:K7"/>
    <mergeCell ref="B3:E3"/>
    <mergeCell ref="F3:G3"/>
    <mergeCell ref="B4:G4"/>
    <mergeCell ref="B5:G5"/>
  </mergeCells>
  <hyperlinks>
    <hyperlink ref="B2" r:id="rId1" xr:uid="{00000000-0004-0000-0300-000000000000}"/>
    <hyperlink ref="B4" r:id="rId2" xr:uid="{00000000-0004-0000-0300-000001000000}"/>
    <hyperlink ref="B5" r:id="rId3" xr:uid="{00000000-0004-0000-0300-000002000000}"/>
    <hyperlink ref="B6" r:id="rId4" xr:uid="{00000000-0004-0000-0300-000003000000}"/>
    <hyperlink ref="B7" r:id="rId5" xr:uid="{00000000-0004-0000-0300-000004000000}"/>
  </hyperlinks>
  <pageMargins left="0.75" right="0.75" top="1" bottom="1" header="0" footer="0"/>
  <pageSetup scale="60" orientation="landscape"/>
  <headerFooter>
    <oddHeader>&amp;L000000Global Companies&amp;C000000Betas by Sector&amp;R000000January 2016</oddHead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Z1000"/>
  <sheetViews>
    <sheetView workbookViewId="0"/>
  </sheetViews>
  <sheetFormatPr baseColWidth="10" defaultColWidth="14.44140625" defaultRowHeight="15" customHeight="1"/>
  <cols>
    <col min="1" max="1" width="3.44140625" customWidth="1"/>
    <col min="2" max="2" width="39.44140625" customWidth="1"/>
    <col min="3" max="3" width="13.33203125" customWidth="1"/>
    <col min="4" max="4" width="18.44140625" customWidth="1"/>
    <col min="5" max="5" width="17.44140625" customWidth="1"/>
    <col min="6" max="6" width="18.88671875" customWidth="1"/>
    <col min="7" max="7" width="15.33203125" customWidth="1"/>
    <col min="8" max="8" width="21.44140625" customWidth="1"/>
    <col min="9" max="9" width="15.33203125" customWidth="1"/>
    <col min="10" max="10" width="12.88671875" customWidth="1"/>
    <col min="11" max="11" width="13.33203125" customWidth="1"/>
    <col min="12" max="12" width="19.33203125" customWidth="1"/>
    <col min="13" max="13" width="13" customWidth="1"/>
    <col min="14" max="14" width="11.44140625" customWidth="1"/>
    <col min="15" max="15" width="14.109375" customWidth="1"/>
    <col min="16" max="16" width="13.109375" customWidth="1"/>
    <col min="17" max="26" width="11.44140625" customWidth="1"/>
  </cols>
  <sheetData>
    <row r="1" spans="1:26" ht="23.4">
      <c r="A1" s="73"/>
      <c r="B1" s="1386" t="s">
        <v>209</v>
      </c>
      <c r="C1" s="1345"/>
      <c r="D1" s="1345"/>
      <c r="E1" s="1345"/>
      <c r="F1" s="1345"/>
      <c r="G1" s="1345"/>
      <c r="H1" s="1345"/>
      <c r="I1" s="1345"/>
      <c r="J1" s="51"/>
      <c r="K1" s="73"/>
      <c r="L1" s="1379" t="s">
        <v>210</v>
      </c>
      <c r="M1" s="1334"/>
      <c r="N1" s="73"/>
      <c r="O1" s="128"/>
      <c r="P1" s="128"/>
      <c r="Q1" s="73"/>
      <c r="R1" s="73"/>
      <c r="S1" s="128"/>
      <c r="T1" s="128"/>
      <c r="U1" s="73"/>
      <c r="V1" s="73"/>
      <c r="W1" s="73"/>
      <c r="X1" s="73"/>
      <c r="Y1" s="73"/>
      <c r="Z1" s="73"/>
    </row>
    <row r="2" spans="1:26" ht="10.5" customHeight="1">
      <c r="A2" s="73"/>
      <c r="B2" s="129" t="s">
        <v>211</v>
      </c>
      <c r="C2" s="127"/>
      <c r="D2" s="73"/>
      <c r="E2" s="73"/>
      <c r="F2" s="73"/>
      <c r="G2" s="73"/>
      <c r="H2" s="73"/>
      <c r="I2" s="73"/>
      <c r="J2" s="73"/>
      <c r="K2" s="73"/>
      <c r="L2" s="130" t="s">
        <v>212</v>
      </c>
      <c r="M2" s="130" t="s">
        <v>213</v>
      </c>
      <c r="N2" s="73"/>
      <c r="O2" s="128"/>
      <c r="P2" s="128"/>
      <c r="Q2" s="73"/>
      <c r="R2" s="73"/>
      <c r="S2" s="128"/>
      <c r="T2" s="128"/>
      <c r="U2" s="73"/>
      <c r="V2" s="73"/>
      <c r="W2" s="73"/>
      <c r="X2" s="73"/>
      <c r="Y2" s="73"/>
      <c r="Z2" s="73"/>
    </row>
    <row r="3" spans="1:26" ht="15" customHeight="1">
      <c r="A3" s="73"/>
      <c r="B3" s="73"/>
      <c r="C3" s="73"/>
      <c r="D3" s="73"/>
      <c r="E3" s="73"/>
      <c r="F3" s="73"/>
      <c r="G3" s="73"/>
      <c r="H3" s="73"/>
      <c r="I3" s="131"/>
      <c r="J3" s="73"/>
      <c r="K3" s="73"/>
      <c r="L3" s="132">
        <v>2.5000000000000001E-2</v>
      </c>
      <c r="M3" s="133">
        <v>0.05</v>
      </c>
      <c r="N3" s="73" t="s">
        <v>214</v>
      </c>
      <c r="O3" s="128"/>
      <c r="P3" s="128"/>
      <c r="Q3" s="128"/>
      <c r="R3" s="73"/>
      <c r="S3" s="128"/>
      <c r="T3" s="128"/>
      <c r="U3" s="73"/>
      <c r="V3" s="73"/>
      <c r="W3" s="73"/>
      <c r="X3" s="73"/>
      <c r="Y3" s="73"/>
      <c r="Z3" s="73"/>
    </row>
    <row r="4" spans="1:26" ht="14.4">
      <c r="A4" s="73"/>
      <c r="B4" s="134"/>
      <c r="C4" s="135"/>
      <c r="D4" s="136">
        <v>2018</v>
      </c>
      <c r="E4" s="136">
        <v>2019</v>
      </c>
      <c r="F4" s="136">
        <v>2020</v>
      </c>
      <c r="G4" s="136">
        <v>2021</v>
      </c>
      <c r="H4" s="137" t="s">
        <v>215</v>
      </c>
      <c r="I4" s="138" t="s">
        <v>216</v>
      </c>
      <c r="J4" s="127" t="s">
        <v>217</v>
      </c>
      <c r="K4" s="73"/>
      <c r="L4" s="1380" t="s">
        <v>218</v>
      </c>
      <c r="M4" s="1334"/>
      <c r="N4" s="73"/>
      <c r="O4" s="128"/>
      <c r="P4" s="128"/>
      <c r="Q4" s="73"/>
      <c r="R4" s="73"/>
      <c r="S4" s="128"/>
      <c r="T4" s="128"/>
      <c r="U4" s="73"/>
      <c r="V4" s="73"/>
      <c r="W4" s="73"/>
      <c r="X4" s="73"/>
      <c r="Y4" s="73"/>
      <c r="Z4" s="73"/>
    </row>
    <row r="5" spans="1:26" ht="14.4">
      <c r="A5" s="73"/>
      <c r="B5" s="139" t="s">
        <v>219</v>
      </c>
      <c r="C5" s="140"/>
      <c r="D5" s="140" t="e">
        <f>+'1. Datos'!#REF!</f>
        <v>#REF!</v>
      </c>
      <c r="E5" s="140">
        <f>+'1. Datos'!E8</f>
        <v>0</v>
      </c>
      <c r="F5" s="140">
        <f>+'1. Datos'!F8</f>
        <v>0</v>
      </c>
      <c r="G5" s="140">
        <f>+'1. Datos'!G8</f>
        <v>0</v>
      </c>
      <c r="H5" s="140">
        <f>+'1. Datos'!H8</f>
        <v>0</v>
      </c>
      <c r="I5" s="138" t="e">
        <f>+(H5/F5)^(1/2)-1</f>
        <v>#DIV/0!</v>
      </c>
      <c r="J5" s="133">
        <f>+'Expected Growth25'!E67</f>
        <v>3.1199999999999999E-2</v>
      </c>
      <c r="K5" s="141" t="e">
        <f>+(H5/D5)^(0.25)-1</f>
        <v>#REF!</v>
      </c>
      <c r="L5" s="1381">
        <f>+M3/2</f>
        <v>2.5000000000000001E-2</v>
      </c>
      <c r="M5" s="1334"/>
      <c r="N5" s="73"/>
      <c r="O5" s="128"/>
      <c r="P5" s="128"/>
      <c r="Q5" s="73"/>
      <c r="R5" s="73"/>
      <c r="S5" s="128"/>
      <c r="T5" s="128"/>
      <c r="U5" s="73"/>
      <c r="V5" s="73"/>
      <c r="W5" s="73"/>
      <c r="X5" s="73"/>
      <c r="Y5" s="73"/>
      <c r="Z5" s="73"/>
    </row>
    <row r="6" spans="1:26" ht="14.4">
      <c r="A6" s="73"/>
      <c r="B6" s="142" t="s">
        <v>220</v>
      </c>
      <c r="C6" s="143"/>
      <c r="D6" s="143"/>
      <c r="E6" s="143"/>
      <c r="F6" s="143" t="e">
        <f>+F5/E5-1</f>
        <v>#DIV/0!</v>
      </c>
      <c r="G6" s="143" t="e">
        <f>+G5/F5-1</f>
        <v>#DIV/0!</v>
      </c>
      <c r="H6" s="144" t="e">
        <f>+H5/G5-1</f>
        <v>#DIV/0!</v>
      </c>
      <c r="I6" s="131"/>
      <c r="J6" s="73"/>
      <c r="K6" s="145"/>
      <c r="L6" s="128"/>
      <c r="M6" s="73"/>
      <c r="N6" s="73"/>
      <c r="O6" s="128"/>
      <c r="P6" s="128"/>
      <c r="Q6" s="73"/>
      <c r="R6" s="73"/>
      <c r="S6" s="128"/>
      <c r="T6" s="128"/>
      <c r="U6" s="73"/>
      <c r="V6" s="73"/>
      <c r="W6" s="73"/>
      <c r="X6" s="73"/>
      <c r="Y6" s="73"/>
      <c r="Z6" s="73"/>
    </row>
    <row r="7" spans="1:26" ht="13.5" customHeight="1">
      <c r="A7" s="73"/>
      <c r="B7" s="73"/>
      <c r="C7" s="127"/>
      <c r="D7" s="127"/>
      <c r="E7" s="127"/>
      <c r="F7" s="133"/>
      <c r="G7" s="127"/>
      <c r="H7" s="127"/>
      <c r="I7" s="131"/>
      <c r="J7" s="131"/>
      <c r="K7" s="73"/>
      <c r="L7" s="146"/>
      <c r="M7" s="73"/>
      <c r="N7" s="73"/>
      <c r="O7" s="128"/>
      <c r="P7" s="128"/>
      <c r="Q7" s="73"/>
      <c r="R7" s="73"/>
      <c r="S7" s="128"/>
      <c r="T7" s="128"/>
      <c r="U7" s="73"/>
      <c r="V7" s="73"/>
      <c r="W7" s="73"/>
      <c r="X7" s="73"/>
      <c r="Y7" s="73"/>
      <c r="Z7" s="73"/>
    </row>
    <row r="8" spans="1:26" ht="14.4">
      <c r="A8" s="73"/>
      <c r="B8" s="73"/>
      <c r="C8" s="127"/>
      <c r="D8" s="127"/>
      <c r="E8" s="133"/>
      <c r="F8" s="133"/>
      <c r="G8" s="133"/>
      <c r="H8" s="127"/>
      <c r="I8" s="127"/>
      <c r="J8" s="73"/>
      <c r="K8" s="128"/>
      <c r="L8" s="147" t="s">
        <v>221</v>
      </c>
      <c r="M8" s="147" t="s">
        <v>222</v>
      </c>
      <c r="N8" s="73"/>
      <c r="O8" s="128"/>
      <c r="P8" s="128"/>
      <c r="Q8" s="73"/>
      <c r="R8" s="73"/>
      <c r="S8" s="128"/>
      <c r="T8" s="128"/>
      <c r="U8" s="73"/>
      <c r="V8" s="73"/>
      <c r="W8" s="73"/>
      <c r="X8" s="73"/>
      <c r="Y8" s="73"/>
      <c r="Z8" s="73"/>
    </row>
    <row r="9" spans="1:26" ht="14.4">
      <c r="A9" s="73"/>
      <c r="B9" s="148" t="s">
        <v>223</v>
      </c>
      <c r="C9" s="135" t="s">
        <v>224</v>
      </c>
      <c r="D9" s="149">
        <v>0.5</v>
      </c>
      <c r="E9" s="149">
        <v>1.5</v>
      </c>
      <c r="F9" s="149">
        <v>2.5</v>
      </c>
      <c r="G9" s="149">
        <v>3.5</v>
      </c>
      <c r="H9" s="149">
        <v>4.5</v>
      </c>
      <c r="I9" s="150" t="s">
        <v>225</v>
      </c>
      <c r="J9" s="73"/>
      <c r="K9" s="73"/>
      <c r="L9" s="151">
        <f>+L5</f>
        <v>2.5000000000000001E-2</v>
      </c>
      <c r="M9" s="152"/>
      <c r="N9" s="73"/>
      <c r="O9" s="128"/>
      <c r="P9" s="128"/>
      <c r="Q9" s="73"/>
      <c r="R9" s="73"/>
      <c r="S9" s="128"/>
      <c r="T9" s="128"/>
      <c r="U9" s="73"/>
      <c r="V9" s="73"/>
      <c r="W9" s="73"/>
      <c r="X9" s="73"/>
      <c r="Y9" s="73"/>
      <c r="Z9" s="73"/>
    </row>
    <row r="10" spans="1:26" ht="14.4">
      <c r="A10" s="73"/>
      <c r="B10" s="153" t="s">
        <v>226</v>
      </c>
      <c r="C10" s="154"/>
      <c r="D10" s="155">
        <v>2023</v>
      </c>
      <c r="E10" s="155">
        <f>+D10+1</f>
        <v>2024</v>
      </c>
      <c r="F10" s="155">
        <f>+E10+1</f>
        <v>2025</v>
      </c>
      <c r="G10" s="155">
        <f>+F10+1</f>
        <v>2026</v>
      </c>
      <c r="H10" s="155">
        <f>+G10+1</f>
        <v>2027</v>
      </c>
      <c r="I10" s="156">
        <f>+H10</f>
        <v>2027</v>
      </c>
      <c r="J10" s="73"/>
      <c r="K10" s="73"/>
      <c r="L10" s="1382" t="s">
        <v>227</v>
      </c>
      <c r="M10" s="157">
        <v>-0.4</v>
      </c>
      <c r="N10" s="73"/>
      <c r="O10" s="128"/>
      <c r="P10" s="128"/>
      <c r="Q10" s="73"/>
      <c r="R10" s="73"/>
      <c r="S10" s="128"/>
      <c r="T10" s="128"/>
      <c r="U10" s="73"/>
      <c r="V10" s="73"/>
      <c r="W10" s="73"/>
      <c r="X10" s="73"/>
      <c r="Y10" s="73"/>
      <c r="Z10" s="73"/>
    </row>
    <row r="11" spans="1:26" ht="14.4">
      <c r="A11" s="73"/>
      <c r="B11" s="158" t="s">
        <v>228</v>
      </c>
      <c r="C11" s="127"/>
      <c r="D11" s="159">
        <f>+'Expected Growth25'!E67</f>
        <v>3.1199999999999999E-2</v>
      </c>
      <c r="E11" s="133">
        <f>+D11</f>
        <v>3.1199999999999999E-2</v>
      </c>
      <c r="F11" s="133">
        <f>+'Expected Growth25'!F67</f>
        <v>4.1300000000000003E-2</v>
      </c>
      <c r="G11" s="133">
        <f>+F11</f>
        <v>4.1300000000000003E-2</v>
      </c>
      <c r="H11" s="133">
        <f>+G11</f>
        <v>4.1300000000000003E-2</v>
      </c>
      <c r="I11" s="160"/>
      <c r="J11" s="146"/>
      <c r="K11" s="73"/>
      <c r="L11" s="1366"/>
      <c r="M11" s="161">
        <f>+L5*(1+M10)</f>
        <v>1.4999999999999999E-2</v>
      </c>
      <c r="N11" s="73"/>
      <c r="O11" s="128"/>
      <c r="P11" s="128"/>
      <c r="Q11" s="73"/>
      <c r="R11" s="73"/>
      <c r="S11" s="128"/>
      <c r="T11" s="128"/>
      <c r="U11" s="73"/>
      <c r="V11" s="73"/>
      <c r="W11" s="73"/>
      <c r="X11" s="73"/>
      <c r="Y11" s="73"/>
      <c r="Z11" s="73"/>
    </row>
    <row r="12" spans="1:26" ht="14.4">
      <c r="A12" s="73"/>
      <c r="B12" s="162" t="s">
        <v>229</v>
      </c>
      <c r="C12" s="163"/>
      <c r="D12" s="164">
        <f>+H5*(1+D11)</f>
        <v>0</v>
      </c>
      <c r="E12" s="164">
        <f>+D12*(1+E11)</f>
        <v>0</v>
      </c>
      <c r="F12" s="164">
        <f>+E12*(1+F11)</f>
        <v>0</v>
      </c>
      <c r="G12" s="164">
        <f>+F12*(1+G11)</f>
        <v>0</v>
      </c>
      <c r="H12" s="164">
        <f>+G12*(1+H11)</f>
        <v>0</v>
      </c>
      <c r="I12" s="165">
        <f>+H12</f>
        <v>0</v>
      </c>
      <c r="J12" s="73"/>
      <c r="K12" s="166"/>
      <c r="L12" s="128"/>
      <c r="M12" s="73"/>
      <c r="N12" s="73"/>
      <c r="O12" s="128"/>
      <c r="P12" s="128"/>
      <c r="Q12" s="73"/>
      <c r="R12" s="73"/>
      <c r="S12" s="128"/>
      <c r="T12" s="128"/>
      <c r="U12" s="73"/>
      <c r="V12" s="73"/>
      <c r="W12" s="73"/>
      <c r="X12" s="73"/>
      <c r="Y12" s="73"/>
      <c r="Z12" s="73"/>
    </row>
    <row r="13" spans="1:26" ht="14.4">
      <c r="A13" s="73"/>
      <c r="B13" s="162" t="s">
        <v>230</v>
      </c>
      <c r="C13" s="159">
        <v>0.05</v>
      </c>
      <c r="D13" s="167">
        <f>+D12*$C$13</f>
        <v>0</v>
      </c>
      <c r="E13" s="167">
        <f>+E12*$C$13</f>
        <v>0</v>
      </c>
      <c r="F13" s="167">
        <f>+F12*$C$13</f>
        <v>0</v>
      </c>
      <c r="G13" s="167">
        <f>+G12*$C$13</f>
        <v>0</v>
      </c>
      <c r="H13" s="167">
        <f>+H12*$C$13</f>
        <v>0</v>
      </c>
      <c r="I13" s="168">
        <f>+I12*$C$13</f>
        <v>0</v>
      </c>
      <c r="J13" s="169"/>
      <c r="K13" s="73"/>
      <c r="L13" s="128"/>
      <c r="M13" s="73"/>
      <c r="N13" s="73"/>
      <c r="O13" s="128"/>
      <c r="P13" s="128"/>
      <c r="Q13" s="73"/>
      <c r="R13" s="73"/>
      <c r="S13" s="128"/>
      <c r="T13" s="128"/>
      <c r="U13" s="73"/>
      <c r="V13" s="73"/>
      <c r="W13" s="73"/>
      <c r="X13" s="73"/>
      <c r="Y13" s="73"/>
      <c r="Z13" s="73"/>
    </row>
    <row r="14" spans="1:26" ht="14.4">
      <c r="A14" s="73"/>
      <c r="B14" s="170" t="s">
        <v>231</v>
      </c>
      <c r="C14" s="171">
        <v>0.05</v>
      </c>
      <c r="D14" s="172">
        <f>$C$14*D13</f>
        <v>0</v>
      </c>
      <c r="E14" s="172">
        <f>$C$14*E13</f>
        <v>0</v>
      </c>
      <c r="F14" s="172">
        <f>$C$14*F13</f>
        <v>0</v>
      </c>
      <c r="G14" s="172">
        <f>$C$14*G13</f>
        <v>0</v>
      </c>
      <c r="H14" s="172">
        <f>$C$14*H13</f>
        <v>0</v>
      </c>
      <c r="I14" s="173">
        <f>$C$14*I13</f>
        <v>0</v>
      </c>
      <c r="J14" s="73"/>
      <c r="K14" s="73"/>
      <c r="L14" s="128"/>
      <c r="M14" s="73"/>
      <c r="N14" s="73"/>
      <c r="O14" s="128"/>
      <c r="P14" s="128"/>
      <c r="Q14" s="73"/>
      <c r="R14" s="73"/>
      <c r="S14" s="128"/>
      <c r="T14" s="128"/>
      <c r="U14" s="73"/>
      <c r="V14" s="73"/>
      <c r="W14" s="73"/>
      <c r="X14" s="73"/>
      <c r="Y14" s="73"/>
      <c r="Z14" s="73"/>
    </row>
    <row r="15" spans="1:26" ht="19.5" customHeight="1">
      <c r="A15" s="73"/>
      <c r="B15" s="162"/>
      <c r="C15" s="133"/>
      <c r="D15" s="167"/>
      <c r="E15" s="167"/>
      <c r="F15" s="167"/>
      <c r="G15" s="167"/>
      <c r="H15" s="167"/>
      <c r="I15" s="168"/>
      <c r="J15" s="73"/>
      <c r="K15" s="73"/>
      <c r="L15" s="174"/>
      <c r="M15" s="73"/>
      <c r="N15" s="73"/>
      <c r="O15" s="128"/>
      <c r="P15" s="128"/>
      <c r="Q15" s="73"/>
      <c r="R15" s="73"/>
      <c r="S15" s="128"/>
      <c r="T15" s="128"/>
      <c r="U15" s="73"/>
      <c r="V15" s="73"/>
      <c r="W15" s="73"/>
      <c r="X15" s="73"/>
      <c r="Y15" s="73"/>
      <c r="Z15" s="73"/>
    </row>
    <row r="16" spans="1:26" ht="27" customHeight="1">
      <c r="A16" s="73"/>
      <c r="B16" s="175" t="s">
        <v>232</v>
      </c>
      <c r="C16" s="176"/>
      <c r="D16" s="177">
        <f>D13-D14</f>
        <v>0</v>
      </c>
      <c r="E16" s="177">
        <f>E13-E14</f>
        <v>0</v>
      </c>
      <c r="F16" s="177">
        <f>F13-F14</f>
        <v>0</v>
      </c>
      <c r="G16" s="177">
        <f>G13-G14</f>
        <v>0</v>
      </c>
      <c r="H16" s="177">
        <f>H13-H14</f>
        <v>0</v>
      </c>
      <c r="I16" s="178">
        <f>I13-I14</f>
        <v>0</v>
      </c>
      <c r="J16" s="73" t="s">
        <v>233</v>
      </c>
      <c r="K16" s="179"/>
      <c r="L16" s="73"/>
      <c r="M16" s="73"/>
      <c r="N16" s="73"/>
      <c r="O16" s="128"/>
      <c r="P16" s="128"/>
      <c r="Q16" s="73"/>
      <c r="R16" s="73"/>
      <c r="S16" s="128"/>
      <c r="T16" s="128"/>
      <c r="U16" s="73"/>
      <c r="V16" s="73"/>
      <c r="W16" s="73"/>
      <c r="X16" s="73"/>
      <c r="Y16" s="73"/>
      <c r="Z16" s="73"/>
    </row>
    <row r="17" spans="1:26" ht="14.4">
      <c r="A17" s="73"/>
      <c r="B17" s="162" t="s">
        <v>15</v>
      </c>
      <c r="C17" s="180">
        <v>0.3</v>
      </c>
      <c r="D17" s="167">
        <f>+D16*$C$17</f>
        <v>0</v>
      </c>
      <c r="E17" s="167">
        <f>+E16*$C$17</f>
        <v>0</v>
      </c>
      <c r="F17" s="167">
        <f>+F16*$C$17</f>
        <v>0</v>
      </c>
      <c r="G17" s="167">
        <f>+G16*$C$17</f>
        <v>0</v>
      </c>
      <c r="H17" s="167">
        <f>+H16*$C$17</f>
        <v>0</v>
      </c>
      <c r="I17" s="168">
        <f>+I16*$C$17</f>
        <v>0</v>
      </c>
      <c r="J17" s="73"/>
      <c r="K17" s="73"/>
      <c r="L17" s="181"/>
      <c r="M17" s="73"/>
      <c r="N17" s="73"/>
      <c r="O17" s="128"/>
      <c r="P17" s="128"/>
      <c r="Q17" s="73"/>
      <c r="R17" s="73"/>
      <c r="S17" s="128"/>
      <c r="T17" s="128"/>
      <c r="U17" s="73"/>
      <c r="V17" s="73"/>
      <c r="W17" s="73"/>
      <c r="X17" s="73"/>
      <c r="Y17" s="73"/>
      <c r="Z17" s="73"/>
    </row>
    <row r="18" spans="1:26" ht="9" customHeight="1">
      <c r="A18" s="73"/>
      <c r="B18" s="162"/>
      <c r="C18" s="180"/>
      <c r="D18" s="167"/>
      <c r="E18" s="167"/>
      <c r="F18" s="167"/>
      <c r="G18" s="167"/>
      <c r="H18" s="167"/>
      <c r="I18" s="168"/>
      <c r="J18" s="73"/>
      <c r="K18" s="73"/>
      <c r="L18" s="73"/>
      <c r="M18" s="73"/>
      <c r="N18" s="73"/>
      <c r="O18" s="73"/>
      <c r="P18" s="73"/>
      <c r="Q18" s="73"/>
      <c r="R18" s="73"/>
      <c r="S18" s="73"/>
      <c r="T18" s="73"/>
      <c r="U18" s="73"/>
      <c r="V18" s="73"/>
      <c r="W18" s="73"/>
      <c r="X18" s="73"/>
      <c r="Y18" s="73"/>
      <c r="Z18" s="73"/>
    </row>
    <row r="19" spans="1:26" ht="14.4">
      <c r="A19" s="73"/>
      <c r="B19" s="162" t="s">
        <v>234</v>
      </c>
      <c r="C19" s="127"/>
      <c r="D19" s="182">
        <f>+D16-D17</f>
        <v>0</v>
      </c>
      <c r="E19" s="182">
        <f>+E16-E17</f>
        <v>0</v>
      </c>
      <c r="F19" s="182">
        <f>+F16-F17</f>
        <v>0</v>
      </c>
      <c r="G19" s="182">
        <f>+G16-G17</f>
        <v>0</v>
      </c>
      <c r="H19" s="182">
        <f>+H16-H17</f>
        <v>0</v>
      </c>
      <c r="I19" s="183">
        <f>+I16-I17</f>
        <v>0</v>
      </c>
      <c r="J19" s="73"/>
      <c r="K19" s="73"/>
      <c r="L19" s="73"/>
      <c r="M19" s="73"/>
      <c r="N19" s="73"/>
      <c r="O19" s="73"/>
      <c r="P19" s="73"/>
      <c r="Q19" s="73"/>
      <c r="R19" s="73"/>
      <c r="S19" s="128"/>
      <c r="T19" s="128"/>
      <c r="U19" s="128"/>
      <c r="V19" s="73"/>
      <c r="W19" s="73"/>
      <c r="X19" s="73"/>
      <c r="Y19" s="73"/>
      <c r="Z19" s="73"/>
    </row>
    <row r="20" spans="1:26" ht="14.4">
      <c r="A20" s="73"/>
      <c r="B20" s="162"/>
      <c r="C20" s="127"/>
      <c r="D20" s="167"/>
      <c r="E20" s="167"/>
      <c r="F20" s="167"/>
      <c r="G20" s="167"/>
      <c r="H20" s="167"/>
      <c r="I20" s="168" t="e">
        <f>+((I19*(1+C24))/(C22-C24))</f>
        <v>#VALUE!</v>
      </c>
      <c r="J20" s="73"/>
      <c r="K20" s="73"/>
      <c r="L20" s="73"/>
      <c r="M20" s="73"/>
      <c r="N20" s="73"/>
      <c r="O20" s="73"/>
      <c r="P20" s="73"/>
      <c r="Q20" s="73"/>
      <c r="R20" s="73"/>
      <c r="S20" s="128"/>
      <c r="T20" s="128"/>
      <c r="U20" s="128"/>
      <c r="V20" s="73"/>
      <c r="W20" s="73"/>
      <c r="X20" s="73"/>
      <c r="Y20" s="73"/>
      <c r="Z20" s="73"/>
    </row>
    <row r="21" spans="1:26" ht="15.75" customHeight="1">
      <c r="A21" s="73"/>
      <c r="B21" s="162" t="s">
        <v>235</v>
      </c>
      <c r="C21" s="133" t="e">
        <f>+'WACC_SECTOR GREEN ENERGY (2)'!G26</f>
        <v>#VALUE!</v>
      </c>
      <c r="D21" s="73"/>
      <c r="E21" s="73"/>
      <c r="F21" s="73"/>
      <c r="G21" s="73"/>
      <c r="H21" s="73"/>
      <c r="I21" s="184"/>
      <c r="J21" s="73"/>
      <c r="K21" s="73"/>
      <c r="L21" s="73"/>
      <c r="M21" s="73"/>
      <c r="N21" s="73"/>
      <c r="O21" s="73"/>
      <c r="P21" s="73"/>
      <c r="Q21" s="73"/>
      <c r="R21" s="73"/>
      <c r="S21" s="128"/>
      <c r="T21" s="128"/>
      <c r="U21" s="128"/>
      <c r="V21" s="73"/>
      <c r="W21" s="73"/>
      <c r="X21" s="73"/>
      <c r="Y21" s="73"/>
      <c r="Z21" s="73"/>
    </row>
    <row r="22" spans="1:26" ht="15.75" customHeight="1">
      <c r="A22" s="73"/>
      <c r="B22" s="185" t="s">
        <v>236</v>
      </c>
      <c r="C22" s="186" t="e">
        <f>+C21</f>
        <v>#VALUE!</v>
      </c>
      <c r="D22" s="187" t="e">
        <f>+D19/(1+$C$21)^D9</f>
        <v>#VALUE!</v>
      </c>
      <c r="E22" s="188" t="e">
        <f>+E19/(1+$C$21)^E9</f>
        <v>#VALUE!</v>
      </c>
      <c r="F22" s="188" t="e">
        <f>+F19/(1+$C$21)^F9</f>
        <v>#VALUE!</v>
      </c>
      <c r="G22" s="188" t="e">
        <f>+G19/(1+$C$21)^G9</f>
        <v>#VALUE!</v>
      </c>
      <c r="H22" s="188" t="e">
        <f>+H19/(1+$C$21)^H9</f>
        <v>#VALUE!</v>
      </c>
      <c r="I22" s="189" t="e">
        <f>+I20/(1+$C$21)^H9</f>
        <v>#VALUE!</v>
      </c>
      <c r="J22" s="73"/>
      <c r="K22" s="73"/>
      <c r="L22" s="73"/>
      <c r="M22" s="73"/>
      <c r="N22" s="73"/>
      <c r="O22" s="73"/>
      <c r="P22" s="73"/>
      <c r="Q22" s="73"/>
      <c r="R22" s="73"/>
      <c r="S22" s="128"/>
      <c r="T22" s="128"/>
      <c r="U22" s="128"/>
      <c r="V22" s="73"/>
      <c r="W22" s="73"/>
      <c r="X22" s="73"/>
      <c r="Y22" s="73"/>
      <c r="Z22" s="73"/>
    </row>
    <row r="23" spans="1:26" ht="15.75" customHeight="1">
      <c r="A23" s="73"/>
      <c r="B23" s="73"/>
      <c r="C23" s="127"/>
      <c r="D23" s="73"/>
      <c r="E23" s="73"/>
      <c r="F23" s="73"/>
      <c r="G23" s="73"/>
      <c r="H23" s="73"/>
      <c r="I23" s="73"/>
      <c r="J23" s="73"/>
      <c r="K23" s="73"/>
      <c r="L23" s="73"/>
      <c r="M23" s="73"/>
      <c r="N23" s="73"/>
      <c r="O23" s="73"/>
      <c r="P23" s="73"/>
      <c r="Q23" s="73"/>
      <c r="R23" s="73"/>
      <c r="S23" s="128"/>
      <c r="T23" s="128"/>
      <c r="U23" s="128"/>
      <c r="V23" s="73"/>
      <c r="W23" s="73"/>
      <c r="X23" s="73"/>
      <c r="Y23" s="73"/>
      <c r="Z23" s="73"/>
    </row>
    <row r="24" spans="1:26" ht="15.75" customHeight="1">
      <c r="A24" s="73"/>
      <c r="B24" s="73" t="s">
        <v>237</v>
      </c>
      <c r="C24" s="133">
        <v>3.7199999999999997E-2</v>
      </c>
      <c r="D24" s="73"/>
      <c r="E24" s="73"/>
      <c r="F24" s="73"/>
      <c r="G24" s="73"/>
      <c r="H24" s="73"/>
      <c r="I24" s="73"/>
      <c r="J24" s="73"/>
      <c r="K24" s="73"/>
      <c r="L24" s="73"/>
      <c r="M24" s="73"/>
      <c r="N24" s="73"/>
      <c r="O24" s="73"/>
      <c r="P24" s="73"/>
      <c r="Q24" s="73"/>
      <c r="R24" s="73"/>
      <c r="S24" s="128"/>
      <c r="T24" s="128"/>
      <c r="U24" s="128"/>
      <c r="V24" s="73"/>
      <c r="W24" s="73"/>
      <c r="X24" s="73"/>
      <c r="Y24" s="73"/>
      <c r="Z24" s="73"/>
    </row>
    <row r="25" spans="1:26" ht="15.75" customHeight="1">
      <c r="A25" s="73"/>
      <c r="B25" s="73"/>
      <c r="C25" s="127"/>
      <c r="D25" s="73"/>
      <c r="E25" s="73"/>
      <c r="F25" s="73"/>
      <c r="G25" s="73"/>
      <c r="H25" s="73"/>
      <c r="I25" s="73"/>
      <c r="J25" s="73"/>
      <c r="K25" s="73"/>
      <c r="L25" s="73"/>
      <c r="M25" s="73"/>
      <c r="N25" s="73"/>
      <c r="O25" s="73"/>
      <c r="P25" s="73"/>
      <c r="Q25" s="73"/>
      <c r="R25" s="73"/>
      <c r="S25" s="128"/>
      <c r="T25" s="128"/>
      <c r="U25" s="128"/>
      <c r="V25" s="73"/>
      <c r="W25" s="73"/>
      <c r="X25" s="73"/>
      <c r="Y25" s="73"/>
      <c r="Z25" s="73"/>
    </row>
    <row r="26" spans="1:26" ht="26.25" customHeight="1">
      <c r="A26" s="73"/>
      <c r="B26" s="1383" t="s">
        <v>238</v>
      </c>
      <c r="C26" s="1384"/>
      <c r="D26" s="190" t="e">
        <f>+SUM(D22:I22)</f>
        <v>#VALUE!</v>
      </c>
      <c r="E26" s="191"/>
      <c r="F26" s="128"/>
      <c r="G26" s="192"/>
      <c r="H26" s="128"/>
      <c r="I26" s="128"/>
      <c r="J26" s="128"/>
      <c r="K26" s="128"/>
      <c r="L26" s="73"/>
      <c r="M26" s="73"/>
      <c r="N26" s="73"/>
      <c r="O26" s="73"/>
      <c r="P26" s="73"/>
      <c r="Q26" s="73"/>
      <c r="R26" s="73"/>
      <c r="S26" s="73"/>
      <c r="T26" s="73"/>
      <c r="U26" s="73"/>
      <c r="V26" s="73"/>
      <c r="W26" s="73"/>
      <c r="X26" s="73"/>
      <c r="Y26" s="73"/>
      <c r="Z26" s="73"/>
    </row>
    <row r="27" spans="1:26" ht="10.5" customHeight="1">
      <c r="A27" s="73"/>
      <c r="B27" s="73"/>
      <c r="C27" s="127"/>
      <c r="D27" s="73"/>
      <c r="E27" s="73"/>
      <c r="F27" s="128"/>
      <c r="G27" s="128"/>
      <c r="H27" s="128"/>
      <c r="I27" s="128"/>
      <c r="J27" s="128"/>
      <c r="K27" s="128"/>
      <c r="L27" s="73"/>
      <c r="M27" s="73"/>
      <c r="N27" s="73"/>
      <c r="O27" s="73"/>
      <c r="P27" s="73"/>
      <c r="Q27" s="73"/>
      <c r="R27" s="73"/>
      <c r="S27" s="73"/>
      <c r="T27" s="73"/>
      <c r="U27" s="73"/>
      <c r="V27" s="73"/>
      <c r="W27" s="73"/>
      <c r="X27" s="73"/>
      <c r="Y27" s="73"/>
      <c r="Z27" s="73"/>
    </row>
    <row r="28" spans="1:26" ht="10.5" customHeight="1">
      <c r="A28" s="73"/>
      <c r="B28" s="73"/>
      <c r="C28" s="127"/>
      <c r="D28" s="73"/>
      <c r="E28" s="73"/>
      <c r="F28" s="128"/>
      <c r="G28" s="128"/>
      <c r="H28" s="128"/>
      <c r="I28" s="128"/>
      <c r="J28" s="128"/>
      <c r="K28" s="128"/>
      <c r="L28" s="73"/>
      <c r="M28" s="73"/>
      <c r="N28" s="73"/>
      <c r="O28" s="73"/>
      <c r="P28" s="73"/>
      <c r="Q28" s="73"/>
      <c r="R28" s="73"/>
      <c r="S28" s="73"/>
      <c r="T28" s="73"/>
      <c r="U28" s="73"/>
      <c r="V28" s="73"/>
      <c r="W28" s="73"/>
      <c r="X28" s="73"/>
      <c r="Y28" s="73"/>
      <c r="Z28" s="73"/>
    </row>
    <row r="29" spans="1:26" ht="10.5" customHeight="1">
      <c r="A29" s="73"/>
      <c r="B29" s="73"/>
      <c r="C29" s="127"/>
      <c r="D29" s="73"/>
      <c r="E29" s="73"/>
      <c r="F29" s="128"/>
      <c r="G29" s="128"/>
      <c r="H29" s="128"/>
      <c r="I29" s="128"/>
      <c r="J29" s="193"/>
      <c r="K29" s="194"/>
      <c r="L29" s="73"/>
      <c r="M29" s="73"/>
      <c r="N29" s="73"/>
      <c r="O29" s="73"/>
      <c r="P29" s="73"/>
      <c r="Q29" s="73"/>
      <c r="R29" s="73"/>
      <c r="S29" s="73"/>
      <c r="T29" s="73"/>
      <c r="U29" s="73"/>
      <c r="V29" s="73"/>
      <c r="W29" s="73"/>
      <c r="X29" s="73"/>
      <c r="Y29" s="73"/>
      <c r="Z29" s="73"/>
    </row>
    <row r="30" spans="1:26" ht="10.5" customHeight="1">
      <c r="A30" s="73"/>
      <c r="B30" s="73"/>
      <c r="C30" s="127"/>
      <c r="D30" s="73"/>
      <c r="E30" s="73"/>
      <c r="F30" s="128"/>
      <c r="G30" s="128"/>
      <c r="H30" s="128"/>
      <c r="I30" s="128"/>
      <c r="J30" s="128"/>
      <c r="K30" s="128"/>
      <c r="L30" s="73"/>
      <c r="M30" s="73"/>
      <c r="N30" s="73"/>
      <c r="O30" s="73"/>
      <c r="P30" s="73"/>
      <c r="Q30" s="73"/>
      <c r="R30" s="73"/>
      <c r="S30" s="73"/>
      <c r="T30" s="73"/>
      <c r="U30" s="73"/>
      <c r="V30" s="73"/>
      <c r="W30" s="73"/>
      <c r="X30" s="73"/>
      <c r="Y30" s="73"/>
      <c r="Z30" s="73"/>
    </row>
    <row r="31" spans="1:26" ht="20.25" customHeight="1">
      <c r="A31" s="73"/>
      <c r="B31" s="1383" t="s">
        <v>239</v>
      </c>
      <c r="C31" s="1384"/>
      <c r="D31" s="190" t="e">
        <f>+D33*1.2</f>
        <v>#VALUE!</v>
      </c>
      <c r="E31" s="73"/>
      <c r="F31" s="128"/>
      <c r="G31" s="128"/>
      <c r="H31" s="128"/>
      <c r="I31" s="128"/>
      <c r="J31" s="128"/>
      <c r="K31" s="128"/>
      <c r="L31" s="73"/>
      <c r="M31" s="73"/>
      <c r="N31" s="73"/>
      <c r="O31" s="73"/>
      <c r="P31" s="73"/>
      <c r="Q31" s="73"/>
      <c r="R31" s="73"/>
      <c r="S31" s="73"/>
      <c r="T31" s="73"/>
      <c r="U31" s="73"/>
      <c r="V31" s="73"/>
      <c r="W31" s="73"/>
      <c r="X31" s="73"/>
      <c r="Y31" s="73"/>
      <c r="Z31" s="73"/>
    </row>
    <row r="32" spans="1:26" ht="10.5" customHeight="1">
      <c r="A32" s="73"/>
      <c r="B32" s="73"/>
      <c r="C32" s="127"/>
      <c r="D32" s="73"/>
      <c r="E32" s="73"/>
      <c r="F32" s="128"/>
      <c r="G32" s="128"/>
      <c r="H32" s="128"/>
      <c r="I32" s="128"/>
      <c r="J32" s="128"/>
      <c r="K32" s="128"/>
      <c r="L32" s="73"/>
      <c r="M32" s="73"/>
      <c r="N32" s="73"/>
      <c r="O32" s="73"/>
      <c r="P32" s="73"/>
      <c r="Q32" s="73"/>
      <c r="R32" s="73"/>
      <c r="S32" s="73"/>
      <c r="T32" s="73"/>
      <c r="U32" s="73"/>
      <c r="V32" s="73"/>
      <c r="W32" s="73"/>
      <c r="X32" s="73"/>
      <c r="Y32" s="73"/>
      <c r="Z32" s="73"/>
    </row>
    <row r="33" spans="1:26" ht="22.5" customHeight="1">
      <c r="A33" s="73"/>
      <c r="B33" s="1383" t="s">
        <v>240</v>
      </c>
      <c r="C33" s="1384"/>
      <c r="D33" s="190" t="e">
        <f>ROUND(D26,-3)</f>
        <v>#VALUE!</v>
      </c>
      <c r="E33" s="73"/>
      <c r="F33" s="128"/>
      <c r="G33" s="128"/>
      <c r="H33" s="128"/>
      <c r="I33" s="128"/>
      <c r="J33" s="128"/>
      <c r="K33" s="128"/>
      <c r="L33" s="73"/>
      <c r="M33" s="73"/>
      <c r="N33" s="73"/>
      <c r="O33" s="73"/>
      <c r="P33" s="73"/>
      <c r="Q33" s="73"/>
      <c r="R33" s="73"/>
      <c r="S33" s="73"/>
      <c r="T33" s="73"/>
      <c r="U33" s="73"/>
      <c r="V33" s="73"/>
      <c r="W33" s="73"/>
      <c r="X33" s="73"/>
      <c r="Y33" s="73"/>
      <c r="Z33" s="73"/>
    </row>
    <row r="34" spans="1:26" ht="15" customHeight="1">
      <c r="A34" s="73"/>
      <c r="B34" s="128"/>
      <c r="C34" s="128"/>
      <c r="D34" s="128"/>
      <c r="E34" s="73"/>
      <c r="F34" s="128"/>
      <c r="G34" s="128"/>
      <c r="H34" s="128"/>
      <c r="I34" s="128"/>
      <c r="J34" s="128"/>
      <c r="K34" s="128"/>
      <c r="L34" s="73"/>
      <c r="M34" s="73"/>
      <c r="N34" s="73"/>
      <c r="O34" s="73"/>
      <c r="P34" s="73"/>
      <c r="Q34" s="73"/>
      <c r="R34" s="73"/>
      <c r="S34" s="73"/>
      <c r="T34" s="73"/>
      <c r="U34" s="73"/>
      <c r="V34" s="73"/>
      <c r="W34" s="73"/>
      <c r="X34" s="73"/>
      <c r="Y34" s="73"/>
      <c r="Z34" s="73"/>
    </row>
    <row r="35" spans="1:26" ht="22.5" customHeight="1">
      <c r="A35" s="73"/>
      <c r="B35" s="1383" t="s">
        <v>241</v>
      </c>
      <c r="C35" s="1384"/>
      <c r="D35" s="190" t="e">
        <f>+D33*0.8</f>
        <v>#VALUE!</v>
      </c>
      <c r="E35" s="73"/>
      <c r="F35" s="128"/>
      <c r="G35" s="128"/>
      <c r="H35" s="128"/>
      <c r="I35" s="128"/>
      <c r="J35" s="128"/>
      <c r="K35" s="128"/>
      <c r="L35" s="73"/>
      <c r="M35" s="73"/>
      <c r="N35" s="73"/>
      <c r="O35" s="73"/>
      <c r="P35" s="73"/>
      <c r="Q35" s="73"/>
      <c r="R35" s="73"/>
      <c r="S35" s="73"/>
      <c r="T35" s="73"/>
      <c r="U35" s="73"/>
      <c r="V35" s="73"/>
      <c r="W35" s="73"/>
      <c r="X35" s="73"/>
      <c r="Y35" s="73"/>
      <c r="Z35" s="73"/>
    </row>
    <row r="36" spans="1:26" ht="21" customHeight="1">
      <c r="A36" s="73"/>
      <c r="B36" s="73"/>
      <c r="C36" s="127"/>
      <c r="D36" s="73"/>
      <c r="E36" s="195"/>
      <c r="F36" s="128"/>
      <c r="G36" s="128"/>
      <c r="H36" s="128"/>
      <c r="I36" s="128"/>
      <c r="J36" s="128"/>
      <c r="K36" s="128"/>
      <c r="L36" s="73"/>
      <c r="M36" s="73"/>
      <c r="N36" s="73"/>
      <c r="O36" s="73"/>
      <c r="P36" s="73"/>
      <c r="Q36" s="73"/>
      <c r="R36" s="73"/>
      <c r="S36" s="73"/>
      <c r="T36" s="73"/>
      <c r="U36" s="73"/>
      <c r="V36" s="73"/>
      <c r="W36" s="73"/>
      <c r="X36" s="73"/>
      <c r="Y36" s="73"/>
      <c r="Z36" s="73"/>
    </row>
    <row r="37" spans="1:26" ht="15.75" customHeight="1">
      <c r="A37" s="73"/>
      <c r="B37" s="1383" t="s">
        <v>242</v>
      </c>
      <c r="C37" s="1384"/>
      <c r="D37" s="196" t="e">
        <v>#REF!</v>
      </c>
      <c r="E37" s="73"/>
      <c r="F37" s="128"/>
      <c r="G37" s="128"/>
      <c r="H37" s="128"/>
      <c r="I37" s="128"/>
      <c r="J37" s="128"/>
      <c r="K37" s="128"/>
      <c r="L37" s="73"/>
      <c r="M37" s="73"/>
      <c r="N37" s="73"/>
      <c r="O37" s="73"/>
      <c r="P37" s="73"/>
      <c r="Q37" s="73"/>
      <c r="R37" s="73"/>
      <c r="S37" s="73"/>
      <c r="T37" s="73"/>
      <c r="U37" s="73"/>
      <c r="V37" s="73"/>
      <c r="W37" s="73"/>
      <c r="X37" s="73"/>
      <c r="Y37" s="73"/>
      <c r="Z37" s="73"/>
    </row>
    <row r="38" spans="1:26" ht="15.75" customHeight="1">
      <c r="A38" s="73"/>
      <c r="B38" s="73"/>
      <c r="C38" s="127"/>
      <c r="D38" s="73"/>
      <c r="E38" s="73"/>
      <c r="F38" s="128"/>
      <c r="G38" s="128"/>
      <c r="H38" s="128"/>
      <c r="I38" s="128"/>
      <c r="J38" s="128"/>
      <c r="K38" s="128"/>
      <c r="L38" s="73"/>
      <c r="M38" s="73"/>
      <c r="N38" s="73"/>
      <c r="O38" s="73"/>
      <c r="P38" s="73"/>
      <c r="Q38" s="73"/>
      <c r="R38" s="73"/>
      <c r="S38" s="73"/>
      <c r="T38" s="73"/>
      <c r="U38" s="73"/>
      <c r="V38" s="73"/>
      <c r="W38" s="73"/>
      <c r="X38" s="73"/>
      <c r="Y38" s="73"/>
      <c r="Z38" s="73"/>
    </row>
    <row r="39" spans="1:26" ht="22.5" customHeight="1">
      <c r="A39" s="73"/>
      <c r="B39" s="1385" t="s">
        <v>243</v>
      </c>
      <c r="C39" s="1384"/>
      <c r="D39" s="197" t="e">
        <f>ROUND(D33*D37,-3)</f>
        <v>#VALUE!</v>
      </c>
      <c r="E39" s="198"/>
      <c r="F39" s="128"/>
      <c r="G39" s="128"/>
      <c r="H39" s="128"/>
      <c r="I39" s="128"/>
      <c r="J39" s="128"/>
      <c r="K39" s="128"/>
      <c r="L39" s="73"/>
      <c r="M39" s="73"/>
      <c r="N39" s="73"/>
      <c r="O39" s="73"/>
      <c r="P39" s="73"/>
      <c r="Q39" s="73"/>
      <c r="R39" s="73"/>
      <c r="S39" s="73"/>
      <c r="T39" s="73"/>
      <c r="U39" s="73"/>
      <c r="V39" s="73"/>
      <c r="W39" s="73"/>
      <c r="X39" s="73"/>
      <c r="Y39" s="73"/>
      <c r="Z39" s="73"/>
    </row>
    <row r="40" spans="1:26" ht="15.75" customHeight="1">
      <c r="A40" s="73"/>
      <c r="B40" s="73"/>
      <c r="C40" s="127"/>
      <c r="D40" s="199"/>
      <c r="E40" s="73"/>
      <c r="F40" s="73"/>
      <c r="G40" s="73"/>
      <c r="H40" s="73"/>
      <c r="I40" s="73"/>
      <c r="J40" s="73"/>
      <c r="K40" s="181"/>
      <c r="L40" s="73"/>
      <c r="M40" s="73"/>
      <c r="N40" s="73"/>
      <c r="O40" s="73"/>
      <c r="P40" s="73"/>
      <c r="Q40" s="73"/>
      <c r="R40" s="73"/>
      <c r="S40" s="73"/>
      <c r="T40" s="73"/>
      <c r="U40" s="73"/>
      <c r="V40" s="73"/>
      <c r="W40" s="73"/>
      <c r="X40" s="73"/>
      <c r="Y40" s="73"/>
      <c r="Z40" s="73"/>
    </row>
    <row r="41" spans="1:26" ht="6" customHeight="1">
      <c r="A41" s="73"/>
      <c r="B41" s="73"/>
      <c r="C41" s="127"/>
      <c r="D41" s="73"/>
      <c r="E41" s="73"/>
      <c r="F41" s="73"/>
      <c r="G41" s="73"/>
      <c r="H41" s="73"/>
      <c r="I41" s="73"/>
      <c r="J41" s="73"/>
      <c r="K41" s="181"/>
      <c r="L41" s="73"/>
      <c r="M41" s="73"/>
      <c r="N41" s="73"/>
      <c r="O41" s="73"/>
      <c r="P41" s="73"/>
      <c r="Q41" s="73"/>
      <c r="R41" s="73"/>
      <c r="S41" s="73"/>
      <c r="T41" s="73"/>
      <c r="U41" s="73"/>
      <c r="V41" s="73"/>
      <c r="W41" s="73"/>
      <c r="X41" s="73"/>
      <c r="Y41" s="73"/>
      <c r="Z41" s="73"/>
    </row>
    <row r="42" spans="1:26" ht="15.75" customHeight="1">
      <c r="A42" s="73"/>
      <c r="B42" s="73"/>
      <c r="C42" s="127"/>
      <c r="D42" s="73"/>
      <c r="E42" s="73"/>
      <c r="F42" s="73"/>
      <c r="G42" s="73"/>
      <c r="H42" s="73"/>
      <c r="I42" s="73"/>
      <c r="J42" s="73"/>
      <c r="K42" s="73"/>
      <c r="L42" s="73"/>
      <c r="M42" s="73"/>
      <c r="N42" s="73"/>
      <c r="O42" s="73"/>
      <c r="P42" s="73"/>
      <c r="Q42" s="73"/>
      <c r="R42" s="73"/>
      <c r="S42" s="73"/>
      <c r="T42" s="73"/>
      <c r="U42" s="73"/>
      <c r="V42" s="73"/>
      <c r="W42" s="73"/>
      <c r="X42" s="73"/>
      <c r="Y42" s="73"/>
      <c r="Z42" s="73"/>
    </row>
    <row r="43" spans="1:26" ht="15.75" customHeight="1">
      <c r="A43" s="73"/>
      <c r="B43" s="73"/>
      <c r="C43" s="127"/>
      <c r="D43" s="73"/>
      <c r="E43" s="73"/>
      <c r="F43" s="73"/>
      <c r="G43" s="73"/>
      <c r="H43" s="73"/>
      <c r="I43" s="73"/>
      <c r="J43" s="73"/>
      <c r="K43" s="73"/>
      <c r="L43" s="73"/>
      <c r="M43" s="73"/>
      <c r="N43" s="73"/>
      <c r="O43" s="73"/>
      <c r="P43" s="73"/>
      <c r="Q43" s="73"/>
      <c r="R43" s="73"/>
      <c r="S43" s="73"/>
      <c r="T43" s="73"/>
      <c r="U43" s="73"/>
      <c r="V43" s="73"/>
      <c r="W43" s="73"/>
      <c r="X43" s="73"/>
      <c r="Y43" s="73"/>
      <c r="Z43" s="73"/>
    </row>
    <row r="44" spans="1:26" ht="15.75" customHeight="1">
      <c r="A44" s="73"/>
      <c r="B44" s="73"/>
      <c r="C44" s="127"/>
      <c r="D44" s="73"/>
      <c r="E44" s="73"/>
      <c r="F44" s="73"/>
      <c r="G44" s="73"/>
      <c r="H44" s="73"/>
      <c r="I44" s="73"/>
      <c r="J44" s="73"/>
      <c r="K44" s="73"/>
      <c r="L44" s="73"/>
      <c r="M44" s="73"/>
      <c r="N44" s="73"/>
      <c r="O44" s="73"/>
      <c r="P44" s="73"/>
      <c r="Q44" s="73"/>
      <c r="R44" s="73"/>
      <c r="S44" s="73"/>
      <c r="T44" s="73"/>
      <c r="U44" s="73"/>
      <c r="V44" s="73"/>
      <c r="W44" s="73"/>
      <c r="X44" s="73"/>
      <c r="Y44" s="73"/>
      <c r="Z44" s="73"/>
    </row>
    <row r="45" spans="1:26" ht="15.75" customHeight="1">
      <c r="A45" s="73"/>
      <c r="B45" s="73"/>
      <c r="C45" s="127"/>
      <c r="D45" s="73"/>
      <c r="E45" s="73"/>
      <c r="F45" s="73"/>
      <c r="G45" s="73"/>
      <c r="H45" s="73"/>
      <c r="I45" s="73"/>
      <c r="J45" s="73"/>
      <c r="K45" s="73"/>
      <c r="L45" s="73"/>
      <c r="M45" s="73"/>
      <c r="N45" s="73"/>
      <c r="O45" s="73"/>
      <c r="P45" s="73"/>
      <c r="Q45" s="73"/>
      <c r="R45" s="73"/>
      <c r="S45" s="73"/>
      <c r="T45" s="73"/>
      <c r="U45" s="73"/>
      <c r="V45" s="73"/>
      <c r="W45" s="73"/>
      <c r="X45" s="73"/>
      <c r="Y45" s="73"/>
      <c r="Z45" s="73"/>
    </row>
    <row r="46" spans="1:26" ht="15.75" customHeight="1">
      <c r="A46" s="73"/>
      <c r="B46" s="73"/>
      <c r="C46" s="127"/>
      <c r="D46" s="73"/>
      <c r="E46" s="73"/>
      <c r="F46" s="73"/>
      <c r="G46" s="73"/>
      <c r="H46" s="73"/>
      <c r="I46" s="73"/>
      <c r="J46" s="73"/>
      <c r="K46" s="73"/>
      <c r="L46" s="73"/>
      <c r="M46" s="73"/>
      <c r="N46" s="73"/>
      <c r="O46" s="73"/>
      <c r="P46" s="73"/>
      <c r="Q46" s="73"/>
      <c r="R46" s="73"/>
      <c r="S46" s="73"/>
      <c r="T46" s="73"/>
      <c r="U46" s="73"/>
      <c r="V46" s="73"/>
      <c r="W46" s="73"/>
      <c r="X46" s="73"/>
      <c r="Y46" s="73"/>
      <c r="Z46" s="73"/>
    </row>
    <row r="47" spans="1:26" ht="15.75" customHeight="1">
      <c r="A47" s="73"/>
      <c r="B47" s="73"/>
      <c r="C47" s="127"/>
      <c r="D47" s="73"/>
      <c r="E47" s="73"/>
      <c r="F47" s="73"/>
      <c r="G47" s="73"/>
      <c r="H47" s="73"/>
      <c r="I47" s="73"/>
      <c r="J47" s="73"/>
      <c r="K47" s="73"/>
      <c r="L47" s="73"/>
      <c r="M47" s="73"/>
      <c r="N47" s="73"/>
      <c r="O47" s="73"/>
      <c r="P47" s="73"/>
      <c r="Q47" s="73"/>
      <c r="R47" s="73"/>
      <c r="S47" s="73"/>
      <c r="T47" s="73"/>
      <c r="U47" s="73"/>
      <c r="V47" s="73"/>
      <c r="W47" s="73"/>
      <c r="X47" s="73"/>
      <c r="Y47" s="73"/>
      <c r="Z47" s="73"/>
    </row>
    <row r="48" spans="1:26" ht="15.75" customHeight="1">
      <c r="A48" s="73"/>
      <c r="B48" s="73"/>
      <c r="C48" s="127"/>
      <c r="D48" s="73"/>
      <c r="E48" s="73"/>
      <c r="F48" s="73"/>
      <c r="G48" s="73"/>
      <c r="H48" s="73"/>
      <c r="I48" s="73"/>
      <c r="J48" s="73"/>
      <c r="K48" s="73"/>
      <c r="L48" s="73"/>
      <c r="M48" s="73"/>
      <c r="N48" s="73"/>
      <c r="O48" s="73"/>
      <c r="P48" s="73"/>
      <c r="Q48" s="73"/>
      <c r="R48" s="73"/>
      <c r="S48" s="73"/>
      <c r="T48" s="73"/>
      <c r="U48" s="73"/>
      <c r="V48" s="73"/>
      <c r="W48" s="73"/>
      <c r="X48" s="73"/>
      <c r="Y48" s="73"/>
      <c r="Z48" s="73"/>
    </row>
    <row r="49" spans="1:26" ht="15.75" customHeight="1">
      <c r="A49" s="73"/>
      <c r="B49" s="73"/>
      <c r="C49" s="127"/>
      <c r="D49" s="73"/>
      <c r="E49" s="73"/>
      <c r="F49" s="73"/>
      <c r="G49" s="73"/>
      <c r="H49" s="73"/>
      <c r="I49" s="73"/>
      <c r="J49" s="73"/>
      <c r="K49" s="73"/>
      <c r="L49" s="73"/>
      <c r="M49" s="73"/>
      <c r="N49" s="73"/>
      <c r="O49" s="73"/>
      <c r="P49" s="73"/>
      <c r="Q49" s="73"/>
      <c r="R49" s="73"/>
      <c r="S49" s="73"/>
      <c r="T49" s="73"/>
      <c r="U49" s="73"/>
      <c r="V49" s="73"/>
      <c r="W49" s="73"/>
      <c r="X49" s="73"/>
      <c r="Y49" s="73"/>
      <c r="Z49" s="73"/>
    </row>
    <row r="50" spans="1:26" ht="15.75" customHeight="1">
      <c r="A50" s="73"/>
      <c r="B50" s="73"/>
      <c r="C50" s="127"/>
      <c r="D50" s="73"/>
      <c r="E50" s="73"/>
      <c r="F50" s="73"/>
      <c r="G50" s="73"/>
      <c r="H50" s="73"/>
      <c r="I50" s="73"/>
      <c r="J50" s="73"/>
      <c r="K50" s="73"/>
      <c r="L50" s="73"/>
      <c r="M50" s="73"/>
      <c r="N50" s="73"/>
      <c r="O50" s="73"/>
      <c r="P50" s="73"/>
      <c r="Q50" s="73"/>
      <c r="R50" s="73"/>
      <c r="S50" s="73"/>
      <c r="T50" s="73"/>
      <c r="U50" s="73"/>
      <c r="V50" s="73"/>
      <c r="W50" s="73"/>
      <c r="X50" s="73"/>
      <c r="Y50" s="73"/>
      <c r="Z50" s="73"/>
    </row>
    <row r="51" spans="1:26" ht="15.75" customHeight="1">
      <c r="A51" s="73"/>
      <c r="B51" s="73"/>
      <c r="C51" s="127"/>
      <c r="D51" s="73"/>
      <c r="E51" s="73"/>
      <c r="F51" s="73"/>
      <c r="G51" s="73"/>
      <c r="H51" s="73"/>
      <c r="I51" s="73"/>
      <c r="J51" s="73"/>
      <c r="K51" s="73"/>
      <c r="L51" s="73"/>
      <c r="M51" s="73"/>
      <c r="N51" s="73"/>
      <c r="O51" s="73"/>
      <c r="P51" s="73"/>
      <c r="Q51" s="73"/>
      <c r="R51" s="73"/>
      <c r="S51" s="73"/>
      <c r="T51" s="73"/>
      <c r="U51" s="73"/>
      <c r="V51" s="73"/>
      <c r="W51" s="73"/>
      <c r="X51" s="73"/>
      <c r="Y51" s="73"/>
      <c r="Z51" s="73"/>
    </row>
    <row r="52" spans="1:26" ht="15.75" customHeight="1">
      <c r="A52" s="73"/>
      <c r="B52" s="73"/>
      <c r="C52" s="127"/>
      <c r="D52" s="73"/>
      <c r="E52" s="73"/>
      <c r="F52" s="73"/>
      <c r="G52" s="73"/>
      <c r="H52" s="73"/>
      <c r="I52" s="73"/>
      <c r="J52" s="73"/>
      <c r="K52" s="73"/>
      <c r="L52" s="73"/>
      <c r="M52" s="73"/>
      <c r="N52" s="73"/>
      <c r="O52" s="73"/>
      <c r="P52" s="73"/>
      <c r="Q52" s="73"/>
      <c r="R52" s="73"/>
      <c r="S52" s="73"/>
      <c r="T52" s="73"/>
      <c r="U52" s="73"/>
      <c r="V52" s="73"/>
      <c r="W52" s="73"/>
      <c r="X52" s="73"/>
      <c r="Y52" s="73"/>
      <c r="Z52" s="73"/>
    </row>
    <row r="53" spans="1:26" ht="15.75" customHeight="1">
      <c r="A53" s="73"/>
      <c r="B53" s="73"/>
      <c r="C53" s="127"/>
      <c r="D53" s="73"/>
      <c r="E53" s="73"/>
      <c r="F53" s="73"/>
      <c r="G53" s="73"/>
      <c r="H53" s="73"/>
      <c r="I53" s="73"/>
      <c r="J53" s="73"/>
      <c r="K53" s="73"/>
      <c r="L53" s="73"/>
      <c r="M53" s="73"/>
      <c r="N53" s="73"/>
      <c r="O53" s="73"/>
      <c r="P53" s="73"/>
      <c r="Q53" s="73"/>
      <c r="R53" s="73"/>
      <c r="S53" s="73"/>
      <c r="T53" s="73"/>
      <c r="U53" s="73"/>
      <c r="V53" s="73"/>
      <c r="W53" s="73"/>
      <c r="X53" s="73"/>
      <c r="Y53" s="73"/>
      <c r="Z53" s="73"/>
    </row>
    <row r="54" spans="1:26" ht="15.75" customHeight="1">
      <c r="A54" s="73"/>
      <c r="B54" s="73"/>
      <c r="C54" s="127"/>
      <c r="D54" s="73"/>
      <c r="E54" s="73"/>
      <c r="F54" s="73"/>
      <c r="G54" s="73"/>
      <c r="H54" s="73"/>
      <c r="I54" s="73"/>
      <c r="J54" s="73"/>
      <c r="K54" s="73"/>
      <c r="L54" s="73"/>
      <c r="M54" s="73"/>
      <c r="N54" s="73"/>
      <c r="O54" s="73"/>
      <c r="P54" s="73"/>
      <c r="Q54" s="73"/>
      <c r="R54" s="73"/>
      <c r="S54" s="73"/>
      <c r="T54" s="73"/>
      <c r="U54" s="73"/>
      <c r="V54" s="73"/>
      <c r="W54" s="73"/>
      <c r="X54" s="73"/>
      <c r="Y54" s="73"/>
      <c r="Z54" s="73"/>
    </row>
    <row r="55" spans="1:26" ht="15.75" customHeight="1">
      <c r="A55" s="73"/>
      <c r="B55" s="73"/>
      <c r="C55" s="127"/>
      <c r="D55" s="73"/>
      <c r="E55" s="73"/>
      <c r="F55" s="73"/>
      <c r="G55" s="73"/>
      <c r="H55" s="73"/>
      <c r="I55" s="73"/>
      <c r="J55" s="73"/>
      <c r="K55" s="73"/>
      <c r="L55" s="73"/>
      <c r="M55" s="73"/>
      <c r="N55" s="73"/>
      <c r="O55" s="73"/>
      <c r="P55" s="73"/>
      <c r="Q55" s="73"/>
      <c r="R55" s="73"/>
      <c r="S55" s="73"/>
      <c r="T55" s="73"/>
      <c r="U55" s="73"/>
      <c r="V55" s="73"/>
      <c r="W55" s="73"/>
      <c r="X55" s="73"/>
      <c r="Y55" s="73"/>
      <c r="Z55" s="73"/>
    </row>
    <row r="56" spans="1:26" ht="15.75" customHeight="1">
      <c r="A56" s="73"/>
      <c r="B56" s="73"/>
      <c r="C56" s="127"/>
      <c r="D56" s="73"/>
      <c r="E56" s="73"/>
      <c r="F56" s="73"/>
      <c r="G56" s="73"/>
      <c r="H56" s="73"/>
      <c r="I56" s="73"/>
      <c r="J56" s="73"/>
      <c r="K56" s="73"/>
      <c r="L56" s="73"/>
      <c r="M56" s="73"/>
      <c r="N56" s="73"/>
      <c r="O56" s="73"/>
      <c r="P56" s="73"/>
      <c r="Q56" s="73"/>
      <c r="R56" s="73"/>
      <c r="S56" s="73"/>
      <c r="T56" s="73"/>
      <c r="U56" s="73"/>
      <c r="V56" s="73"/>
      <c r="W56" s="73"/>
      <c r="X56" s="73"/>
      <c r="Y56" s="73"/>
      <c r="Z56" s="73"/>
    </row>
    <row r="57" spans="1:26" ht="15.75" customHeight="1">
      <c r="A57" s="73"/>
      <c r="B57" s="73"/>
      <c r="C57" s="127"/>
      <c r="D57" s="73"/>
      <c r="E57" s="73"/>
      <c r="F57" s="73"/>
      <c r="G57" s="73"/>
      <c r="H57" s="73"/>
      <c r="I57" s="73"/>
      <c r="J57" s="73"/>
      <c r="K57" s="73"/>
      <c r="L57" s="73"/>
      <c r="M57" s="73"/>
      <c r="N57" s="73"/>
      <c r="O57" s="73"/>
      <c r="P57" s="73"/>
      <c r="Q57" s="73"/>
      <c r="R57" s="73"/>
      <c r="S57" s="73"/>
      <c r="T57" s="73"/>
      <c r="U57" s="73"/>
      <c r="V57" s="73"/>
      <c r="W57" s="73"/>
      <c r="X57" s="73"/>
      <c r="Y57" s="73"/>
      <c r="Z57" s="73"/>
    </row>
    <row r="58" spans="1:26" ht="15.75" customHeight="1">
      <c r="A58" s="73"/>
      <c r="B58" s="73"/>
      <c r="C58" s="127"/>
      <c r="D58" s="73"/>
      <c r="E58" s="73"/>
      <c r="F58" s="73"/>
      <c r="G58" s="73"/>
      <c r="H58" s="73"/>
      <c r="I58" s="73"/>
      <c r="J58" s="73"/>
      <c r="K58" s="73"/>
      <c r="L58" s="73"/>
      <c r="M58" s="73"/>
      <c r="N58" s="73"/>
      <c r="O58" s="73"/>
      <c r="P58" s="73"/>
      <c r="Q58" s="73"/>
      <c r="R58" s="73"/>
      <c r="S58" s="73"/>
      <c r="T58" s="73"/>
      <c r="U58" s="73"/>
      <c r="V58" s="73"/>
      <c r="W58" s="73"/>
      <c r="X58" s="73"/>
      <c r="Y58" s="73"/>
      <c r="Z58" s="73"/>
    </row>
    <row r="59" spans="1:26" ht="15.75" customHeight="1">
      <c r="A59" s="73"/>
      <c r="B59" s="73"/>
      <c r="C59" s="127"/>
      <c r="D59" s="73"/>
      <c r="E59" s="73"/>
      <c r="F59" s="73"/>
      <c r="G59" s="73"/>
      <c r="H59" s="73"/>
      <c r="I59" s="73"/>
      <c r="J59" s="73"/>
      <c r="K59" s="73"/>
      <c r="L59" s="73"/>
      <c r="M59" s="73"/>
      <c r="N59" s="73"/>
      <c r="O59" s="73"/>
      <c r="P59" s="73"/>
      <c r="Q59" s="73"/>
      <c r="R59" s="73"/>
      <c r="S59" s="73"/>
      <c r="T59" s="73"/>
      <c r="U59" s="73"/>
      <c r="V59" s="73"/>
      <c r="W59" s="73"/>
      <c r="X59" s="73"/>
      <c r="Y59" s="73"/>
      <c r="Z59" s="73"/>
    </row>
    <row r="60" spans="1:26" ht="15.75" customHeight="1">
      <c r="A60" s="73"/>
      <c r="B60" s="73"/>
      <c r="C60" s="127"/>
      <c r="D60" s="73"/>
      <c r="E60" s="73"/>
      <c r="F60" s="73"/>
      <c r="G60" s="73"/>
      <c r="H60" s="73"/>
      <c r="I60" s="73"/>
      <c r="J60" s="73"/>
      <c r="K60" s="73"/>
      <c r="L60" s="73"/>
      <c r="M60" s="73"/>
      <c r="N60" s="73"/>
      <c r="O60" s="73"/>
      <c r="P60" s="73"/>
      <c r="Q60" s="73"/>
      <c r="R60" s="73"/>
      <c r="S60" s="73"/>
      <c r="T60" s="73"/>
      <c r="U60" s="73"/>
      <c r="V60" s="73"/>
      <c r="W60" s="73"/>
      <c r="X60" s="73"/>
      <c r="Y60" s="73"/>
      <c r="Z60" s="73"/>
    </row>
    <row r="61" spans="1:26" ht="15.75" customHeight="1">
      <c r="A61" s="73"/>
      <c r="B61" s="73"/>
      <c r="C61" s="127"/>
      <c r="D61" s="73"/>
      <c r="E61" s="73"/>
      <c r="F61" s="73"/>
      <c r="G61" s="73"/>
      <c r="H61" s="73"/>
      <c r="I61" s="73"/>
      <c r="J61" s="73"/>
      <c r="K61" s="73"/>
      <c r="L61" s="73"/>
      <c r="M61" s="73"/>
      <c r="N61" s="73"/>
      <c r="O61" s="73"/>
      <c r="P61" s="73"/>
      <c r="Q61" s="73"/>
      <c r="R61" s="73"/>
      <c r="S61" s="73"/>
      <c r="T61" s="73"/>
      <c r="U61" s="73"/>
      <c r="V61" s="73"/>
      <c r="W61" s="73"/>
      <c r="X61" s="73"/>
      <c r="Y61" s="73"/>
      <c r="Z61" s="73"/>
    </row>
    <row r="62" spans="1:26" ht="15.75" customHeight="1">
      <c r="A62" s="73"/>
      <c r="B62" s="73"/>
      <c r="C62" s="127"/>
      <c r="D62" s="73"/>
      <c r="E62" s="73"/>
      <c r="F62" s="73"/>
      <c r="G62" s="73"/>
      <c r="H62" s="73"/>
      <c r="I62" s="73"/>
      <c r="J62" s="73"/>
      <c r="K62" s="73"/>
      <c r="L62" s="73"/>
      <c r="M62" s="73"/>
      <c r="N62" s="73"/>
      <c r="O62" s="73"/>
      <c r="P62" s="73"/>
      <c r="Q62" s="73"/>
      <c r="R62" s="73"/>
      <c r="S62" s="73"/>
      <c r="T62" s="73"/>
      <c r="U62" s="73"/>
      <c r="V62" s="73"/>
      <c r="W62" s="73"/>
      <c r="X62" s="73"/>
      <c r="Y62" s="73"/>
      <c r="Z62" s="73"/>
    </row>
    <row r="63" spans="1:26" ht="15.75" customHeight="1">
      <c r="A63" s="73"/>
      <c r="B63" s="73"/>
      <c r="C63" s="127"/>
      <c r="D63" s="73"/>
      <c r="E63" s="73"/>
      <c r="F63" s="73"/>
      <c r="G63" s="73"/>
      <c r="H63" s="73"/>
      <c r="I63" s="73"/>
      <c r="J63" s="73"/>
      <c r="K63" s="73"/>
      <c r="L63" s="73"/>
      <c r="M63" s="73"/>
      <c r="N63" s="73"/>
      <c r="O63" s="73"/>
      <c r="P63" s="73"/>
      <c r="Q63" s="73"/>
      <c r="R63" s="73"/>
      <c r="S63" s="73"/>
      <c r="T63" s="73"/>
      <c r="U63" s="73"/>
      <c r="V63" s="73"/>
      <c r="W63" s="73"/>
      <c r="X63" s="73"/>
      <c r="Y63" s="73"/>
      <c r="Z63" s="73"/>
    </row>
    <row r="64" spans="1:26" ht="15.75" customHeight="1">
      <c r="A64" s="73"/>
      <c r="B64" s="73"/>
      <c r="C64" s="127"/>
      <c r="D64" s="73"/>
      <c r="E64" s="73"/>
      <c r="F64" s="73"/>
      <c r="G64" s="73"/>
      <c r="H64" s="73"/>
      <c r="I64" s="73"/>
      <c r="J64" s="73"/>
      <c r="K64" s="73"/>
      <c r="L64" s="73"/>
      <c r="M64" s="73"/>
      <c r="N64" s="73"/>
      <c r="O64" s="73"/>
      <c r="P64" s="73"/>
      <c r="Q64" s="73"/>
      <c r="R64" s="73"/>
      <c r="S64" s="73"/>
      <c r="T64" s="73"/>
      <c r="U64" s="73"/>
      <c r="V64" s="73"/>
      <c r="W64" s="73"/>
      <c r="X64" s="73"/>
      <c r="Y64" s="73"/>
      <c r="Z64" s="73"/>
    </row>
    <row r="65" spans="1:26" ht="15.75" customHeight="1">
      <c r="A65" s="73"/>
      <c r="B65" s="73"/>
      <c r="C65" s="127"/>
      <c r="D65" s="73"/>
      <c r="E65" s="73"/>
      <c r="F65" s="73"/>
      <c r="G65" s="73"/>
      <c r="H65" s="73"/>
      <c r="I65" s="73"/>
      <c r="J65" s="73"/>
      <c r="K65" s="73"/>
      <c r="L65" s="73"/>
      <c r="M65" s="73"/>
      <c r="N65" s="73"/>
      <c r="O65" s="73"/>
      <c r="P65" s="73"/>
      <c r="Q65" s="73"/>
      <c r="R65" s="73"/>
      <c r="S65" s="73"/>
      <c r="T65" s="73"/>
      <c r="U65" s="73"/>
      <c r="V65" s="73"/>
      <c r="W65" s="73"/>
      <c r="X65" s="73"/>
      <c r="Y65" s="73"/>
      <c r="Z65" s="73"/>
    </row>
    <row r="66" spans="1:26" ht="15.75" customHeight="1">
      <c r="A66" s="73"/>
      <c r="B66" s="73"/>
      <c r="C66" s="127"/>
      <c r="D66" s="73"/>
      <c r="E66" s="73"/>
      <c r="F66" s="73"/>
      <c r="G66" s="73"/>
      <c r="H66" s="73"/>
      <c r="I66" s="73"/>
      <c r="J66" s="73"/>
      <c r="K66" s="73"/>
      <c r="L66" s="73"/>
      <c r="M66" s="73"/>
      <c r="N66" s="73"/>
      <c r="O66" s="73"/>
      <c r="P66" s="73"/>
      <c r="Q66" s="73"/>
      <c r="R66" s="73"/>
      <c r="S66" s="73"/>
      <c r="T66" s="73"/>
      <c r="U66" s="73"/>
      <c r="V66" s="73"/>
      <c r="W66" s="73"/>
      <c r="X66" s="73"/>
      <c r="Y66" s="73"/>
      <c r="Z66" s="73"/>
    </row>
    <row r="67" spans="1:26" ht="15.75" customHeight="1">
      <c r="A67" s="73"/>
      <c r="B67" s="73"/>
      <c r="C67" s="127"/>
      <c r="D67" s="73"/>
      <c r="E67" s="73"/>
      <c r="F67" s="73"/>
      <c r="G67" s="73"/>
      <c r="H67" s="73"/>
      <c r="I67" s="73"/>
      <c r="J67" s="73"/>
      <c r="K67" s="73"/>
      <c r="L67" s="73"/>
      <c r="M67" s="73"/>
      <c r="N67" s="73"/>
      <c r="O67" s="73"/>
      <c r="P67" s="73"/>
      <c r="Q67" s="73"/>
      <c r="R67" s="73"/>
      <c r="S67" s="73"/>
      <c r="T67" s="73"/>
      <c r="U67" s="73"/>
      <c r="V67" s="73"/>
      <c r="W67" s="73"/>
      <c r="X67" s="73"/>
      <c r="Y67" s="73"/>
      <c r="Z67" s="73"/>
    </row>
    <row r="68" spans="1:26" ht="15.75" customHeight="1">
      <c r="A68" s="73"/>
      <c r="B68" s="73"/>
      <c r="C68" s="127"/>
      <c r="D68" s="73"/>
      <c r="E68" s="73"/>
      <c r="F68" s="73"/>
      <c r="G68" s="73"/>
      <c r="H68" s="73"/>
      <c r="I68" s="73"/>
      <c r="J68" s="73"/>
      <c r="K68" s="73"/>
      <c r="L68" s="73"/>
      <c r="M68" s="73"/>
      <c r="N68" s="73"/>
      <c r="O68" s="73"/>
      <c r="P68" s="73"/>
      <c r="Q68" s="73"/>
      <c r="R68" s="73"/>
      <c r="S68" s="73"/>
      <c r="T68" s="73"/>
      <c r="U68" s="73"/>
      <c r="V68" s="73"/>
      <c r="W68" s="73"/>
      <c r="X68" s="73"/>
      <c r="Y68" s="73"/>
      <c r="Z68" s="73"/>
    </row>
    <row r="69" spans="1:26" ht="15.75" customHeight="1">
      <c r="A69" s="73"/>
      <c r="B69" s="73"/>
      <c r="C69" s="127"/>
      <c r="D69" s="73"/>
      <c r="E69" s="73"/>
      <c r="F69" s="73"/>
      <c r="G69" s="73"/>
      <c r="H69" s="73"/>
      <c r="I69" s="73"/>
      <c r="J69" s="73"/>
      <c r="K69" s="73"/>
      <c r="L69" s="73"/>
      <c r="M69" s="73"/>
      <c r="N69" s="73"/>
      <c r="O69" s="73"/>
      <c r="P69" s="73"/>
      <c r="Q69" s="73"/>
      <c r="R69" s="73"/>
      <c r="S69" s="73"/>
      <c r="T69" s="73"/>
      <c r="U69" s="73"/>
      <c r="V69" s="73"/>
      <c r="W69" s="73"/>
      <c r="X69" s="73"/>
      <c r="Y69" s="73"/>
      <c r="Z69" s="73"/>
    </row>
    <row r="70" spans="1:26" ht="15.75" customHeight="1">
      <c r="A70" s="73"/>
      <c r="B70" s="73"/>
      <c r="C70" s="127"/>
      <c r="D70" s="73"/>
      <c r="E70" s="73"/>
      <c r="F70" s="73"/>
      <c r="G70" s="73"/>
      <c r="H70" s="73"/>
      <c r="I70" s="73"/>
      <c r="J70" s="73"/>
      <c r="K70" s="73"/>
      <c r="L70" s="73"/>
      <c r="M70" s="73"/>
      <c r="N70" s="73"/>
      <c r="O70" s="73"/>
      <c r="P70" s="73"/>
      <c r="Q70" s="73"/>
      <c r="R70" s="73"/>
      <c r="S70" s="73"/>
      <c r="T70" s="73"/>
      <c r="U70" s="73"/>
      <c r="V70" s="73"/>
      <c r="W70" s="73"/>
      <c r="X70" s="73"/>
      <c r="Y70" s="73"/>
      <c r="Z70" s="73"/>
    </row>
    <row r="71" spans="1:26" ht="15.75" customHeight="1">
      <c r="A71" s="73"/>
      <c r="B71" s="73"/>
      <c r="C71" s="127"/>
      <c r="D71" s="73"/>
      <c r="E71" s="73"/>
      <c r="F71" s="73"/>
      <c r="G71" s="73"/>
      <c r="H71" s="73"/>
      <c r="I71" s="73"/>
      <c r="J71" s="73"/>
      <c r="K71" s="73"/>
      <c r="L71" s="73"/>
      <c r="M71" s="73"/>
      <c r="N71" s="73"/>
      <c r="O71" s="73"/>
      <c r="P71" s="73"/>
      <c r="Q71" s="73"/>
      <c r="R71" s="73"/>
      <c r="S71" s="73"/>
      <c r="T71" s="73"/>
      <c r="U71" s="73"/>
      <c r="V71" s="73"/>
      <c r="W71" s="73"/>
      <c r="X71" s="73"/>
      <c r="Y71" s="73"/>
      <c r="Z71" s="73"/>
    </row>
    <row r="72" spans="1:26" ht="15.75" customHeight="1">
      <c r="A72" s="73"/>
      <c r="B72" s="73"/>
      <c r="C72" s="127"/>
      <c r="D72" s="73"/>
      <c r="E72" s="73"/>
      <c r="F72" s="73"/>
      <c r="G72" s="73"/>
      <c r="H72" s="73"/>
      <c r="I72" s="73"/>
      <c r="J72" s="73"/>
      <c r="K72" s="73"/>
      <c r="L72" s="73"/>
      <c r="M72" s="73"/>
      <c r="N72" s="73"/>
      <c r="O72" s="73"/>
      <c r="P72" s="73"/>
      <c r="Q72" s="73"/>
      <c r="R72" s="73"/>
      <c r="S72" s="73"/>
      <c r="T72" s="73"/>
      <c r="U72" s="73"/>
      <c r="V72" s="73"/>
      <c r="W72" s="73"/>
      <c r="X72" s="73"/>
      <c r="Y72" s="73"/>
      <c r="Z72" s="73"/>
    </row>
    <row r="73" spans="1:26" ht="15.75" customHeight="1">
      <c r="A73" s="73"/>
      <c r="B73" s="73"/>
      <c r="C73" s="127"/>
      <c r="D73" s="73"/>
      <c r="E73" s="73"/>
      <c r="F73" s="73"/>
      <c r="G73" s="73"/>
      <c r="H73" s="73"/>
      <c r="I73" s="73"/>
      <c r="J73" s="73"/>
      <c r="K73" s="73"/>
      <c r="L73" s="73"/>
      <c r="M73" s="73"/>
      <c r="N73" s="73"/>
      <c r="O73" s="73"/>
      <c r="P73" s="73"/>
      <c r="Q73" s="73"/>
      <c r="R73" s="73"/>
      <c r="S73" s="73"/>
      <c r="T73" s="73"/>
      <c r="U73" s="73"/>
      <c r="V73" s="73"/>
      <c r="W73" s="73"/>
      <c r="X73" s="73"/>
      <c r="Y73" s="73"/>
      <c r="Z73" s="73"/>
    </row>
    <row r="74" spans="1:26" ht="15.75" customHeight="1">
      <c r="A74" s="73"/>
      <c r="B74" s="73"/>
      <c r="C74" s="127"/>
      <c r="D74" s="73"/>
      <c r="E74" s="73"/>
      <c r="F74" s="73"/>
      <c r="G74" s="73"/>
      <c r="H74" s="73"/>
      <c r="I74" s="73"/>
      <c r="J74" s="73"/>
      <c r="K74" s="73"/>
      <c r="L74" s="73"/>
      <c r="M74" s="73"/>
      <c r="N74" s="73"/>
      <c r="O74" s="73"/>
      <c r="P74" s="73"/>
      <c r="Q74" s="73"/>
      <c r="R74" s="73"/>
      <c r="S74" s="73"/>
      <c r="T74" s="73"/>
      <c r="U74" s="73"/>
      <c r="V74" s="73"/>
      <c r="W74" s="73"/>
      <c r="X74" s="73"/>
      <c r="Y74" s="73"/>
      <c r="Z74" s="73"/>
    </row>
    <row r="75" spans="1:26" ht="15.75" customHeight="1">
      <c r="A75" s="73"/>
      <c r="B75" s="73"/>
      <c r="C75" s="127"/>
      <c r="D75" s="73"/>
      <c r="E75" s="73"/>
      <c r="F75" s="73"/>
      <c r="G75" s="73"/>
      <c r="H75" s="73"/>
      <c r="I75" s="73"/>
      <c r="J75" s="73"/>
      <c r="K75" s="73"/>
      <c r="L75" s="73"/>
      <c r="M75" s="73"/>
      <c r="N75" s="73"/>
      <c r="O75" s="73"/>
      <c r="P75" s="73"/>
      <c r="Q75" s="73"/>
      <c r="R75" s="73"/>
      <c r="S75" s="73"/>
      <c r="T75" s="73"/>
      <c r="U75" s="73"/>
      <c r="V75" s="73"/>
      <c r="W75" s="73"/>
      <c r="X75" s="73"/>
      <c r="Y75" s="73"/>
      <c r="Z75" s="73"/>
    </row>
    <row r="76" spans="1:26" ht="15.75" customHeight="1">
      <c r="A76" s="73"/>
      <c r="B76" s="73"/>
      <c r="C76" s="127"/>
      <c r="D76" s="73"/>
      <c r="E76" s="73"/>
      <c r="F76" s="73"/>
      <c r="G76" s="73"/>
      <c r="H76" s="73"/>
      <c r="I76" s="73"/>
      <c r="J76" s="73"/>
      <c r="K76" s="73"/>
      <c r="L76" s="73"/>
      <c r="M76" s="73"/>
      <c r="N76" s="73"/>
      <c r="O76" s="73"/>
      <c r="P76" s="73"/>
      <c r="Q76" s="73"/>
      <c r="R76" s="73"/>
      <c r="S76" s="73"/>
      <c r="T76" s="73"/>
      <c r="U76" s="73"/>
      <c r="V76" s="73"/>
      <c r="W76" s="73"/>
      <c r="X76" s="73"/>
      <c r="Y76" s="73"/>
      <c r="Z76" s="73"/>
    </row>
    <row r="77" spans="1:26" ht="15.75" customHeight="1">
      <c r="A77" s="73"/>
      <c r="B77" s="73"/>
      <c r="C77" s="127"/>
      <c r="D77" s="73"/>
      <c r="E77" s="73"/>
      <c r="F77" s="73"/>
      <c r="G77" s="73"/>
      <c r="H77" s="73"/>
      <c r="I77" s="73"/>
      <c r="J77" s="73"/>
      <c r="K77" s="73"/>
      <c r="L77" s="73"/>
      <c r="M77" s="73"/>
      <c r="N77" s="73"/>
      <c r="O77" s="73"/>
      <c r="P77" s="73"/>
      <c r="Q77" s="73"/>
      <c r="R77" s="73"/>
      <c r="S77" s="73"/>
      <c r="T77" s="73"/>
      <c r="U77" s="73"/>
      <c r="V77" s="73"/>
      <c r="W77" s="73"/>
      <c r="X77" s="73"/>
      <c r="Y77" s="73"/>
      <c r="Z77" s="73"/>
    </row>
    <row r="78" spans="1:26" ht="15.75" customHeight="1">
      <c r="A78" s="73"/>
      <c r="B78" s="73"/>
      <c r="C78" s="127"/>
      <c r="D78" s="73"/>
      <c r="E78" s="73"/>
      <c r="F78" s="73"/>
      <c r="G78" s="73"/>
      <c r="H78" s="73"/>
      <c r="I78" s="73"/>
      <c r="J78" s="73"/>
      <c r="K78" s="73"/>
      <c r="L78" s="73"/>
      <c r="M78" s="73"/>
      <c r="N78" s="73"/>
      <c r="O78" s="73"/>
      <c r="P78" s="73"/>
      <c r="Q78" s="73"/>
      <c r="R78" s="73"/>
      <c r="S78" s="73"/>
      <c r="T78" s="73"/>
      <c r="U78" s="73"/>
      <c r="V78" s="73"/>
      <c r="W78" s="73"/>
      <c r="X78" s="73"/>
      <c r="Y78" s="73"/>
      <c r="Z78" s="73"/>
    </row>
    <row r="79" spans="1:26" ht="15.75" customHeight="1">
      <c r="A79" s="73"/>
      <c r="B79" s="73"/>
      <c r="C79" s="127"/>
      <c r="D79" s="73"/>
      <c r="E79" s="73"/>
      <c r="F79" s="73"/>
      <c r="G79" s="73"/>
      <c r="H79" s="73"/>
      <c r="I79" s="73"/>
      <c r="J79" s="73"/>
      <c r="K79" s="73"/>
      <c r="L79" s="73"/>
      <c r="M79" s="73"/>
      <c r="N79" s="73"/>
      <c r="O79" s="73"/>
      <c r="P79" s="73"/>
      <c r="Q79" s="73"/>
      <c r="R79" s="73"/>
      <c r="S79" s="73"/>
      <c r="T79" s="73"/>
      <c r="U79" s="73"/>
      <c r="V79" s="73"/>
      <c r="W79" s="73"/>
      <c r="X79" s="73"/>
      <c r="Y79" s="73"/>
      <c r="Z79" s="73"/>
    </row>
    <row r="80" spans="1:26" ht="15.75" customHeight="1">
      <c r="A80" s="73"/>
      <c r="B80" s="73"/>
      <c r="C80" s="127"/>
      <c r="D80" s="73"/>
      <c r="E80" s="73"/>
      <c r="F80" s="73"/>
      <c r="G80" s="73"/>
      <c r="H80" s="73"/>
      <c r="I80" s="73"/>
      <c r="J80" s="73"/>
      <c r="K80" s="73"/>
      <c r="L80" s="73"/>
      <c r="M80" s="73"/>
      <c r="N80" s="73"/>
      <c r="O80" s="73"/>
      <c r="P80" s="73"/>
      <c r="Q80" s="73"/>
      <c r="R80" s="73"/>
      <c r="S80" s="73"/>
      <c r="T80" s="73"/>
      <c r="U80" s="73"/>
      <c r="V80" s="73"/>
      <c r="W80" s="73"/>
      <c r="X80" s="73"/>
      <c r="Y80" s="73"/>
      <c r="Z80" s="73"/>
    </row>
    <row r="81" spans="1:26" ht="15.75" customHeight="1">
      <c r="A81" s="73"/>
      <c r="B81" s="73"/>
      <c r="C81" s="127"/>
      <c r="D81" s="73"/>
      <c r="E81" s="73"/>
      <c r="F81" s="73"/>
      <c r="G81" s="73"/>
      <c r="H81" s="73"/>
      <c r="I81" s="73"/>
      <c r="J81" s="73"/>
      <c r="K81" s="73"/>
      <c r="L81" s="73"/>
      <c r="M81" s="73"/>
      <c r="N81" s="73"/>
      <c r="O81" s="73"/>
      <c r="P81" s="73"/>
      <c r="Q81" s="73"/>
      <c r="R81" s="73"/>
      <c r="S81" s="73"/>
      <c r="T81" s="73"/>
      <c r="U81" s="73"/>
      <c r="V81" s="73"/>
      <c r="W81" s="73"/>
      <c r="X81" s="73"/>
      <c r="Y81" s="73"/>
      <c r="Z81" s="73"/>
    </row>
    <row r="82" spans="1:26" ht="15.75" customHeight="1">
      <c r="A82" s="73"/>
      <c r="B82" s="73"/>
      <c r="C82" s="127"/>
      <c r="D82" s="73"/>
      <c r="E82" s="73"/>
      <c r="F82" s="73"/>
      <c r="G82" s="73"/>
      <c r="H82" s="73"/>
      <c r="I82" s="73"/>
      <c r="J82" s="73"/>
      <c r="K82" s="73"/>
      <c r="L82" s="73"/>
      <c r="M82" s="73"/>
      <c r="N82" s="73"/>
      <c r="O82" s="73"/>
      <c r="P82" s="73"/>
      <c r="Q82" s="73"/>
      <c r="R82" s="73"/>
      <c r="S82" s="73"/>
      <c r="T82" s="73"/>
      <c r="U82" s="73"/>
      <c r="V82" s="73"/>
      <c r="W82" s="73"/>
      <c r="X82" s="73"/>
      <c r="Y82" s="73"/>
      <c r="Z82" s="73"/>
    </row>
    <row r="83" spans="1:26" ht="15.75" customHeight="1">
      <c r="A83" s="73"/>
      <c r="B83" s="73"/>
      <c r="C83" s="127"/>
      <c r="D83" s="73"/>
      <c r="E83" s="73"/>
      <c r="F83" s="73"/>
      <c r="G83" s="73"/>
      <c r="H83" s="73"/>
      <c r="I83" s="73"/>
      <c r="J83" s="73"/>
      <c r="K83" s="73"/>
      <c r="L83" s="73"/>
      <c r="M83" s="73"/>
      <c r="N83" s="73"/>
      <c r="O83" s="73"/>
      <c r="P83" s="73"/>
      <c r="Q83" s="73"/>
      <c r="R83" s="73"/>
      <c r="S83" s="73"/>
      <c r="T83" s="73"/>
      <c r="U83" s="73"/>
      <c r="V83" s="73"/>
      <c r="W83" s="73"/>
      <c r="X83" s="73"/>
      <c r="Y83" s="73"/>
      <c r="Z83" s="73"/>
    </row>
    <row r="84" spans="1:26" ht="15.75" customHeight="1">
      <c r="A84" s="73"/>
      <c r="B84" s="73"/>
      <c r="C84" s="127"/>
      <c r="D84" s="73"/>
      <c r="E84" s="73"/>
      <c r="F84" s="73"/>
      <c r="G84" s="73"/>
      <c r="H84" s="73"/>
      <c r="I84" s="73"/>
      <c r="J84" s="73"/>
      <c r="K84" s="73"/>
      <c r="L84" s="73"/>
      <c r="M84" s="73"/>
      <c r="N84" s="73"/>
      <c r="O84" s="73"/>
      <c r="P84" s="73"/>
      <c r="Q84" s="73"/>
      <c r="R84" s="73"/>
      <c r="S84" s="73"/>
      <c r="T84" s="73"/>
      <c r="U84" s="73"/>
      <c r="V84" s="73"/>
      <c r="W84" s="73"/>
      <c r="X84" s="73"/>
      <c r="Y84" s="73"/>
      <c r="Z84" s="73"/>
    </row>
    <row r="85" spans="1:26" ht="15.75" customHeight="1">
      <c r="A85" s="73"/>
      <c r="B85" s="73"/>
      <c r="C85" s="127"/>
      <c r="D85" s="73"/>
      <c r="E85" s="73"/>
      <c r="F85" s="73"/>
      <c r="G85" s="73"/>
      <c r="H85" s="73"/>
      <c r="I85" s="73"/>
      <c r="J85" s="73"/>
      <c r="K85" s="73"/>
      <c r="L85" s="73"/>
      <c r="M85" s="73"/>
      <c r="N85" s="73"/>
      <c r="O85" s="73"/>
      <c r="P85" s="73"/>
      <c r="Q85" s="73"/>
      <c r="R85" s="73"/>
      <c r="S85" s="73"/>
      <c r="T85" s="73"/>
      <c r="U85" s="73"/>
      <c r="V85" s="73"/>
      <c r="W85" s="73"/>
      <c r="X85" s="73"/>
      <c r="Y85" s="73"/>
      <c r="Z85" s="73"/>
    </row>
    <row r="86" spans="1:26" ht="15.75" customHeight="1">
      <c r="A86" s="73"/>
      <c r="B86" s="73"/>
      <c r="C86" s="127"/>
      <c r="D86" s="73"/>
      <c r="E86" s="73"/>
      <c r="F86" s="73"/>
      <c r="G86" s="73"/>
      <c r="H86" s="73"/>
      <c r="I86" s="73"/>
      <c r="J86" s="73"/>
      <c r="K86" s="73"/>
      <c r="L86" s="73"/>
      <c r="M86" s="73"/>
      <c r="N86" s="73"/>
      <c r="O86" s="73"/>
      <c r="P86" s="73"/>
      <c r="Q86" s="73"/>
      <c r="R86" s="73"/>
      <c r="S86" s="73"/>
      <c r="T86" s="73"/>
      <c r="U86" s="73"/>
      <c r="V86" s="73"/>
      <c r="W86" s="73"/>
      <c r="X86" s="73"/>
      <c r="Y86" s="73"/>
      <c r="Z86" s="73"/>
    </row>
    <row r="87" spans="1:26" ht="15.75" customHeight="1">
      <c r="A87" s="73"/>
      <c r="B87" s="73"/>
      <c r="C87" s="127"/>
      <c r="D87" s="73"/>
      <c r="E87" s="73"/>
      <c r="F87" s="73"/>
      <c r="G87" s="73"/>
      <c r="H87" s="73"/>
      <c r="I87" s="73"/>
      <c r="J87" s="73"/>
      <c r="K87" s="73"/>
      <c r="L87" s="73"/>
      <c r="M87" s="73"/>
      <c r="N87" s="73"/>
      <c r="O87" s="73"/>
      <c r="P87" s="73"/>
      <c r="Q87" s="73"/>
      <c r="R87" s="73"/>
      <c r="S87" s="73"/>
      <c r="T87" s="73"/>
      <c r="U87" s="73"/>
      <c r="V87" s="73"/>
      <c r="W87" s="73"/>
      <c r="X87" s="73"/>
      <c r="Y87" s="73"/>
      <c r="Z87" s="73"/>
    </row>
    <row r="88" spans="1:26" ht="15.75" customHeight="1">
      <c r="A88" s="73"/>
      <c r="B88" s="73"/>
      <c r="C88" s="127"/>
      <c r="D88" s="73"/>
      <c r="E88" s="73"/>
      <c r="F88" s="73"/>
      <c r="G88" s="73"/>
      <c r="H88" s="73"/>
      <c r="I88" s="73"/>
      <c r="J88" s="73"/>
      <c r="K88" s="73"/>
      <c r="L88" s="73"/>
      <c r="M88" s="73"/>
      <c r="N88" s="73"/>
      <c r="O88" s="73"/>
      <c r="P88" s="73"/>
      <c r="Q88" s="73"/>
      <c r="R88" s="73"/>
      <c r="S88" s="73"/>
      <c r="T88" s="73"/>
      <c r="U88" s="73"/>
      <c r="V88" s="73"/>
      <c r="W88" s="73"/>
      <c r="X88" s="73"/>
      <c r="Y88" s="73"/>
      <c r="Z88" s="73"/>
    </row>
    <row r="89" spans="1:26" ht="15.75" customHeight="1">
      <c r="A89" s="73"/>
      <c r="B89" s="73"/>
      <c r="C89" s="127"/>
      <c r="D89" s="73"/>
      <c r="E89" s="73"/>
      <c r="F89" s="73"/>
      <c r="G89" s="73"/>
      <c r="H89" s="73"/>
      <c r="I89" s="73"/>
      <c r="J89" s="73"/>
      <c r="K89" s="73"/>
      <c r="L89" s="73"/>
      <c r="M89" s="73"/>
      <c r="N89" s="73"/>
      <c r="O89" s="73"/>
      <c r="P89" s="73"/>
      <c r="Q89" s="73"/>
      <c r="R89" s="73"/>
      <c r="S89" s="73"/>
      <c r="T89" s="73"/>
      <c r="U89" s="73"/>
      <c r="V89" s="73"/>
      <c r="W89" s="73"/>
      <c r="X89" s="73"/>
      <c r="Y89" s="73"/>
      <c r="Z89" s="73"/>
    </row>
    <row r="90" spans="1:26" ht="15.75" customHeight="1">
      <c r="A90" s="73"/>
      <c r="B90" s="73"/>
      <c r="C90" s="127"/>
      <c r="D90" s="73"/>
      <c r="E90" s="73"/>
      <c r="F90" s="73"/>
      <c r="G90" s="73"/>
      <c r="H90" s="73"/>
      <c r="I90" s="73"/>
      <c r="J90" s="73"/>
      <c r="K90" s="73"/>
      <c r="L90" s="73"/>
      <c r="M90" s="73"/>
      <c r="N90" s="73"/>
      <c r="O90" s="73"/>
      <c r="P90" s="73"/>
      <c r="Q90" s="73"/>
      <c r="R90" s="73"/>
      <c r="S90" s="73"/>
      <c r="T90" s="73"/>
      <c r="U90" s="73"/>
      <c r="V90" s="73"/>
      <c r="W90" s="73"/>
      <c r="X90" s="73"/>
      <c r="Y90" s="73"/>
      <c r="Z90" s="73"/>
    </row>
    <row r="91" spans="1:26" ht="15.75" customHeight="1">
      <c r="A91" s="73"/>
      <c r="B91" s="73"/>
      <c r="C91" s="127"/>
      <c r="D91" s="73"/>
      <c r="E91" s="73"/>
      <c r="F91" s="73"/>
      <c r="G91" s="73"/>
      <c r="H91" s="73"/>
      <c r="I91" s="73"/>
      <c r="J91" s="73"/>
      <c r="K91" s="73"/>
      <c r="L91" s="73"/>
      <c r="M91" s="73"/>
      <c r="N91" s="73"/>
      <c r="O91" s="73"/>
      <c r="P91" s="73"/>
      <c r="Q91" s="73"/>
      <c r="R91" s="73"/>
      <c r="S91" s="73"/>
      <c r="T91" s="73"/>
      <c r="U91" s="73"/>
      <c r="V91" s="73"/>
      <c r="W91" s="73"/>
      <c r="X91" s="73"/>
      <c r="Y91" s="73"/>
      <c r="Z91" s="73"/>
    </row>
    <row r="92" spans="1:26" ht="15.75" customHeight="1">
      <c r="A92" s="73"/>
      <c r="B92" s="73"/>
      <c r="C92" s="127"/>
      <c r="D92" s="73"/>
      <c r="E92" s="73"/>
      <c r="F92" s="73"/>
      <c r="G92" s="73"/>
      <c r="H92" s="73"/>
      <c r="I92" s="73"/>
      <c r="J92" s="73"/>
      <c r="K92" s="73"/>
      <c r="L92" s="73"/>
      <c r="M92" s="73"/>
      <c r="N92" s="73"/>
      <c r="O92" s="73"/>
      <c r="P92" s="73"/>
      <c r="Q92" s="73"/>
      <c r="R92" s="73"/>
      <c r="S92" s="73"/>
      <c r="T92" s="73"/>
      <c r="U92" s="73"/>
      <c r="V92" s="73"/>
      <c r="W92" s="73"/>
      <c r="X92" s="73"/>
      <c r="Y92" s="73"/>
      <c r="Z92" s="73"/>
    </row>
    <row r="93" spans="1:26" ht="15.75" customHeight="1">
      <c r="A93" s="73"/>
      <c r="B93" s="73"/>
      <c r="C93" s="127"/>
      <c r="D93" s="73"/>
      <c r="E93" s="73"/>
      <c r="F93" s="73"/>
      <c r="G93" s="73"/>
      <c r="H93" s="73"/>
      <c r="I93" s="73"/>
      <c r="J93" s="73"/>
      <c r="K93" s="73"/>
      <c r="L93" s="73"/>
      <c r="M93" s="73"/>
      <c r="N93" s="73"/>
      <c r="O93" s="73"/>
      <c r="P93" s="73"/>
      <c r="Q93" s="73"/>
      <c r="R93" s="73"/>
      <c r="S93" s="73"/>
      <c r="T93" s="73"/>
      <c r="U93" s="73"/>
      <c r="V93" s="73"/>
      <c r="W93" s="73"/>
      <c r="X93" s="73"/>
      <c r="Y93" s="73"/>
      <c r="Z93" s="73"/>
    </row>
    <row r="94" spans="1:26" ht="15.75" customHeight="1">
      <c r="A94" s="73"/>
      <c r="B94" s="73"/>
      <c r="C94" s="127"/>
      <c r="D94" s="73"/>
      <c r="E94" s="73"/>
      <c r="F94" s="73"/>
      <c r="G94" s="73"/>
      <c r="H94" s="73"/>
      <c r="I94" s="73"/>
      <c r="J94" s="73"/>
      <c r="K94" s="73"/>
      <c r="L94" s="73"/>
      <c r="M94" s="73"/>
      <c r="N94" s="73"/>
      <c r="O94" s="73"/>
      <c r="P94" s="73"/>
      <c r="Q94" s="73"/>
      <c r="R94" s="73"/>
      <c r="S94" s="73"/>
      <c r="T94" s="73"/>
      <c r="U94" s="73"/>
      <c r="V94" s="73"/>
      <c r="W94" s="73"/>
      <c r="X94" s="73"/>
      <c r="Y94" s="73"/>
      <c r="Z94" s="73"/>
    </row>
    <row r="95" spans="1:26" ht="15.75" customHeight="1">
      <c r="A95" s="73"/>
      <c r="B95" s="73"/>
      <c r="C95" s="127"/>
      <c r="D95" s="73"/>
      <c r="E95" s="73"/>
      <c r="F95" s="73"/>
      <c r="G95" s="73"/>
      <c r="H95" s="73"/>
      <c r="I95" s="73"/>
      <c r="J95" s="73"/>
      <c r="K95" s="73"/>
      <c r="L95" s="73"/>
      <c r="M95" s="73"/>
      <c r="N95" s="73"/>
      <c r="O95" s="73"/>
      <c r="P95" s="73"/>
      <c r="Q95" s="73"/>
      <c r="R95" s="73"/>
      <c r="S95" s="73"/>
      <c r="T95" s="73"/>
      <c r="U95" s="73"/>
      <c r="V95" s="73"/>
      <c r="W95" s="73"/>
      <c r="X95" s="73"/>
      <c r="Y95" s="73"/>
      <c r="Z95" s="73"/>
    </row>
    <row r="96" spans="1:26" ht="15.75" customHeight="1">
      <c r="A96" s="73"/>
      <c r="B96" s="73"/>
      <c r="C96" s="127"/>
      <c r="D96" s="73"/>
      <c r="E96" s="73"/>
      <c r="F96" s="73"/>
      <c r="G96" s="73"/>
      <c r="H96" s="73"/>
      <c r="I96" s="73"/>
      <c r="J96" s="73"/>
      <c r="K96" s="73"/>
      <c r="L96" s="73"/>
      <c r="M96" s="73"/>
      <c r="N96" s="73"/>
      <c r="O96" s="73"/>
      <c r="P96" s="73"/>
      <c r="Q96" s="73"/>
      <c r="R96" s="73"/>
      <c r="S96" s="73"/>
      <c r="T96" s="73"/>
      <c r="U96" s="73"/>
      <c r="V96" s="73"/>
      <c r="W96" s="73"/>
      <c r="X96" s="73"/>
      <c r="Y96" s="73"/>
      <c r="Z96" s="73"/>
    </row>
    <row r="97" spans="1:26" ht="15.75" customHeight="1">
      <c r="A97" s="73"/>
      <c r="B97" s="73"/>
      <c r="C97" s="127"/>
      <c r="D97" s="73"/>
      <c r="E97" s="73"/>
      <c r="F97" s="73"/>
      <c r="G97" s="73"/>
      <c r="H97" s="73"/>
      <c r="I97" s="73"/>
      <c r="J97" s="73"/>
      <c r="K97" s="73"/>
      <c r="L97" s="73"/>
      <c r="M97" s="73"/>
      <c r="N97" s="73"/>
      <c r="O97" s="73"/>
      <c r="P97" s="73"/>
      <c r="Q97" s="73"/>
      <c r="R97" s="73"/>
      <c r="S97" s="73"/>
      <c r="T97" s="73"/>
      <c r="U97" s="73"/>
      <c r="V97" s="73"/>
      <c r="W97" s="73"/>
      <c r="X97" s="73"/>
      <c r="Y97" s="73"/>
      <c r="Z97" s="73"/>
    </row>
    <row r="98" spans="1:26" ht="15.75" customHeight="1">
      <c r="A98" s="73"/>
      <c r="B98" s="73"/>
      <c r="C98" s="127"/>
      <c r="D98" s="73"/>
      <c r="E98" s="73"/>
      <c r="F98" s="73"/>
      <c r="G98" s="73"/>
      <c r="H98" s="73"/>
      <c r="I98" s="73"/>
      <c r="J98" s="73"/>
      <c r="K98" s="73"/>
      <c r="L98" s="73"/>
      <c r="M98" s="73"/>
      <c r="N98" s="73"/>
      <c r="O98" s="73"/>
      <c r="P98" s="73"/>
      <c r="Q98" s="73"/>
      <c r="R98" s="73"/>
      <c r="S98" s="73"/>
      <c r="T98" s="73"/>
      <c r="U98" s="73"/>
      <c r="V98" s="73"/>
      <c r="W98" s="73"/>
      <c r="X98" s="73"/>
      <c r="Y98" s="73"/>
      <c r="Z98" s="73"/>
    </row>
    <row r="99" spans="1:26" ht="15.75" customHeight="1">
      <c r="A99" s="73"/>
      <c r="B99" s="73"/>
      <c r="C99" s="127"/>
      <c r="D99" s="73"/>
      <c r="E99" s="73"/>
      <c r="F99" s="73"/>
      <c r="G99" s="73"/>
      <c r="H99" s="73"/>
      <c r="I99" s="73"/>
      <c r="J99" s="73"/>
      <c r="K99" s="73"/>
      <c r="L99" s="73"/>
      <c r="M99" s="73"/>
      <c r="N99" s="73"/>
      <c r="O99" s="73"/>
      <c r="P99" s="73"/>
      <c r="Q99" s="73"/>
      <c r="R99" s="73"/>
      <c r="S99" s="73"/>
      <c r="T99" s="73"/>
      <c r="U99" s="73"/>
      <c r="V99" s="73"/>
      <c r="W99" s="73"/>
      <c r="X99" s="73"/>
      <c r="Y99" s="73"/>
      <c r="Z99" s="73"/>
    </row>
    <row r="100" spans="1:26" ht="15.75" customHeight="1">
      <c r="A100" s="73"/>
      <c r="B100" s="73"/>
      <c r="C100" s="127"/>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ht="15.75" customHeight="1">
      <c r="A101" s="73"/>
      <c r="B101" s="73"/>
      <c r="C101" s="127"/>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ht="15.75" customHeight="1">
      <c r="A102" s="73"/>
      <c r="B102" s="73"/>
      <c r="C102" s="127"/>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ht="15.75" customHeight="1">
      <c r="A103" s="73"/>
      <c r="B103" s="73"/>
      <c r="C103" s="127"/>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ht="15.75" customHeight="1">
      <c r="A104" s="73"/>
      <c r="B104" s="73"/>
      <c r="C104" s="127"/>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ht="15.75" customHeight="1">
      <c r="A105" s="73"/>
      <c r="B105" s="73"/>
      <c r="C105" s="127"/>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ht="15.75" customHeight="1">
      <c r="A106" s="73"/>
      <c r="B106" s="73"/>
      <c r="C106" s="127"/>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ht="15.75" customHeight="1">
      <c r="A107" s="73"/>
      <c r="B107" s="73"/>
      <c r="C107" s="127"/>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ht="15.75" customHeight="1">
      <c r="A108" s="73"/>
      <c r="B108" s="73"/>
      <c r="C108" s="127"/>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ht="15.75" customHeight="1">
      <c r="A109" s="73"/>
      <c r="B109" s="73"/>
      <c r="C109" s="127"/>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ht="15.75" customHeight="1">
      <c r="A110" s="73"/>
      <c r="B110" s="73"/>
      <c r="C110" s="127"/>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ht="15.75" customHeight="1">
      <c r="A111" s="73"/>
      <c r="B111" s="73"/>
      <c r="C111" s="127"/>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ht="15.75" customHeight="1">
      <c r="A112" s="73"/>
      <c r="B112" s="73"/>
      <c r="C112" s="127"/>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ht="15.75" customHeight="1">
      <c r="A113" s="73"/>
      <c r="B113" s="73"/>
      <c r="C113" s="127"/>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ht="15.75" customHeight="1">
      <c r="A114" s="73"/>
      <c r="B114" s="73"/>
      <c r="C114" s="127"/>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ht="15.75" customHeight="1">
      <c r="A115" s="73"/>
      <c r="B115" s="73"/>
      <c r="C115" s="127"/>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ht="15.75" customHeight="1">
      <c r="A116" s="73"/>
      <c r="B116" s="73"/>
      <c r="C116" s="127"/>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ht="15.75" customHeight="1">
      <c r="A117" s="73"/>
      <c r="B117" s="73"/>
      <c r="C117" s="127"/>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ht="15.75" customHeight="1">
      <c r="A118" s="73"/>
      <c r="B118" s="73"/>
      <c r="C118" s="127"/>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ht="15.75" customHeight="1">
      <c r="A119" s="73"/>
      <c r="B119" s="73"/>
      <c r="C119" s="127"/>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ht="15.75" customHeight="1">
      <c r="A120" s="73"/>
      <c r="B120" s="73"/>
      <c r="C120" s="127"/>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ht="15.75" customHeight="1">
      <c r="A121" s="73"/>
      <c r="B121" s="73"/>
      <c r="C121" s="127"/>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ht="15.75" customHeight="1">
      <c r="A122" s="73"/>
      <c r="B122" s="73"/>
      <c r="C122" s="127"/>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ht="15.75" customHeight="1">
      <c r="A123" s="73"/>
      <c r="B123" s="73"/>
      <c r="C123" s="127"/>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ht="15.75" customHeight="1">
      <c r="A124" s="73"/>
      <c r="B124" s="73"/>
      <c r="C124" s="127"/>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ht="15.75" customHeight="1">
      <c r="A125" s="73"/>
      <c r="B125" s="73"/>
      <c r="C125" s="127"/>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ht="15.75" customHeight="1">
      <c r="A126" s="73"/>
      <c r="B126" s="73"/>
      <c r="C126" s="127"/>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ht="15.75" customHeight="1">
      <c r="A127" s="73"/>
      <c r="B127" s="73"/>
      <c r="C127" s="127"/>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ht="15.75" customHeight="1">
      <c r="A128" s="73"/>
      <c r="B128" s="73"/>
      <c r="C128" s="127"/>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ht="15.75" customHeight="1">
      <c r="A129" s="73"/>
      <c r="B129" s="73"/>
      <c r="C129" s="127"/>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ht="15.75" customHeight="1">
      <c r="A130" s="73"/>
      <c r="B130" s="73"/>
      <c r="C130" s="127"/>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ht="15.75" customHeight="1">
      <c r="A131" s="73"/>
      <c r="B131" s="73"/>
      <c r="C131" s="127"/>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ht="15.75" customHeight="1">
      <c r="A132" s="73"/>
      <c r="B132" s="73"/>
      <c r="C132" s="127"/>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ht="15.75" customHeight="1">
      <c r="A133" s="73"/>
      <c r="B133" s="73"/>
      <c r="C133" s="127"/>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ht="15.75" customHeight="1">
      <c r="A134" s="73"/>
      <c r="B134" s="73"/>
      <c r="C134" s="127"/>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ht="15.75" customHeight="1">
      <c r="A135" s="73"/>
      <c r="B135" s="73"/>
      <c r="C135" s="127"/>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ht="15.75" customHeight="1">
      <c r="A136" s="73"/>
      <c r="B136" s="73"/>
      <c r="C136" s="127"/>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ht="15.75" customHeight="1">
      <c r="A137" s="73"/>
      <c r="B137" s="73"/>
      <c r="C137" s="127"/>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ht="15.75" customHeight="1">
      <c r="A138" s="73"/>
      <c r="B138" s="73"/>
      <c r="C138" s="127"/>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ht="15.75" customHeight="1">
      <c r="A139" s="73"/>
      <c r="B139" s="73"/>
      <c r="C139" s="127"/>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ht="15.75" customHeight="1">
      <c r="A140" s="73"/>
      <c r="B140" s="73"/>
      <c r="C140" s="127"/>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ht="15.75" customHeight="1">
      <c r="A141" s="73"/>
      <c r="B141" s="73"/>
      <c r="C141" s="127"/>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ht="15.75" customHeight="1">
      <c r="A142" s="73"/>
      <c r="B142" s="73"/>
      <c r="C142" s="127"/>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ht="15.75" customHeight="1">
      <c r="A143" s="73"/>
      <c r="B143" s="73"/>
      <c r="C143" s="127"/>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ht="15.75" customHeight="1">
      <c r="A144" s="73"/>
      <c r="B144" s="73"/>
      <c r="C144" s="127"/>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ht="15.75" customHeight="1">
      <c r="A145" s="73"/>
      <c r="B145" s="73"/>
      <c r="C145" s="127"/>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ht="15.75" customHeight="1">
      <c r="A146" s="73"/>
      <c r="B146" s="73"/>
      <c r="C146" s="127"/>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ht="15.75" customHeight="1">
      <c r="A147" s="73"/>
      <c r="B147" s="73"/>
      <c r="C147" s="127"/>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ht="15.75" customHeight="1">
      <c r="A148" s="73"/>
      <c r="B148" s="73"/>
      <c r="C148" s="127"/>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ht="15.75" customHeight="1">
      <c r="A149" s="73"/>
      <c r="B149" s="73"/>
      <c r="C149" s="127"/>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ht="15.75" customHeight="1">
      <c r="A150" s="73"/>
      <c r="B150" s="73"/>
      <c r="C150" s="127"/>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ht="15.75" customHeight="1">
      <c r="A151" s="73"/>
      <c r="B151" s="73"/>
      <c r="C151" s="127"/>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ht="15.75" customHeight="1">
      <c r="A152" s="73"/>
      <c r="B152" s="73"/>
      <c r="C152" s="127"/>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ht="15.75" customHeight="1">
      <c r="A153" s="73"/>
      <c r="B153" s="73"/>
      <c r="C153" s="127"/>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ht="15.75" customHeight="1">
      <c r="A154" s="73"/>
      <c r="B154" s="73"/>
      <c r="C154" s="127"/>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ht="15.75" customHeight="1">
      <c r="A155" s="73"/>
      <c r="B155" s="73"/>
      <c r="C155" s="127"/>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ht="15.75" customHeight="1">
      <c r="A156" s="73"/>
      <c r="B156" s="73"/>
      <c r="C156" s="127"/>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ht="15.75" customHeight="1">
      <c r="A157" s="73"/>
      <c r="B157" s="73"/>
      <c r="C157" s="127"/>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ht="15.75" customHeight="1">
      <c r="A158" s="73"/>
      <c r="B158" s="73"/>
      <c r="C158" s="127"/>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ht="15.75" customHeight="1">
      <c r="A159" s="73"/>
      <c r="B159" s="73"/>
      <c r="C159" s="127"/>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ht="15.75" customHeight="1">
      <c r="A160" s="73"/>
      <c r="B160" s="73"/>
      <c r="C160" s="127"/>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ht="15.75" customHeight="1">
      <c r="A161" s="73"/>
      <c r="B161" s="73"/>
      <c r="C161" s="127"/>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ht="15.75" customHeight="1">
      <c r="A162" s="73"/>
      <c r="B162" s="73"/>
      <c r="C162" s="127"/>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ht="15.75" customHeight="1">
      <c r="A163" s="73"/>
      <c r="B163" s="73"/>
      <c r="C163" s="127"/>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ht="15.75" customHeight="1">
      <c r="A164" s="73"/>
      <c r="B164" s="73"/>
      <c r="C164" s="127"/>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ht="15.75" customHeight="1">
      <c r="A165" s="73"/>
      <c r="B165" s="73"/>
      <c r="C165" s="127"/>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ht="15.75" customHeight="1">
      <c r="A166" s="73"/>
      <c r="B166" s="73"/>
      <c r="C166" s="127"/>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ht="15.75" customHeight="1">
      <c r="A167" s="73"/>
      <c r="B167" s="73"/>
      <c r="C167" s="127"/>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ht="15.75" customHeight="1">
      <c r="A168" s="73"/>
      <c r="B168" s="73"/>
      <c r="C168" s="127"/>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ht="15.75" customHeight="1">
      <c r="A169" s="73"/>
      <c r="B169" s="73"/>
      <c r="C169" s="127"/>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ht="15.75" customHeight="1">
      <c r="A170" s="73"/>
      <c r="B170" s="73"/>
      <c r="C170" s="127"/>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ht="15.75" customHeight="1">
      <c r="A171" s="73"/>
      <c r="B171" s="73"/>
      <c r="C171" s="127"/>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ht="15.75" customHeight="1">
      <c r="A172" s="73"/>
      <c r="B172" s="73"/>
      <c r="C172" s="127"/>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ht="15.75" customHeight="1">
      <c r="A173" s="73"/>
      <c r="B173" s="73"/>
      <c r="C173" s="127"/>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ht="15.75" customHeight="1">
      <c r="A174" s="73"/>
      <c r="B174" s="73"/>
      <c r="C174" s="127"/>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ht="15.75" customHeight="1">
      <c r="A175" s="73"/>
      <c r="B175" s="73"/>
      <c r="C175" s="127"/>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ht="15.75" customHeight="1">
      <c r="A176" s="73"/>
      <c r="B176" s="73"/>
      <c r="C176" s="127"/>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ht="15.75" customHeight="1">
      <c r="A177" s="73"/>
      <c r="B177" s="73"/>
      <c r="C177" s="127"/>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ht="15.75" customHeight="1">
      <c r="A178" s="73"/>
      <c r="B178" s="73"/>
      <c r="C178" s="127"/>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ht="15.75" customHeight="1">
      <c r="A179" s="73"/>
      <c r="B179" s="73"/>
      <c r="C179" s="127"/>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ht="15.75" customHeight="1">
      <c r="A180" s="73"/>
      <c r="B180" s="73"/>
      <c r="C180" s="127"/>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ht="15.75" customHeight="1">
      <c r="A181" s="73"/>
      <c r="B181" s="73"/>
      <c r="C181" s="127"/>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ht="15.75" customHeight="1">
      <c r="A182" s="73"/>
      <c r="B182" s="73"/>
      <c r="C182" s="127"/>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ht="15.75" customHeight="1">
      <c r="A183" s="73"/>
      <c r="B183" s="73"/>
      <c r="C183" s="127"/>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ht="15.75" customHeight="1">
      <c r="A184" s="73"/>
      <c r="B184" s="73"/>
      <c r="C184" s="127"/>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ht="15.75" customHeight="1">
      <c r="A185" s="73"/>
      <c r="B185" s="73"/>
      <c r="C185" s="127"/>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ht="15.75" customHeight="1">
      <c r="A186" s="73"/>
      <c r="B186" s="73"/>
      <c r="C186" s="127"/>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ht="15.75" customHeight="1">
      <c r="A187" s="73"/>
      <c r="B187" s="73"/>
      <c r="C187" s="127"/>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ht="15.75" customHeight="1">
      <c r="A188" s="73"/>
      <c r="B188" s="73"/>
      <c r="C188" s="127"/>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ht="15.75" customHeight="1">
      <c r="A189" s="73"/>
      <c r="B189" s="73"/>
      <c r="C189" s="127"/>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ht="15.75" customHeight="1">
      <c r="A190" s="73"/>
      <c r="B190" s="73"/>
      <c r="C190" s="127"/>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ht="15.75" customHeight="1">
      <c r="A191" s="73"/>
      <c r="B191" s="73"/>
      <c r="C191" s="127"/>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ht="15.75" customHeight="1">
      <c r="A192" s="73"/>
      <c r="B192" s="73"/>
      <c r="C192" s="127"/>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ht="15.75" customHeight="1">
      <c r="A193" s="73"/>
      <c r="B193" s="73"/>
      <c r="C193" s="127"/>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ht="15.75" customHeight="1">
      <c r="A194" s="73"/>
      <c r="B194" s="73"/>
      <c r="C194" s="127"/>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ht="15.75" customHeight="1">
      <c r="A195" s="73"/>
      <c r="B195" s="73"/>
      <c r="C195" s="127"/>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ht="15.75" customHeight="1">
      <c r="A196" s="73"/>
      <c r="B196" s="73"/>
      <c r="C196" s="127"/>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ht="15.75" customHeight="1">
      <c r="A197" s="73"/>
      <c r="B197" s="73"/>
      <c r="C197" s="127"/>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ht="15.75" customHeight="1">
      <c r="A198" s="73"/>
      <c r="B198" s="73"/>
      <c r="C198" s="127"/>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ht="15.75" customHeight="1">
      <c r="A199" s="73"/>
      <c r="B199" s="73"/>
      <c r="C199" s="127"/>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ht="15.75" customHeight="1">
      <c r="A200" s="73"/>
      <c r="B200" s="73"/>
      <c r="C200" s="127"/>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ht="15.75" customHeight="1">
      <c r="A201" s="73"/>
      <c r="B201" s="73"/>
      <c r="C201" s="127"/>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ht="15.75" customHeight="1">
      <c r="A202" s="73"/>
      <c r="B202" s="73"/>
      <c r="C202" s="127"/>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ht="15.75" customHeight="1">
      <c r="A203" s="73"/>
      <c r="B203" s="73"/>
      <c r="C203" s="127"/>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ht="15.75" customHeight="1">
      <c r="A204" s="73"/>
      <c r="B204" s="73"/>
      <c r="C204" s="127"/>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ht="15.75" customHeight="1">
      <c r="A205" s="73"/>
      <c r="B205" s="73"/>
      <c r="C205" s="127"/>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ht="15.75" customHeight="1">
      <c r="A206" s="73"/>
      <c r="B206" s="73"/>
      <c r="C206" s="127"/>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ht="15.75" customHeight="1">
      <c r="A207" s="73"/>
      <c r="B207" s="73"/>
      <c r="C207" s="127"/>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ht="15.75" customHeight="1">
      <c r="A208" s="73"/>
      <c r="B208" s="73"/>
      <c r="C208" s="127"/>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ht="15.75" customHeight="1">
      <c r="A209" s="73"/>
      <c r="B209" s="73"/>
      <c r="C209" s="127"/>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ht="15.75" customHeight="1">
      <c r="A210" s="73"/>
      <c r="B210" s="73"/>
      <c r="C210" s="127"/>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ht="15.75" customHeight="1">
      <c r="A211" s="73"/>
      <c r="B211" s="73"/>
      <c r="C211" s="127"/>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ht="15.75" customHeight="1">
      <c r="A212" s="73"/>
      <c r="B212" s="73"/>
      <c r="C212" s="127"/>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ht="15.75" customHeight="1">
      <c r="A213" s="73"/>
      <c r="B213" s="73"/>
      <c r="C213" s="127"/>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ht="15.75" customHeight="1">
      <c r="A214" s="73"/>
      <c r="B214" s="73"/>
      <c r="C214" s="127"/>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ht="15.75" customHeight="1">
      <c r="A215" s="73"/>
      <c r="B215" s="73"/>
      <c r="C215" s="127"/>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ht="15.75" customHeight="1">
      <c r="A216" s="73"/>
      <c r="B216" s="73"/>
      <c r="C216" s="127"/>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ht="15.75" customHeight="1">
      <c r="A217" s="73"/>
      <c r="B217" s="73"/>
      <c r="C217" s="127"/>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ht="15.75" customHeight="1">
      <c r="A218" s="73"/>
      <c r="B218" s="73"/>
      <c r="C218" s="127"/>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ht="15.75" customHeight="1">
      <c r="A219" s="73"/>
      <c r="B219" s="73"/>
      <c r="C219" s="127"/>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ht="15.75" customHeight="1">
      <c r="A220" s="73"/>
      <c r="B220" s="73"/>
      <c r="C220" s="127"/>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ht="15.75" customHeight="1">
      <c r="A221" s="73"/>
      <c r="B221" s="73"/>
      <c r="C221" s="127"/>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ht="15.75" customHeight="1">
      <c r="A222" s="73"/>
      <c r="B222" s="73"/>
      <c r="C222" s="127"/>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ht="15.75" customHeight="1">
      <c r="A223" s="73"/>
      <c r="B223" s="73"/>
      <c r="C223" s="127"/>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ht="15.75" customHeight="1">
      <c r="A224" s="73"/>
      <c r="B224" s="73"/>
      <c r="C224" s="127"/>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ht="15.75" customHeight="1">
      <c r="A225" s="73"/>
      <c r="B225" s="73"/>
      <c r="C225" s="127"/>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ht="15.75" customHeight="1">
      <c r="A226" s="73"/>
      <c r="B226" s="73"/>
      <c r="C226" s="127"/>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ht="15.75" customHeight="1">
      <c r="A227" s="73"/>
      <c r="B227" s="73"/>
      <c r="C227" s="127"/>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ht="15.75" customHeight="1">
      <c r="A228" s="73"/>
      <c r="B228" s="73"/>
      <c r="C228" s="127"/>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ht="15.75" customHeight="1">
      <c r="A229" s="73"/>
      <c r="B229" s="73"/>
      <c r="C229" s="127"/>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ht="15.75" customHeight="1">
      <c r="A230" s="73"/>
      <c r="B230" s="73"/>
      <c r="C230" s="127"/>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ht="15.75" customHeight="1">
      <c r="A231" s="73"/>
      <c r="B231" s="73"/>
      <c r="C231" s="127"/>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ht="15.75" customHeight="1">
      <c r="A232" s="73"/>
      <c r="B232" s="73"/>
      <c r="C232" s="127"/>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ht="15.75" customHeight="1">
      <c r="A233" s="73"/>
      <c r="B233" s="73"/>
      <c r="C233" s="127"/>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ht="15.75" customHeight="1">
      <c r="A234" s="73"/>
      <c r="B234" s="73"/>
      <c r="C234" s="127"/>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ht="15.75" customHeight="1">
      <c r="A235" s="73"/>
      <c r="B235" s="73"/>
      <c r="C235" s="127"/>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ht="15.75" customHeight="1">
      <c r="A236" s="73"/>
      <c r="B236" s="73"/>
      <c r="C236" s="127"/>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ht="15.75" customHeight="1">
      <c r="A237" s="73"/>
      <c r="B237" s="73"/>
      <c r="C237" s="127"/>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ht="15.75" customHeight="1">
      <c r="A238" s="73"/>
      <c r="B238" s="73"/>
      <c r="C238" s="127"/>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ht="15.75" customHeight="1">
      <c r="A239" s="73"/>
      <c r="B239" s="73"/>
      <c r="C239" s="127"/>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33:C33"/>
    <mergeCell ref="B35:C35"/>
    <mergeCell ref="B37:C37"/>
    <mergeCell ref="B39:C39"/>
    <mergeCell ref="B1:I1"/>
    <mergeCell ref="B31:C31"/>
    <mergeCell ref="L1:M1"/>
    <mergeCell ref="L4:M4"/>
    <mergeCell ref="L5:M5"/>
    <mergeCell ref="L10:L11"/>
    <mergeCell ref="B26:C26"/>
  </mergeCells>
  <pageMargins left="0.7" right="0.7" top="0.75" bottom="0.75" header="0" footer="0"/>
  <pageSetup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AA1000"/>
  <sheetViews>
    <sheetView workbookViewId="0"/>
  </sheetViews>
  <sheetFormatPr baseColWidth="10" defaultColWidth="14.44140625" defaultRowHeight="15" customHeight="1"/>
  <cols>
    <col min="1" max="1" width="37.88671875" customWidth="1"/>
    <col min="2" max="2" width="18.109375" customWidth="1"/>
    <col min="3" max="3" width="35.33203125" customWidth="1"/>
    <col min="4" max="4" width="39.44140625" customWidth="1"/>
    <col min="5" max="5" width="46.33203125" customWidth="1"/>
    <col min="6" max="6" width="45.6640625" customWidth="1"/>
    <col min="7" max="7" width="40.44140625" customWidth="1"/>
    <col min="8" max="8" width="36" customWidth="1"/>
    <col min="9" max="11" width="11.44140625" customWidth="1"/>
    <col min="12" max="27" width="10.6640625" customWidth="1"/>
  </cols>
  <sheetData>
    <row r="1" spans="1:27" ht="15.75" customHeight="1">
      <c r="A1" s="1" t="s">
        <v>69</v>
      </c>
      <c r="B1" s="1362">
        <v>45662</v>
      </c>
      <c r="C1" s="1363"/>
      <c r="D1" s="1363"/>
      <c r="E1" s="1363"/>
      <c r="F1" s="1363"/>
      <c r="G1" s="1363"/>
      <c r="H1" s="1368"/>
      <c r="I1" s="92"/>
      <c r="J1" s="92"/>
      <c r="K1" s="92"/>
      <c r="L1" s="92"/>
      <c r="M1" s="92"/>
      <c r="N1" s="92"/>
      <c r="O1" s="92"/>
      <c r="P1" s="92"/>
      <c r="Q1" s="92"/>
      <c r="R1" s="92"/>
      <c r="S1" s="92"/>
      <c r="T1" s="92"/>
      <c r="U1" s="92"/>
      <c r="V1" s="92"/>
      <c r="W1" s="92"/>
      <c r="X1" s="92"/>
      <c r="Y1" s="92"/>
      <c r="Z1" s="92"/>
      <c r="AA1" s="92"/>
    </row>
    <row r="2" spans="1:27" ht="15.75" customHeight="1">
      <c r="A2" s="200" t="s">
        <v>72</v>
      </c>
      <c r="B2" s="1369" t="s">
        <v>73</v>
      </c>
      <c r="C2" s="1339"/>
      <c r="D2" s="1339"/>
      <c r="E2" s="1339"/>
      <c r="F2" s="1339"/>
      <c r="G2" s="1339"/>
      <c r="H2" s="1387"/>
      <c r="I2" s="92"/>
      <c r="J2" s="92"/>
      <c r="K2" s="92"/>
      <c r="L2" s="92"/>
      <c r="M2" s="92"/>
      <c r="N2" s="92"/>
      <c r="O2" s="92"/>
      <c r="P2" s="92"/>
      <c r="Q2" s="92"/>
      <c r="R2" s="92"/>
      <c r="S2" s="92"/>
      <c r="T2" s="92"/>
      <c r="U2" s="92"/>
      <c r="V2" s="92"/>
      <c r="W2" s="92"/>
      <c r="X2" s="92"/>
      <c r="Y2" s="92"/>
      <c r="Z2" s="92"/>
      <c r="AA2" s="92"/>
    </row>
    <row r="3" spans="1:27" ht="15.75" customHeight="1">
      <c r="A3" s="200" t="s">
        <v>75</v>
      </c>
      <c r="B3" s="1375" t="s">
        <v>244</v>
      </c>
      <c r="C3" s="1339"/>
      <c r="D3" s="1339"/>
      <c r="E3" s="1340"/>
      <c r="F3" s="1375" t="s">
        <v>245</v>
      </c>
      <c r="G3" s="1339"/>
      <c r="H3" s="1387"/>
      <c r="I3" s="84"/>
      <c r="J3" s="84"/>
      <c r="K3" s="84"/>
      <c r="L3" s="92"/>
      <c r="M3" s="92"/>
      <c r="N3" s="92"/>
      <c r="O3" s="92"/>
      <c r="P3" s="92"/>
      <c r="Q3" s="92"/>
      <c r="R3" s="92"/>
      <c r="S3" s="92"/>
      <c r="T3" s="92"/>
      <c r="U3" s="92"/>
      <c r="V3" s="92"/>
      <c r="W3" s="92"/>
      <c r="X3" s="92"/>
      <c r="Y3" s="92"/>
      <c r="Z3" s="92"/>
      <c r="AA3" s="92"/>
    </row>
    <row r="4" spans="1:27" ht="15.75" customHeight="1">
      <c r="A4" s="200" t="s">
        <v>78</v>
      </c>
      <c r="B4" s="1376" t="s">
        <v>79</v>
      </c>
      <c r="C4" s="1339"/>
      <c r="D4" s="1339"/>
      <c r="E4" s="1339"/>
      <c r="F4" s="1339"/>
      <c r="G4" s="1339"/>
      <c r="H4" s="1387"/>
      <c r="I4" s="92"/>
      <c r="J4" s="92"/>
      <c r="K4" s="92"/>
      <c r="L4" s="92"/>
      <c r="M4" s="92"/>
      <c r="N4" s="92"/>
      <c r="O4" s="92"/>
      <c r="P4" s="92"/>
      <c r="Q4" s="92"/>
      <c r="R4" s="92"/>
      <c r="S4" s="92"/>
      <c r="T4" s="92"/>
      <c r="U4" s="92"/>
      <c r="V4" s="92"/>
      <c r="W4" s="92"/>
      <c r="X4" s="92"/>
      <c r="Y4" s="92"/>
      <c r="Z4" s="92"/>
      <c r="AA4" s="92"/>
    </row>
    <row r="5" spans="1:27" ht="15.75" customHeight="1">
      <c r="A5" s="200" t="s">
        <v>80</v>
      </c>
      <c r="B5" s="1355" t="s">
        <v>246</v>
      </c>
      <c r="C5" s="1339"/>
      <c r="D5" s="1339"/>
      <c r="E5" s="1339"/>
      <c r="F5" s="1339"/>
      <c r="G5" s="1339"/>
      <c r="H5" s="1387"/>
      <c r="I5" s="92"/>
      <c r="J5" s="92"/>
      <c r="K5" s="92"/>
      <c r="L5" s="92"/>
      <c r="M5" s="92"/>
      <c r="N5" s="92"/>
      <c r="O5" s="92"/>
      <c r="P5" s="92"/>
      <c r="Q5" s="92"/>
      <c r="R5" s="92"/>
      <c r="S5" s="92"/>
      <c r="T5" s="92"/>
      <c r="U5" s="92"/>
      <c r="V5" s="92"/>
      <c r="W5" s="92"/>
      <c r="X5" s="92"/>
      <c r="Y5" s="92"/>
      <c r="Z5" s="92"/>
      <c r="AA5" s="92"/>
    </row>
    <row r="6" spans="1:27" ht="15.75" customHeight="1">
      <c r="A6" s="200" t="s">
        <v>82</v>
      </c>
      <c r="B6" s="1369" t="s">
        <v>83</v>
      </c>
      <c r="C6" s="1339"/>
      <c r="D6" s="1339"/>
      <c r="E6" s="1339"/>
      <c r="F6" s="1339"/>
      <c r="G6" s="1339"/>
      <c r="H6" s="1387"/>
      <c r="I6" s="95"/>
      <c r="J6" s="95"/>
      <c r="K6" s="95"/>
      <c r="L6" s="95"/>
      <c r="M6" s="95"/>
      <c r="N6" s="95"/>
      <c r="O6" s="95"/>
      <c r="P6" s="95"/>
      <c r="Q6" s="95"/>
      <c r="R6" s="95"/>
      <c r="S6" s="95"/>
      <c r="T6" s="95"/>
      <c r="U6" s="95"/>
      <c r="V6" s="95"/>
      <c r="W6" s="95"/>
      <c r="X6" s="95"/>
      <c r="Y6" s="95"/>
      <c r="Z6" s="95"/>
      <c r="AA6" s="95"/>
    </row>
    <row r="7" spans="1:27" ht="15.75" customHeight="1">
      <c r="A7" s="201" t="s">
        <v>84</v>
      </c>
      <c r="B7" s="1388" t="s">
        <v>85</v>
      </c>
      <c r="C7" s="1389"/>
      <c r="D7" s="1389"/>
      <c r="E7" s="1389"/>
      <c r="F7" s="1389"/>
      <c r="G7" s="1389"/>
      <c r="H7" s="1390"/>
      <c r="I7" s="92"/>
      <c r="J7" s="92"/>
      <c r="K7" s="92"/>
      <c r="L7" s="92"/>
      <c r="M7" s="92"/>
      <c r="N7" s="92"/>
      <c r="O7" s="92"/>
      <c r="P7" s="92"/>
      <c r="Q7" s="92"/>
      <c r="R7" s="92"/>
      <c r="S7" s="92"/>
      <c r="T7" s="92"/>
      <c r="U7" s="92"/>
      <c r="V7" s="92"/>
      <c r="W7" s="92"/>
      <c r="X7" s="92"/>
      <c r="Y7" s="92"/>
      <c r="Z7" s="92"/>
      <c r="AA7" s="92"/>
    </row>
    <row r="8" spans="1:27" ht="15.75" customHeight="1">
      <c r="A8" s="202" t="s">
        <v>204</v>
      </c>
      <c r="B8" s="203" t="s">
        <v>247</v>
      </c>
      <c r="C8" s="204" t="s">
        <v>248</v>
      </c>
      <c r="D8" s="204" t="s">
        <v>249</v>
      </c>
      <c r="E8" s="205" t="s">
        <v>250</v>
      </c>
      <c r="F8" s="206" t="s">
        <v>251</v>
      </c>
      <c r="G8" s="207" t="s">
        <v>252</v>
      </c>
      <c r="H8" s="208"/>
      <c r="I8" s="209"/>
      <c r="J8" s="209"/>
      <c r="K8" s="209"/>
      <c r="L8" s="209"/>
      <c r="M8" s="209"/>
      <c r="N8" s="209"/>
      <c r="O8" s="209"/>
      <c r="P8" s="209"/>
      <c r="Q8" s="209"/>
      <c r="R8" s="209"/>
      <c r="S8" s="209"/>
      <c r="T8" s="209"/>
      <c r="U8" s="209"/>
      <c r="V8" s="209"/>
      <c r="W8" s="209"/>
      <c r="X8" s="209"/>
      <c r="Y8" s="209"/>
      <c r="Z8" s="209"/>
      <c r="AA8" s="209"/>
    </row>
    <row r="9" spans="1:27" ht="15.75" hidden="1" customHeight="1">
      <c r="A9" s="210" t="s">
        <v>106</v>
      </c>
      <c r="B9" s="211">
        <v>54</v>
      </c>
      <c r="C9" s="212">
        <v>0.17430000000000001</v>
      </c>
      <c r="D9" s="212">
        <v>-1.6199999999999999E-2</v>
      </c>
      <c r="E9" s="212">
        <v>9.0300000000000005E-2</v>
      </c>
      <c r="F9" s="213">
        <v>7.2900000000000006E-2</v>
      </c>
      <c r="G9" s="214">
        <v>0.2298</v>
      </c>
      <c r="H9" s="215"/>
      <c r="I9" s="92"/>
      <c r="J9" s="92"/>
      <c r="K9" s="92"/>
      <c r="L9" s="92"/>
      <c r="M9" s="92"/>
      <c r="N9" s="92"/>
      <c r="O9" s="92"/>
      <c r="P9" s="92"/>
      <c r="Q9" s="92"/>
      <c r="R9" s="92"/>
      <c r="S9" s="92"/>
      <c r="T9" s="92"/>
      <c r="U9" s="92"/>
      <c r="V9" s="92"/>
      <c r="W9" s="92"/>
      <c r="X9" s="92"/>
      <c r="Y9" s="92"/>
      <c r="Z9" s="92"/>
      <c r="AA9" s="92"/>
    </row>
    <row r="10" spans="1:27" ht="15.75" hidden="1" customHeight="1">
      <c r="A10" s="216" t="s">
        <v>107</v>
      </c>
      <c r="B10" s="217">
        <v>67</v>
      </c>
      <c r="C10" s="218">
        <v>3.49E-2</v>
      </c>
      <c r="D10" s="218">
        <v>8.2100000000000006E-2</v>
      </c>
      <c r="E10" s="218">
        <v>0.11700000000000001</v>
      </c>
      <c r="F10" s="219">
        <v>0.1244</v>
      </c>
      <c r="G10" s="220">
        <v>0.19020000000000001</v>
      </c>
      <c r="H10" s="215"/>
      <c r="I10" s="92"/>
      <c r="J10" s="92"/>
      <c r="K10" s="92"/>
      <c r="L10" s="92"/>
      <c r="M10" s="92"/>
      <c r="N10" s="92"/>
      <c r="O10" s="92"/>
      <c r="P10" s="92"/>
      <c r="Q10" s="92"/>
      <c r="R10" s="92"/>
      <c r="S10" s="92"/>
      <c r="T10" s="92"/>
      <c r="U10" s="92"/>
      <c r="V10" s="92"/>
      <c r="W10" s="92"/>
      <c r="X10" s="92"/>
      <c r="Y10" s="92"/>
      <c r="Z10" s="92"/>
      <c r="AA10" s="92"/>
    </row>
    <row r="11" spans="1:27" ht="15.75" hidden="1" customHeight="1">
      <c r="A11" s="210" t="s">
        <v>108</v>
      </c>
      <c r="B11" s="211">
        <v>24</v>
      </c>
      <c r="C11" s="212">
        <v>-3.5900000000000001E-2</v>
      </c>
      <c r="D11" s="212">
        <v>2.64E-2</v>
      </c>
      <c r="E11" s="212">
        <v>0.38290000000000002</v>
      </c>
      <c r="F11" s="213">
        <v>0.53100000000000003</v>
      </c>
      <c r="G11" s="214">
        <v>0.35249999999999998</v>
      </c>
      <c r="H11" s="215"/>
      <c r="I11" s="92"/>
      <c r="J11" s="92"/>
      <c r="K11" s="92"/>
      <c r="L11" s="92"/>
      <c r="M11" s="92"/>
      <c r="N11" s="92"/>
      <c r="O11" s="92"/>
      <c r="P11" s="92"/>
      <c r="Q11" s="92"/>
      <c r="R11" s="92"/>
      <c r="S11" s="92"/>
      <c r="T11" s="92"/>
      <c r="U11" s="92"/>
      <c r="V11" s="92"/>
      <c r="W11" s="92"/>
      <c r="X11" s="92"/>
      <c r="Y11" s="92"/>
      <c r="Z11" s="92"/>
      <c r="AA11" s="92"/>
    </row>
    <row r="12" spans="1:27" ht="15.75" hidden="1" customHeight="1">
      <c r="A12" s="216" t="s">
        <v>109</v>
      </c>
      <c r="B12" s="217">
        <v>37</v>
      </c>
      <c r="C12" s="218">
        <v>-3.5900000000000001E-2</v>
      </c>
      <c r="D12" s="218">
        <v>6.9699999999999998E-2</v>
      </c>
      <c r="E12" s="218">
        <v>1.9E-3</v>
      </c>
      <c r="F12" s="219">
        <v>2.3199999999999998E-2</v>
      </c>
      <c r="G12" s="220">
        <v>5.9499999999999997E-2</v>
      </c>
      <c r="H12" s="215"/>
      <c r="I12" s="92"/>
      <c r="J12" s="92"/>
      <c r="K12" s="92"/>
      <c r="L12" s="92"/>
      <c r="M12" s="92"/>
      <c r="N12" s="92"/>
      <c r="O12" s="92"/>
      <c r="P12" s="92"/>
      <c r="Q12" s="92"/>
      <c r="R12" s="92"/>
      <c r="S12" s="92"/>
      <c r="T12" s="92"/>
      <c r="U12" s="92"/>
      <c r="V12" s="92"/>
      <c r="W12" s="92"/>
      <c r="X12" s="92"/>
      <c r="Y12" s="92"/>
      <c r="Z12" s="92"/>
      <c r="AA12" s="92"/>
    </row>
    <row r="13" spans="1:27" ht="15.75" hidden="1" customHeight="1">
      <c r="A13" s="210" t="s">
        <v>110</v>
      </c>
      <c r="B13" s="211">
        <v>34</v>
      </c>
      <c r="C13" s="212">
        <v>8.3699999999999997E-2</v>
      </c>
      <c r="D13" s="212">
        <v>0.109</v>
      </c>
      <c r="E13" s="212">
        <v>0.96679999999999999</v>
      </c>
      <c r="F13" s="213">
        <v>0.35189999999999999</v>
      </c>
      <c r="G13" s="214">
        <v>0.1041</v>
      </c>
      <c r="H13" s="215"/>
      <c r="I13" s="92"/>
      <c r="J13" s="92"/>
      <c r="K13" s="92"/>
      <c r="L13" s="92"/>
      <c r="M13" s="92"/>
      <c r="N13" s="92"/>
      <c r="O13" s="92"/>
      <c r="P13" s="92"/>
      <c r="Q13" s="92"/>
      <c r="R13" s="92"/>
      <c r="S13" s="92"/>
      <c r="T13" s="92"/>
      <c r="U13" s="92"/>
      <c r="V13" s="92"/>
      <c r="W13" s="92"/>
      <c r="X13" s="92"/>
      <c r="Y13" s="92"/>
      <c r="Z13" s="92"/>
      <c r="AA13" s="92"/>
    </row>
    <row r="14" spans="1:27" ht="15.75" hidden="1" customHeight="1">
      <c r="A14" s="216" t="s">
        <v>111</v>
      </c>
      <c r="B14" s="217">
        <v>33</v>
      </c>
      <c r="C14" s="218">
        <v>5.16E-2</v>
      </c>
      <c r="D14" s="218">
        <v>6.4899999999999999E-2</v>
      </c>
      <c r="E14" s="218">
        <v>0.1772</v>
      </c>
      <c r="F14" s="219">
        <v>8.0100000000000005E-2</v>
      </c>
      <c r="G14" s="220">
        <v>0.15290000000000001</v>
      </c>
      <c r="H14" s="215"/>
      <c r="I14" s="92"/>
      <c r="J14" s="92"/>
      <c r="K14" s="92"/>
      <c r="L14" s="92"/>
      <c r="M14" s="92"/>
      <c r="N14" s="92"/>
      <c r="O14" s="92"/>
      <c r="P14" s="92"/>
      <c r="Q14" s="92"/>
      <c r="R14" s="92"/>
      <c r="S14" s="92"/>
      <c r="T14" s="92"/>
      <c r="U14" s="92"/>
      <c r="V14" s="92"/>
      <c r="W14" s="92"/>
      <c r="X14" s="92"/>
      <c r="Y14" s="92"/>
      <c r="Z14" s="92"/>
      <c r="AA14" s="92"/>
    </row>
    <row r="15" spans="1:27" ht="15.75" hidden="1" customHeight="1">
      <c r="A15" s="210" t="s">
        <v>112</v>
      </c>
      <c r="B15" s="211">
        <v>15</v>
      </c>
      <c r="C15" s="212">
        <v>-4.36E-2</v>
      </c>
      <c r="D15" s="212">
        <v>0.06</v>
      </c>
      <c r="E15" s="212">
        <v>2.1100000000000001E-2</v>
      </c>
      <c r="F15" s="213">
        <v>4.2099999999999999E-2</v>
      </c>
      <c r="G15" s="214">
        <v>0.1192</v>
      </c>
      <c r="H15" s="215"/>
      <c r="I15" s="92"/>
      <c r="J15" s="92"/>
      <c r="K15" s="92"/>
      <c r="L15" s="92"/>
      <c r="M15" s="92"/>
      <c r="N15" s="92"/>
      <c r="O15" s="92"/>
      <c r="P15" s="92"/>
      <c r="Q15" s="92"/>
      <c r="R15" s="92"/>
      <c r="S15" s="92"/>
      <c r="T15" s="92"/>
      <c r="U15" s="92"/>
      <c r="V15" s="92"/>
      <c r="W15" s="92"/>
      <c r="X15" s="92"/>
      <c r="Y15" s="92"/>
      <c r="Z15" s="92"/>
      <c r="AA15" s="92"/>
    </row>
    <row r="16" spans="1:27" ht="15.75" hidden="1" customHeight="1">
      <c r="A16" s="216" t="s">
        <v>114</v>
      </c>
      <c r="B16" s="217">
        <v>591</v>
      </c>
      <c r="C16" s="218">
        <v>4.5999999999999999E-2</v>
      </c>
      <c r="D16" s="218">
        <v>6.54E-2</v>
      </c>
      <c r="E16" s="218">
        <v>7.0400000000000004E-2</v>
      </c>
      <c r="F16" s="219">
        <v>5.0700000000000002E-2</v>
      </c>
      <c r="G16" s="220">
        <v>6.5000000000000002E-2</v>
      </c>
      <c r="H16" s="215"/>
      <c r="I16" s="92"/>
      <c r="J16" s="92"/>
      <c r="K16" s="92"/>
      <c r="L16" s="92"/>
      <c r="M16" s="92"/>
      <c r="N16" s="92"/>
      <c r="O16" s="92"/>
      <c r="P16" s="92"/>
      <c r="Q16" s="92"/>
      <c r="R16" s="92"/>
      <c r="S16" s="92"/>
      <c r="T16" s="92"/>
      <c r="U16" s="92"/>
      <c r="V16" s="92"/>
      <c r="W16" s="92"/>
      <c r="X16" s="92"/>
      <c r="Y16" s="92"/>
      <c r="Z16" s="92"/>
      <c r="AA16" s="92"/>
    </row>
    <row r="17" spans="1:27" ht="15.75" hidden="1" customHeight="1">
      <c r="A17" s="210" t="s">
        <v>115</v>
      </c>
      <c r="B17" s="211">
        <v>18</v>
      </c>
      <c r="C17" s="212">
        <v>0.1144</v>
      </c>
      <c r="D17" s="212">
        <v>5.0900000000000001E-2</v>
      </c>
      <c r="E17" s="212">
        <v>-2.4400000000000002E-2</v>
      </c>
      <c r="F17" s="213">
        <v>2.7400000000000001E-2</v>
      </c>
      <c r="G17" s="214">
        <v>0.11169999999999999</v>
      </c>
      <c r="H17" s="215"/>
      <c r="I17" s="92"/>
      <c r="J17" s="92"/>
      <c r="K17" s="92"/>
      <c r="L17" s="92"/>
      <c r="M17" s="92"/>
      <c r="N17" s="92"/>
      <c r="O17" s="92"/>
      <c r="P17" s="92"/>
      <c r="Q17" s="92"/>
      <c r="R17" s="92"/>
      <c r="S17" s="92"/>
      <c r="T17" s="92"/>
      <c r="U17" s="92"/>
      <c r="V17" s="92"/>
      <c r="W17" s="92"/>
      <c r="X17" s="92"/>
      <c r="Y17" s="92"/>
      <c r="Z17" s="92"/>
      <c r="AA17" s="92"/>
    </row>
    <row r="18" spans="1:27" ht="15.75" hidden="1" customHeight="1">
      <c r="A18" s="216" t="s">
        <v>116</v>
      </c>
      <c r="B18" s="217">
        <v>29</v>
      </c>
      <c r="C18" s="218">
        <v>0.19500000000000001</v>
      </c>
      <c r="D18" s="218">
        <v>0.16750000000000001</v>
      </c>
      <c r="E18" s="218">
        <v>3.78E-2</v>
      </c>
      <c r="F18" s="219">
        <v>7.2099999999999997E-2</v>
      </c>
      <c r="G18" s="220">
        <v>0.11260000000000001</v>
      </c>
      <c r="H18" s="215"/>
      <c r="I18" s="92"/>
      <c r="J18" s="92"/>
      <c r="K18" s="92"/>
      <c r="L18" s="92"/>
      <c r="M18" s="92"/>
      <c r="N18" s="92"/>
      <c r="O18" s="92"/>
      <c r="P18" s="92"/>
      <c r="Q18" s="92"/>
      <c r="R18" s="92"/>
      <c r="S18" s="92"/>
      <c r="T18" s="92"/>
      <c r="U18" s="92"/>
      <c r="V18" s="92"/>
      <c r="W18" s="92"/>
      <c r="X18" s="92"/>
      <c r="Y18" s="92"/>
      <c r="Z18" s="92"/>
      <c r="AA18" s="92"/>
    </row>
    <row r="19" spans="1:27" ht="15.75" hidden="1" customHeight="1">
      <c r="A19" s="210" t="s">
        <v>117</v>
      </c>
      <c r="B19" s="211">
        <v>22</v>
      </c>
      <c r="C19" s="212">
        <v>-9.8799999999999999E-2</v>
      </c>
      <c r="D19" s="212">
        <v>1.89E-2</v>
      </c>
      <c r="E19" s="212">
        <v>-4.5999999999999999E-3</v>
      </c>
      <c r="F19" s="213">
        <v>-2.9999999999999997E-4</v>
      </c>
      <c r="G19" s="214">
        <v>1.9249000000000001</v>
      </c>
      <c r="H19" s="215"/>
      <c r="I19" s="92"/>
      <c r="J19" s="92"/>
      <c r="K19" s="92"/>
      <c r="L19" s="92"/>
      <c r="M19" s="92"/>
      <c r="N19" s="92"/>
      <c r="O19" s="92"/>
      <c r="P19" s="92"/>
      <c r="Q19" s="92"/>
      <c r="R19" s="92"/>
      <c r="S19" s="92"/>
      <c r="T19" s="92"/>
      <c r="U19" s="92"/>
      <c r="V19" s="92"/>
      <c r="W19" s="92"/>
      <c r="X19" s="92"/>
      <c r="Y19" s="92"/>
      <c r="Z19" s="92"/>
      <c r="AA19" s="92"/>
    </row>
    <row r="20" spans="1:27" ht="15.75" hidden="1" customHeight="1">
      <c r="A20" s="216" t="s">
        <v>118</v>
      </c>
      <c r="B20" s="217">
        <v>30</v>
      </c>
      <c r="C20" s="218">
        <v>0.1263</v>
      </c>
      <c r="D20" s="218">
        <v>0.22189999999999999</v>
      </c>
      <c r="E20" s="218">
        <v>0.16120000000000001</v>
      </c>
      <c r="F20" s="219">
        <v>7.0999999999999994E-2</v>
      </c>
      <c r="G20" s="220">
        <v>0.1537</v>
      </c>
      <c r="H20" s="215"/>
      <c r="I20" s="92"/>
      <c r="J20" s="92"/>
      <c r="K20" s="92"/>
      <c r="L20" s="92"/>
      <c r="M20" s="92"/>
      <c r="N20" s="92"/>
      <c r="O20" s="92"/>
      <c r="P20" s="92"/>
      <c r="Q20" s="92"/>
      <c r="R20" s="92"/>
      <c r="S20" s="92"/>
      <c r="T20" s="92"/>
      <c r="U20" s="92"/>
      <c r="V20" s="92"/>
      <c r="W20" s="92"/>
      <c r="X20" s="92"/>
      <c r="Y20" s="92"/>
      <c r="Z20" s="92"/>
      <c r="AA20" s="92"/>
    </row>
    <row r="21" spans="1:27" ht="15.75" hidden="1" customHeight="1">
      <c r="A21" s="210" t="s">
        <v>119</v>
      </c>
      <c r="B21" s="211">
        <v>39</v>
      </c>
      <c r="C21" s="212">
        <v>0.17080000000000001</v>
      </c>
      <c r="D21" s="212">
        <v>4.0599999999999997E-2</v>
      </c>
      <c r="E21" s="212">
        <v>4.4600000000000001E-2</v>
      </c>
      <c r="F21" s="213">
        <v>4.6100000000000002E-2</v>
      </c>
      <c r="G21" s="214">
        <v>0.1154</v>
      </c>
      <c r="H21" s="215"/>
      <c r="I21" s="92"/>
      <c r="J21" s="92"/>
      <c r="K21" s="92"/>
      <c r="L21" s="92"/>
      <c r="M21" s="92"/>
      <c r="N21" s="92"/>
      <c r="O21" s="92"/>
      <c r="P21" s="92"/>
      <c r="Q21" s="92"/>
      <c r="R21" s="92"/>
      <c r="S21" s="92"/>
      <c r="T21" s="92"/>
      <c r="U21" s="92"/>
      <c r="V21" s="92"/>
      <c r="W21" s="92"/>
      <c r="X21" s="92"/>
      <c r="Y21" s="92"/>
      <c r="Z21" s="92"/>
      <c r="AA21" s="92"/>
    </row>
    <row r="22" spans="1:27" ht="15.75" hidden="1" customHeight="1">
      <c r="A22" s="216" t="s">
        <v>120</v>
      </c>
      <c r="B22" s="217">
        <v>152</v>
      </c>
      <c r="C22" s="218">
        <v>5.5800000000000002E-2</v>
      </c>
      <c r="D22" s="218">
        <v>5.2400000000000002E-2</v>
      </c>
      <c r="E22" s="218">
        <v>5.3800000000000001E-2</v>
      </c>
      <c r="F22" s="219">
        <v>7.2800000000000004E-2</v>
      </c>
      <c r="G22" s="220">
        <v>0.13830000000000001</v>
      </c>
      <c r="H22" s="215"/>
      <c r="I22" s="92"/>
      <c r="J22" s="92"/>
      <c r="K22" s="92"/>
      <c r="L22" s="92"/>
      <c r="M22" s="92"/>
      <c r="N22" s="92"/>
      <c r="O22" s="92"/>
      <c r="P22" s="92"/>
      <c r="Q22" s="92"/>
      <c r="R22" s="92"/>
      <c r="S22" s="92"/>
      <c r="T22" s="92"/>
      <c r="U22" s="92"/>
      <c r="V22" s="92"/>
      <c r="W22" s="92"/>
      <c r="X22" s="92"/>
      <c r="Y22" s="92"/>
      <c r="Z22" s="92"/>
      <c r="AA22" s="92"/>
    </row>
    <row r="23" spans="1:27" ht="15.75" hidden="1" customHeight="1">
      <c r="A23" s="210" t="s">
        <v>121</v>
      </c>
      <c r="B23" s="211">
        <v>9</v>
      </c>
      <c r="C23" s="212">
        <v>0.30199999999999999</v>
      </c>
      <c r="D23" s="212">
        <v>0.24149999999999999</v>
      </c>
      <c r="E23" s="212">
        <v>-2.3599999999999999E-2</v>
      </c>
      <c r="F23" s="213">
        <v>-1.34E-2</v>
      </c>
      <c r="G23" s="214">
        <v>1.5E-3</v>
      </c>
      <c r="H23" s="215"/>
      <c r="I23" s="92"/>
      <c r="J23" s="92"/>
      <c r="K23" s="92"/>
      <c r="L23" s="92"/>
      <c r="M23" s="92"/>
      <c r="N23" s="92"/>
      <c r="O23" s="92"/>
      <c r="P23" s="92"/>
      <c r="Q23" s="92"/>
      <c r="R23" s="92"/>
      <c r="S23" s="92"/>
      <c r="T23" s="92"/>
      <c r="U23" s="92"/>
      <c r="V23" s="92"/>
      <c r="W23" s="92"/>
      <c r="X23" s="92"/>
      <c r="Y23" s="92"/>
      <c r="Z23" s="92"/>
      <c r="AA23" s="92"/>
    </row>
    <row r="24" spans="1:27" ht="15.75" hidden="1" customHeight="1">
      <c r="A24" s="216" t="s">
        <v>122</v>
      </c>
      <c r="B24" s="217">
        <v>31</v>
      </c>
      <c r="C24" s="218">
        <v>2.53E-2</v>
      </c>
      <c r="D24" s="218">
        <v>8.6699999999999999E-2</v>
      </c>
      <c r="E24" s="218">
        <v>4.0800000000000003E-2</v>
      </c>
      <c r="F24" s="219">
        <v>2.3E-3</v>
      </c>
      <c r="G24" s="220">
        <v>7.6200000000000004E-2</v>
      </c>
      <c r="H24" s="215"/>
      <c r="I24" s="92"/>
      <c r="J24" s="92"/>
      <c r="K24" s="92"/>
      <c r="L24" s="92"/>
      <c r="M24" s="92"/>
      <c r="N24" s="92"/>
      <c r="O24" s="92"/>
      <c r="P24" s="92"/>
      <c r="Q24" s="92"/>
      <c r="R24" s="92"/>
      <c r="S24" s="92"/>
      <c r="T24" s="92"/>
      <c r="U24" s="92"/>
      <c r="V24" s="92"/>
      <c r="W24" s="92"/>
      <c r="X24" s="92"/>
      <c r="Y24" s="92"/>
      <c r="Z24" s="92"/>
      <c r="AA24" s="92"/>
    </row>
    <row r="25" spans="1:27" ht="15.75" hidden="1" customHeight="1">
      <c r="A25" s="216" t="s">
        <v>123</v>
      </c>
      <c r="B25" s="211">
        <v>4</v>
      </c>
      <c r="C25" s="212">
        <v>-0.28499999999999998</v>
      </c>
      <c r="D25" s="212">
        <v>1.67E-2</v>
      </c>
      <c r="E25" s="212">
        <v>-8.5000000000000006E-3</v>
      </c>
      <c r="F25" s="221" t="s">
        <v>253</v>
      </c>
      <c r="G25" s="214">
        <v>0.39100000000000001</v>
      </c>
      <c r="H25" s="215"/>
      <c r="I25" s="92"/>
      <c r="J25" s="92"/>
      <c r="K25" s="92"/>
      <c r="L25" s="92"/>
      <c r="M25" s="92"/>
      <c r="N25" s="92"/>
      <c r="O25" s="92"/>
      <c r="P25" s="92"/>
      <c r="Q25" s="92"/>
      <c r="R25" s="92"/>
      <c r="S25" s="92"/>
      <c r="T25" s="92"/>
      <c r="U25" s="92"/>
      <c r="V25" s="92"/>
      <c r="W25" s="92"/>
      <c r="X25" s="92"/>
      <c r="Y25" s="92"/>
      <c r="Z25" s="92"/>
      <c r="AA25" s="92"/>
    </row>
    <row r="26" spans="1:27" ht="16.5" hidden="1" customHeight="1">
      <c r="A26" s="222" t="s">
        <v>124</v>
      </c>
      <c r="B26" s="217">
        <v>60</v>
      </c>
      <c r="C26" s="218">
        <v>6.3700000000000007E-2</v>
      </c>
      <c r="D26" s="218">
        <v>9.1899999999999996E-2</v>
      </c>
      <c r="E26" s="218">
        <v>0.188</v>
      </c>
      <c r="F26" s="219">
        <v>0.13519999999999999</v>
      </c>
      <c r="G26" s="220">
        <v>0.1042</v>
      </c>
      <c r="H26" s="215"/>
      <c r="I26" s="92"/>
      <c r="J26" s="92"/>
      <c r="K26" s="92"/>
      <c r="L26" s="92"/>
      <c r="M26" s="92"/>
      <c r="N26" s="92"/>
      <c r="O26" s="92"/>
      <c r="P26" s="92"/>
      <c r="Q26" s="92"/>
      <c r="R26" s="92"/>
      <c r="S26" s="92"/>
      <c r="T26" s="92"/>
      <c r="U26" s="92"/>
      <c r="V26" s="92"/>
      <c r="W26" s="92"/>
      <c r="X26" s="92"/>
      <c r="Y26" s="92"/>
      <c r="Z26" s="92"/>
      <c r="AA26" s="92"/>
    </row>
    <row r="27" spans="1:27" ht="15.75" hidden="1" customHeight="1">
      <c r="A27" s="210" t="s">
        <v>125</v>
      </c>
      <c r="B27" s="211">
        <v>16</v>
      </c>
      <c r="C27" s="212">
        <v>0.21129999999999999</v>
      </c>
      <c r="D27" s="212">
        <v>6.4999999999999997E-3</v>
      </c>
      <c r="E27" s="212">
        <v>4.2476000000000003</v>
      </c>
      <c r="F27" s="213">
        <v>0.64959999999999996</v>
      </c>
      <c r="G27" s="214" t="s">
        <v>253</v>
      </c>
      <c r="H27" s="215"/>
      <c r="I27" s="92"/>
      <c r="J27" s="92"/>
      <c r="K27" s="92"/>
      <c r="L27" s="92"/>
      <c r="M27" s="92"/>
      <c r="N27" s="92"/>
      <c r="O27" s="92"/>
      <c r="P27" s="92"/>
      <c r="Q27" s="92"/>
      <c r="R27" s="92"/>
      <c r="S27" s="92"/>
      <c r="T27" s="92"/>
      <c r="U27" s="92"/>
      <c r="V27" s="92"/>
      <c r="W27" s="92"/>
      <c r="X27" s="92"/>
      <c r="Y27" s="92"/>
      <c r="Z27" s="92"/>
      <c r="AA27" s="92"/>
    </row>
    <row r="28" spans="1:27" ht="15.75" hidden="1" customHeight="1">
      <c r="A28" s="216" t="s">
        <v>126</v>
      </c>
      <c r="B28" s="217">
        <v>63</v>
      </c>
      <c r="C28" s="218">
        <v>4.2700000000000002E-2</v>
      </c>
      <c r="D28" s="218">
        <v>9.3399999999999997E-2</v>
      </c>
      <c r="E28" s="218">
        <v>3.2000000000000001E-2</v>
      </c>
      <c r="F28" s="219">
        <v>0.30280000000000001</v>
      </c>
      <c r="G28" s="220">
        <v>0.1993</v>
      </c>
      <c r="H28" s="215"/>
      <c r="I28" s="92"/>
      <c r="J28" s="92"/>
      <c r="K28" s="92"/>
      <c r="L28" s="92"/>
      <c r="M28" s="92"/>
      <c r="N28" s="92"/>
      <c r="O28" s="92"/>
      <c r="P28" s="92"/>
      <c r="Q28" s="92"/>
      <c r="R28" s="92"/>
      <c r="S28" s="92"/>
      <c r="T28" s="92"/>
      <c r="U28" s="92"/>
      <c r="V28" s="92"/>
      <c r="W28" s="92"/>
      <c r="X28" s="92"/>
      <c r="Y28" s="92"/>
      <c r="Z28" s="92"/>
      <c r="AA28" s="92"/>
    </row>
    <row r="29" spans="1:27" ht="15.75" hidden="1" customHeight="1">
      <c r="A29" s="210" t="s">
        <v>127</v>
      </c>
      <c r="B29" s="211">
        <v>35</v>
      </c>
      <c r="C29" s="212">
        <v>6.7900000000000002E-2</v>
      </c>
      <c r="D29" s="212">
        <v>3.5499999999999997E-2</v>
      </c>
      <c r="E29" s="212">
        <v>0.1036</v>
      </c>
      <c r="F29" s="213">
        <v>4.2599999999999999E-2</v>
      </c>
      <c r="G29" s="214">
        <v>0.1148</v>
      </c>
      <c r="H29" s="215"/>
      <c r="I29" s="92"/>
      <c r="J29" s="92"/>
      <c r="K29" s="92"/>
      <c r="L29" s="92"/>
      <c r="M29" s="92"/>
      <c r="N29" s="92"/>
      <c r="O29" s="92"/>
      <c r="P29" s="92"/>
      <c r="Q29" s="92"/>
      <c r="R29" s="92"/>
      <c r="S29" s="92"/>
      <c r="T29" s="92"/>
      <c r="U29" s="92"/>
      <c r="V29" s="92"/>
      <c r="W29" s="92"/>
      <c r="X29" s="92"/>
      <c r="Y29" s="92"/>
      <c r="Z29" s="92"/>
      <c r="AA29" s="92"/>
    </row>
    <row r="30" spans="1:27" ht="15.75" hidden="1" customHeight="1">
      <c r="A30" s="216" t="s">
        <v>128</v>
      </c>
      <c r="B30" s="217">
        <v>46</v>
      </c>
      <c r="C30" s="218">
        <v>0.21920000000000001</v>
      </c>
      <c r="D30" s="218">
        <v>3.7499999999999999E-2</v>
      </c>
      <c r="E30" s="218">
        <v>6.1356000000000002</v>
      </c>
      <c r="F30" s="219">
        <v>4.5900000000000003E-2</v>
      </c>
      <c r="G30" s="220">
        <v>0.1101</v>
      </c>
      <c r="H30" s="215"/>
      <c r="I30" s="92"/>
      <c r="J30" s="92"/>
      <c r="K30" s="92"/>
      <c r="L30" s="92"/>
      <c r="M30" s="92"/>
      <c r="N30" s="92"/>
      <c r="O30" s="92"/>
      <c r="P30" s="92"/>
      <c r="Q30" s="92"/>
      <c r="R30" s="92"/>
      <c r="S30" s="92"/>
      <c r="T30" s="92"/>
      <c r="U30" s="92"/>
      <c r="V30" s="92"/>
      <c r="W30" s="92"/>
      <c r="X30" s="92"/>
      <c r="Y30" s="92"/>
      <c r="Z30" s="92"/>
      <c r="AA30" s="92"/>
    </row>
    <row r="31" spans="1:27" ht="15.75" hidden="1" customHeight="1">
      <c r="A31" s="210" t="s">
        <v>129</v>
      </c>
      <c r="B31" s="211">
        <v>21</v>
      </c>
      <c r="C31" s="212">
        <v>8.5599999999999996E-2</v>
      </c>
      <c r="D31" s="212">
        <v>0.1162</v>
      </c>
      <c r="E31" s="212">
        <v>-2.8000000000000001E-2</v>
      </c>
      <c r="F31" s="213">
        <v>1.1299999999999999E-2</v>
      </c>
      <c r="G31" s="214">
        <v>5.4399999999999997E-2</v>
      </c>
      <c r="H31" s="215"/>
      <c r="I31" s="92"/>
      <c r="J31" s="92"/>
      <c r="K31" s="92"/>
      <c r="L31" s="92"/>
      <c r="M31" s="92"/>
      <c r="N31" s="92"/>
      <c r="O31" s="92"/>
      <c r="P31" s="92"/>
      <c r="Q31" s="92"/>
      <c r="R31" s="92"/>
      <c r="S31" s="92"/>
      <c r="T31" s="92"/>
      <c r="U31" s="92"/>
      <c r="V31" s="92"/>
      <c r="W31" s="92"/>
      <c r="X31" s="92"/>
      <c r="Y31" s="92"/>
      <c r="Z31" s="92"/>
      <c r="AA31" s="92"/>
    </row>
    <row r="32" spans="1:27" ht="15.75" hidden="1" customHeight="1">
      <c r="A32" s="216" t="s">
        <v>130</v>
      </c>
      <c r="B32" s="217">
        <v>535</v>
      </c>
      <c r="C32" s="218">
        <v>1.09E-2</v>
      </c>
      <c r="D32" s="218">
        <v>0.23769999999999999</v>
      </c>
      <c r="E32" s="218">
        <v>1.3638999999999999</v>
      </c>
      <c r="F32" s="219">
        <v>0.72350000000000003</v>
      </c>
      <c r="G32" s="220">
        <v>0.17949999999999999</v>
      </c>
      <c r="H32" s="215"/>
      <c r="I32" s="92"/>
      <c r="J32" s="92"/>
      <c r="K32" s="92"/>
      <c r="L32" s="92"/>
      <c r="M32" s="92"/>
      <c r="N32" s="92"/>
      <c r="O32" s="92"/>
      <c r="P32" s="92"/>
      <c r="Q32" s="92"/>
      <c r="R32" s="92"/>
      <c r="S32" s="92"/>
      <c r="T32" s="92"/>
      <c r="U32" s="92"/>
      <c r="V32" s="92"/>
      <c r="W32" s="92"/>
      <c r="X32" s="92"/>
      <c r="Y32" s="92"/>
      <c r="Z32" s="92"/>
      <c r="AA32" s="92"/>
    </row>
    <row r="33" spans="1:27" ht="15.75" hidden="1" customHeight="1">
      <c r="A33" s="210" t="s">
        <v>131</v>
      </c>
      <c r="B33" s="211">
        <v>231</v>
      </c>
      <c r="C33" s="212">
        <v>-2.9600000000000001E-2</v>
      </c>
      <c r="D33" s="212">
        <v>0.24779999999999999</v>
      </c>
      <c r="E33" s="212">
        <v>0.80179999999999996</v>
      </c>
      <c r="F33" s="213">
        <v>0.3705</v>
      </c>
      <c r="G33" s="214">
        <v>0.1221</v>
      </c>
      <c r="H33" s="215"/>
      <c r="I33" s="92"/>
      <c r="J33" s="92"/>
      <c r="K33" s="92"/>
      <c r="L33" s="92"/>
      <c r="M33" s="92"/>
      <c r="N33" s="92"/>
      <c r="O33" s="92"/>
      <c r="P33" s="92"/>
      <c r="Q33" s="92"/>
      <c r="R33" s="92"/>
      <c r="S33" s="92"/>
      <c r="T33" s="92"/>
      <c r="U33" s="92"/>
      <c r="V33" s="92"/>
      <c r="W33" s="92"/>
      <c r="X33" s="92"/>
      <c r="Y33" s="92"/>
      <c r="Z33" s="92"/>
      <c r="AA33" s="92"/>
    </row>
    <row r="34" spans="1:27" ht="15.75" hidden="1" customHeight="1">
      <c r="A34" s="216" t="s">
        <v>132</v>
      </c>
      <c r="B34" s="217">
        <v>29</v>
      </c>
      <c r="C34" s="218">
        <v>5.79E-2</v>
      </c>
      <c r="D34" s="218">
        <v>4.7699999999999999E-2</v>
      </c>
      <c r="E34" s="218">
        <v>6.5100000000000005E-2</v>
      </c>
      <c r="F34" s="219">
        <v>0.11310000000000001</v>
      </c>
      <c r="G34" s="220">
        <v>0.16880000000000001</v>
      </c>
      <c r="H34" s="215"/>
      <c r="I34" s="92"/>
      <c r="J34" s="92"/>
      <c r="K34" s="92"/>
      <c r="L34" s="92"/>
      <c r="M34" s="92"/>
      <c r="N34" s="92"/>
      <c r="O34" s="92"/>
      <c r="P34" s="92"/>
      <c r="Q34" s="92"/>
      <c r="R34" s="92"/>
      <c r="S34" s="92"/>
      <c r="T34" s="92"/>
      <c r="U34" s="92"/>
      <c r="V34" s="92"/>
      <c r="W34" s="92"/>
      <c r="X34" s="92"/>
      <c r="Y34" s="92"/>
      <c r="Z34" s="92"/>
      <c r="AA34" s="92"/>
    </row>
    <row r="35" spans="1:27" ht="15.75" hidden="1" customHeight="1">
      <c r="A35" s="210" t="s">
        <v>133</v>
      </c>
      <c r="B35" s="211">
        <v>101</v>
      </c>
      <c r="C35" s="212">
        <v>5.3900000000000003E-2</v>
      </c>
      <c r="D35" s="212">
        <v>0.13289999999999999</v>
      </c>
      <c r="E35" s="212">
        <v>0.37309999999999999</v>
      </c>
      <c r="F35" s="213">
        <v>0.28070000000000001</v>
      </c>
      <c r="G35" s="214">
        <v>0.13300000000000001</v>
      </c>
      <c r="H35" s="215"/>
      <c r="I35" s="92"/>
      <c r="J35" s="92"/>
      <c r="K35" s="92"/>
      <c r="L35" s="92"/>
      <c r="M35" s="92"/>
      <c r="N35" s="92"/>
      <c r="O35" s="92"/>
      <c r="P35" s="92"/>
      <c r="Q35" s="92"/>
      <c r="R35" s="92"/>
      <c r="S35" s="92"/>
      <c r="T35" s="92"/>
      <c r="U35" s="92"/>
      <c r="V35" s="92"/>
      <c r="W35" s="92"/>
      <c r="X35" s="92"/>
      <c r="Y35" s="92"/>
      <c r="Z35" s="92"/>
      <c r="AA35" s="92"/>
    </row>
    <row r="36" spans="1:27" ht="15.75" hidden="1" customHeight="1">
      <c r="A36" s="216" t="s">
        <v>134</v>
      </c>
      <c r="B36" s="217">
        <v>11</v>
      </c>
      <c r="C36" s="218">
        <v>0</v>
      </c>
      <c r="D36" s="218">
        <v>-7.0000000000000007E-2</v>
      </c>
      <c r="E36" s="218">
        <v>-4.02E-2</v>
      </c>
      <c r="F36" s="219" t="s">
        <v>253</v>
      </c>
      <c r="G36" s="220">
        <v>0.22500000000000001</v>
      </c>
      <c r="H36" s="215"/>
      <c r="I36" s="92"/>
      <c r="J36" s="92"/>
      <c r="K36" s="92"/>
      <c r="L36" s="92"/>
      <c r="M36" s="92"/>
      <c r="N36" s="92"/>
      <c r="O36" s="92"/>
      <c r="P36" s="92"/>
      <c r="Q36" s="92"/>
      <c r="R36" s="92"/>
      <c r="S36" s="92"/>
      <c r="T36" s="92"/>
      <c r="U36" s="92"/>
      <c r="V36" s="92"/>
      <c r="W36" s="92"/>
      <c r="X36" s="92"/>
      <c r="Y36" s="92"/>
      <c r="Z36" s="92"/>
      <c r="AA36" s="92"/>
    </row>
    <row r="37" spans="1:27" ht="15.75" hidden="1" customHeight="1">
      <c r="A37" s="210" t="s">
        <v>135</v>
      </c>
      <c r="B37" s="211">
        <v>122</v>
      </c>
      <c r="C37" s="212">
        <v>0.14430000000000001</v>
      </c>
      <c r="D37" s="212">
        <v>0.10589999999999999</v>
      </c>
      <c r="E37" s="212">
        <v>0.1095</v>
      </c>
      <c r="F37" s="213">
        <v>0.19170000000000001</v>
      </c>
      <c r="G37" s="214">
        <v>0.15890000000000001</v>
      </c>
      <c r="H37" s="215"/>
      <c r="I37" s="92"/>
      <c r="J37" s="92"/>
      <c r="K37" s="92"/>
      <c r="L37" s="92"/>
      <c r="M37" s="92"/>
      <c r="N37" s="92"/>
      <c r="O37" s="92"/>
      <c r="P37" s="92"/>
      <c r="Q37" s="92"/>
      <c r="R37" s="92"/>
      <c r="S37" s="92"/>
      <c r="T37" s="92"/>
      <c r="U37" s="92"/>
      <c r="V37" s="92"/>
      <c r="W37" s="92"/>
      <c r="X37" s="92"/>
      <c r="Y37" s="92"/>
      <c r="Z37" s="92"/>
      <c r="AA37" s="92"/>
    </row>
    <row r="38" spans="1:27" ht="15.75" customHeight="1">
      <c r="A38" s="216" t="s">
        <v>136</v>
      </c>
      <c r="B38" s="217">
        <v>42</v>
      </c>
      <c r="C38" s="218">
        <v>0.22700000000000001</v>
      </c>
      <c r="D38" s="218">
        <v>8.6499999999999994E-2</v>
      </c>
      <c r="E38" s="218">
        <v>9.2700000000000005E-2</v>
      </c>
      <c r="F38" s="219">
        <v>6.1800000000000001E-2</v>
      </c>
      <c r="G38" s="220">
        <v>0.16819999999999999</v>
      </c>
      <c r="H38" s="215"/>
      <c r="I38" s="92"/>
      <c r="J38" s="92"/>
      <c r="K38" s="92"/>
      <c r="L38" s="92"/>
      <c r="M38" s="92"/>
      <c r="N38" s="92"/>
      <c r="O38" s="92"/>
      <c r="P38" s="92"/>
      <c r="Q38" s="92"/>
      <c r="R38" s="92"/>
      <c r="S38" s="92"/>
      <c r="T38" s="92"/>
      <c r="U38" s="92"/>
      <c r="V38" s="92"/>
      <c r="W38" s="92"/>
      <c r="X38" s="92"/>
      <c r="Y38" s="92"/>
      <c r="Z38" s="92"/>
      <c r="AA38" s="92"/>
    </row>
    <row r="39" spans="1:27" ht="15.75" hidden="1" customHeight="1">
      <c r="A39" s="210" t="s">
        <v>137</v>
      </c>
      <c r="B39" s="211">
        <v>96</v>
      </c>
      <c r="C39" s="212">
        <v>0.1109</v>
      </c>
      <c r="D39" s="212">
        <v>0.13250000000000001</v>
      </c>
      <c r="E39" s="212">
        <v>7.4200000000000002E-2</v>
      </c>
      <c r="F39" s="213">
        <v>5.9200000000000003E-2</v>
      </c>
      <c r="G39" s="214">
        <v>0.14530000000000001</v>
      </c>
      <c r="H39" s="215"/>
      <c r="I39" s="92"/>
      <c r="J39" s="92"/>
      <c r="K39" s="92"/>
      <c r="L39" s="92"/>
      <c r="M39" s="92"/>
      <c r="N39" s="92"/>
      <c r="O39" s="92"/>
      <c r="P39" s="92"/>
      <c r="Q39" s="92"/>
      <c r="R39" s="92"/>
      <c r="S39" s="92"/>
      <c r="T39" s="92"/>
      <c r="U39" s="92"/>
      <c r="V39" s="92"/>
      <c r="W39" s="92"/>
      <c r="X39" s="92"/>
      <c r="Y39" s="92"/>
      <c r="Z39" s="92"/>
      <c r="AA39" s="92"/>
    </row>
    <row r="40" spans="1:27" ht="15.75" hidden="1" customHeight="1">
      <c r="A40" s="216" t="s">
        <v>138</v>
      </c>
      <c r="B40" s="217">
        <v>50</v>
      </c>
      <c r="C40" s="218">
        <v>9.9099999999999994E-2</v>
      </c>
      <c r="D40" s="218">
        <v>0.19639999999999999</v>
      </c>
      <c r="E40" s="218">
        <v>0.38159999999999999</v>
      </c>
      <c r="F40" s="219">
        <v>9.9400000000000002E-2</v>
      </c>
      <c r="G40" s="220">
        <v>0.1288</v>
      </c>
      <c r="H40" s="215"/>
      <c r="I40" s="92"/>
      <c r="J40" s="92"/>
      <c r="K40" s="92"/>
      <c r="L40" s="92"/>
      <c r="M40" s="92"/>
      <c r="N40" s="92"/>
      <c r="O40" s="92"/>
      <c r="P40" s="92"/>
      <c r="Q40" s="92"/>
      <c r="R40" s="92"/>
      <c r="S40" s="92"/>
      <c r="T40" s="92"/>
      <c r="U40" s="92"/>
      <c r="V40" s="92"/>
      <c r="W40" s="92"/>
      <c r="X40" s="92"/>
      <c r="Y40" s="92"/>
      <c r="Z40" s="92"/>
      <c r="AA40" s="92"/>
    </row>
    <row r="41" spans="1:27" ht="15.75" hidden="1" customHeight="1">
      <c r="A41" s="210" t="s">
        <v>139</v>
      </c>
      <c r="B41" s="211">
        <v>35</v>
      </c>
      <c r="C41" s="212">
        <v>0.14860000000000001</v>
      </c>
      <c r="D41" s="212">
        <v>0.2223</v>
      </c>
      <c r="E41" s="212">
        <v>4.9299999999999997E-2</v>
      </c>
      <c r="F41" s="213">
        <v>0.128</v>
      </c>
      <c r="G41" s="214">
        <v>7.5399999999999995E-2</v>
      </c>
      <c r="H41" s="215"/>
      <c r="I41" s="92"/>
      <c r="J41" s="92"/>
      <c r="K41" s="92"/>
      <c r="L41" s="92"/>
      <c r="M41" s="92"/>
      <c r="N41" s="92"/>
      <c r="O41" s="92"/>
      <c r="P41" s="92"/>
      <c r="Q41" s="92"/>
      <c r="R41" s="92"/>
      <c r="S41" s="92"/>
      <c r="T41" s="92"/>
      <c r="U41" s="92"/>
      <c r="V41" s="92"/>
      <c r="W41" s="92"/>
      <c r="X41" s="92"/>
      <c r="Y41" s="92"/>
      <c r="Z41" s="92"/>
      <c r="AA41" s="92"/>
    </row>
    <row r="42" spans="1:27" ht="15.75" hidden="1" customHeight="1">
      <c r="A42" s="216" t="s">
        <v>254</v>
      </c>
      <c r="B42" s="217">
        <v>166</v>
      </c>
      <c r="C42" s="218">
        <v>9.4899999999999998E-2</v>
      </c>
      <c r="D42" s="218">
        <v>0.1479</v>
      </c>
      <c r="E42" s="218">
        <v>0.1115</v>
      </c>
      <c r="F42" s="219">
        <v>8.0399999999999999E-2</v>
      </c>
      <c r="G42" s="220">
        <v>0.16139999999999999</v>
      </c>
      <c r="H42" s="215"/>
      <c r="I42" s="92"/>
      <c r="J42" s="92"/>
      <c r="K42" s="92"/>
      <c r="L42" s="92"/>
      <c r="M42" s="92"/>
      <c r="N42" s="92"/>
      <c r="O42" s="92"/>
      <c r="P42" s="92"/>
      <c r="Q42" s="92"/>
      <c r="R42" s="92"/>
      <c r="S42" s="92"/>
      <c r="T42" s="92"/>
      <c r="U42" s="92"/>
      <c r="V42" s="92"/>
      <c r="W42" s="92"/>
      <c r="X42" s="92"/>
      <c r="Y42" s="92"/>
      <c r="Z42" s="92"/>
      <c r="AA42" s="92"/>
    </row>
    <row r="43" spans="1:27" ht="15.75" hidden="1" customHeight="1">
      <c r="A43" s="210" t="s">
        <v>141</v>
      </c>
      <c r="B43" s="211">
        <v>77</v>
      </c>
      <c r="C43" s="212">
        <v>5.11E-2</v>
      </c>
      <c r="D43" s="212">
        <v>0.1002</v>
      </c>
      <c r="E43" s="212">
        <v>4.8899999999999999E-2</v>
      </c>
      <c r="F43" s="213">
        <v>3.1800000000000002E-2</v>
      </c>
      <c r="G43" s="214">
        <v>0.1036</v>
      </c>
      <c r="H43" s="215"/>
      <c r="I43" s="92"/>
      <c r="J43" s="92"/>
      <c r="K43" s="92"/>
      <c r="L43" s="92"/>
      <c r="M43" s="92"/>
      <c r="N43" s="92"/>
      <c r="O43" s="92"/>
      <c r="P43" s="92"/>
      <c r="Q43" s="92"/>
      <c r="R43" s="92"/>
      <c r="S43" s="92"/>
      <c r="T43" s="92"/>
      <c r="U43" s="92"/>
      <c r="V43" s="92"/>
      <c r="W43" s="92"/>
      <c r="X43" s="92"/>
      <c r="Y43" s="92"/>
      <c r="Z43" s="92"/>
      <c r="AA43" s="92"/>
    </row>
    <row r="44" spans="1:27" ht="15.75" hidden="1" customHeight="1">
      <c r="A44" s="216" t="s">
        <v>142</v>
      </c>
      <c r="B44" s="217">
        <v>14</v>
      </c>
      <c r="C44" s="218">
        <v>0.13089999999999999</v>
      </c>
      <c r="D44" s="218">
        <v>0.11899999999999999</v>
      </c>
      <c r="E44" s="218">
        <v>1.9800000000000002E-2</v>
      </c>
      <c r="F44" s="219">
        <v>4.2099999999999999E-2</v>
      </c>
      <c r="G44" s="220">
        <v>0.19089999999999999</v>
      </c>
      <c r="H44" s="215"/>
      <c r="I44" s="92"/>
      <c r="J44" s="92"/>
      <c r="K44" s="92"/>
      <c r="L44" s="92"/>
      <c r="M44" s="92"/>
      <c r="N44" s="92"/>
      <c r="O44" s="92"/>
      <c r="P44" s="92"/>
      <c r="Q44" s="92"/>
      <c r="R44" s="92"/>
      <c r="S44" s="92"/>
      <c r="T44" s="92"/>
      <c r="U44" s="92"/>
      <c r="V44" s="92"/>
      <c r="W44" s="92"/>
      <c r="X44" s="92"/>
      <c r="Y44" s="92"/>
      <c r="Z44" s="92"/>
      <c r="AA44" s="92"/>
    </row>
    <row r="45" spans="1:27" ht="15.75" hidden="1" customHeight="1">
      <c r="A45" s="210" t="s">
        <v>143</v>
      </c>
      <c r="B45" s="211">
        <v>28</v>
      </c>
      <c r="C45" s="212">
        <v>6.2899999999999998E-2</v>
      </c>
      <c r="D45" s="212">
        <v>-2.8E-3</v>
      </c>
      <c r="E45" s="212">
        <v>-1.1299999999999999E-2</v>
      </c>
      <c r="F45" s="213">
        <v>3.6900000000000002E-2</v>
      </c>
      <c r="G45" s="214">
        <v>0.1157</v>
      </c>
      <c r="H45" s="215"/>
      <c r="I45" s="92"/>
      <c r="J45" s="92"/>
      <c r="K45" s="92"/>
      <c r="L45" s="92"/>
      <c r="M45" s="92"/>
      <c r="N45" s="92"/>
      <c r="O45" s="92"/>
      <c r="P45" s="92"/>
      <c r="Q45" s="92"/>
      <c r="R45" s="92"/>
      <c r="S45" s="92"/>
      <c r="T45" s="92"/>
      <c r="U45" s="92"/>
      <c r="V45" s="92"/>
      <c r="W45" s="92"/>
      <c r="X45" s="92"/>
      <c r="Y45" s="92"/>
      <c r="Z45" s="92"/>
      <c r="AA45" s="92"/>
    </row>
    <row r="46" spans="1:27" ht="15.75" hidden="1" customHeight="1">
      <c r="A46" s="216" t="s">
        <v>144</v>
      </c>
      <c r="B46" s="217">
        <v>18</v>
      </c>
      <c r="C46" s="218">
        <v>4.8300000000000003E-2</v>
      </c>
      <c r="D46" s="218">
        <v>0.1573</v>
      </c>
      <c r="E46" s="218">
        <v>0.15060000000000001</v>
      </c>
      <c r="F46" s="219">
        <v>9.4799999999999995E-2</v>
      </c>
      <c r="G46" s="220">
        <v>2.7000000000000001E-3</v>
      </c>
      <c r="H46" s="215"/>
      <c r="I46" s="92"/>
      <c r="J46" s="92"/>
      <c r="K46" s="92"/>
      <c r="L46" s="92"/>
      <c r="M46" s="92"/>
      <c r="N46" s="92"/>
      <c r="O46" s="92"/>
      <c r="P46" s="92"/>
      <c r="Q46" s="92"/>
      <c r="R46" s="92"/>
      <c r="S46" s="92"/>
      <c r="T46" s="92"/>
      <c r="U46" s="92"/>
      <c r="V46" s="92"/>
      <c r="W46" s="92"/>
      <c r="X46" s="92"/>
      <c r="Y46" s="92"/>
      <c r="Z46" s="92"/>
      <c r="AA46" s="92"/>
    </row>
    <row r="47" spans="1:27" ht="15.75" hidden="1" customHeight="1">
      <c r="A47" s="210" t="s">
        <v>145</v>
      </c>
      <c r="B47" s="211">
        <v>218</v>
      </c>
      <c r="C47" s="212">
        <v>0.10970000000000001</v>
      </c>
      <c r="D47" s="212">
        <v>0.14610000000000001</v>
      </c>
      <c r="E47" s="212">
        <v>0.34710000000000002</v>
      </c>
      <c r="F47" s="213">
        <v>0.252</v>
      </c>
      <c r="G47" s="214">
        <v>0.11509999999999999</v>
      </c>
      <c r="H47" s="215"/>
      <c r="I47" s="92"/>
      <c r="J47" s="92"/>
      <c r="K47" s="92"/>
      <c r="L47" s="92"/>
      <c r="M47" s="92"/>
      <c r="N47" s="92"/>
      <c r="O47" s="92"/>
      <c r="P47" s="92"/>
      <c r="Q47" s="92"/>
      <c r="R47" s="92"/>
      <c r="S47" s="92"/>
      <c r="T47" s="92"/>
      <c r="U47" s="92"/>
      <c r="V47" s="92"/>
      <c r="W47" s="92"/>
      <c r="X47" s="92"/>
      <c r="Y47" s="92"/>
      <c r="Z47" s="92"/>
      <c r="AA47" s="92"/>
    </row>
    <row r="48" spans="1:27" ht="15.75" hidden="1" customHeight="1">
      <c r="A48" s="216" t="s">
        <v>146</v>
      </c>
      <c r="B48" s="217">
        <v>113</v>
      </c>
      <c r="C48" s="218">
        <v>9.2700000000000005E-2</v>
      </c>
      <c r="D48" s="218">
        <v>0.1134</v>
      </c>
      <c r="E48" s="218">
        <v>9.6600000000000005E-2</v>
      </c>
      <c r="F48" s="219">
        <v>9.4700000000000006E-2</v>
      </c>
      <c r="G48" s="220">
        <v>9.6699999999999994E-2</v>
      </c>
      <c r="H48" s="215"/>
      <c r="I48" s="92"/>
      <c r="J48" s="92"/>
      <c r="K48" s="92"/>
      <c r="L48" s="92"/>
      <c r="M48" s="92"/>
      <c r="N48" s="92"/>
      <c r="O48" s="92"/>
      <c r="P48" s="92"/>
      <c r="Q48" s="92"/>
      <c r="R48" s="92"/>
      <c r="S48" s="92"/>
      <c r="T48" s="92"/>
      <c r="U48" s="92"/>
      <c r="V48" s="92"/>
      <c r="W48" s="92"/>
      <c r="X48" s="92"/>
      <c r="Y48" s="92"/>
      <c r="Z48" s="92"/>
      <c r="AA48" s="92"/>
    </row>
    <row r="49" spans="1:27" ht="15.75" hidden="1" customHeight="1">
      <c r="A49" s="210" t="s">
        <v>255</v>
      </c>
      <c r="B49" s="211">
        <v>116</v>
      </c>
      <c r="C49" s="212">
        <v>0.1019</v>
      </c>
      <c r="D49" s="212">
        <v>0.14729999999999999</v>
      </c>
      <c r="E49" s="212">
        <v>0.10639999999999999</v>
      </c>
      <c r="F49" s="213">
        <v>0.13109999999999999</v>
      </c>
      <c r="G49" s="214">
        <v>0.1258</v>
      </c>
      <c r="H49" s="215"/>
      <c r="I49" s="92"/>
      <c r="J49" s="92"/>
      <c r="K49" s="92"/>
      <c r="L49" s="92"/>
      <c r="M49" s="92"/>
      <c r="N49" s="92"/>
      <c r="O49" s="92"/>
      <c r="P49" s="92"/>
      <c r="Q49" s="92"/>
      <c r="R49" s="92"/>
      <c r="S49" s="92"/>
      <c r="T49" s="92"/>
      <c r="U49" s="92"/>
      <c r="V49" s="92"/>
      <c r="W49" s="92"/>
      <c r="X49" s="92"/>
      <c r="Y49" s="92"/>
      <c r="Z49" s="92"/>
      <c r="AA49" s="92"/>
    </row>
    <row r="50" spans="1:27" ht="15.75" hidden="1" customHeight="1">
      <c r="A50" s="216" t="s">
        <v>148</v>
      </c>
      <c r="B50" s="217">
        <v>30</v>
      </c>
      <c r="C50" s="218">
        <v>0.22800000000000001</v>
      </c>
      <c r="D50" s="218">
        <v>0.09</v>
      </c>
      <c r="E50" s="218">
        <v>9.5100000000000004E-2</v>
      </c>
      <c r="F50" s="219">
        <v>4.8099999999999997E-2</v>
      </c>
      <c r="G50" s="220">
        <v>0.13420000000000001</v>
      </c>
      <c r="H50" s="215"/>
      <c r="I50" s="92"/>
      <c r="J50" s="92"/>
      <c r="K50" s="92"/>
      <c r="L50" s="92"/>
      <c r="M50" s="92"/>
      <c r="N50" s="92"/>
      <c r="O50" s="92"/>
      <c r="P50" s="92"/>
      <c r="Q50" s="92"/>
      <c r="R50" s="92"/>
      <c r="S50" s="92"/>
      <c r="T50" s="92"/>
      <c r="U50" s="92"/>
      <c r="V50" s="92"/>
      <c r="W50" s="92"/>
      <c r="X50" s="92"/>
      <c r="Y50" s="92"/>
      <c r="Z50" s="92"/>
      <c r="AA50" s="92"/>
    </row>
    <row r="51" spans="1:27" ht="15.75" hidden="1" customHeight="1">
      <c r="A51" s="210" t="s">
        <v>149</v>
      </c>
      <c r="B51" s="211">
        <v>33</v>
      </c>
      <c r="C51" s="212">
        <v>7.85E-2</v>
      </c>
      <c r="D51" s="212">
        <v>1.5699999999999999E-2</v>
      </c>
      <c r="E51" s="212">
        <v>5.8099999999999999E-2</v>
      </c>
      <c r="F51" s="213">
        <v>4.5999999999999999E-2</v>
      </c>
      <c r="G51" s="214">
        <v>0.1716</v>
      </c>
      <c r="H51" s="215"/>
      <c r="I51" s="92"/>
      <c r="J51" s="92"/>
      <c r="K51" s="92"/>
      <c r="L51" s="92"/>
      <c r="M51" s="92"/>
      <c r="N51" s="92"/>
      <c r="O51" s="92"/>
      <c r="P51" s="92"/>
      <c r="Q51" s="92"/>
      <c r="R51" s="92"/>
      <c r="S51" s="92"/>
      <c r="T51" s="92"/>
      <c r="U51" s="92"/>
      <c r="V51" s="92"/>
      <c r="W51" s="92"/>
      <c r="X51" s="92"/>
      <c r="Y51" s="92"/>
      <c r="Z51" s="92"/>
      <c r="AA51" s="92"/>
    </row>
    <row r="52" spans="1:27" ht="15.75" hidden="1" customHeight="1">
      <c r="A52" s="216" t="s">
        <v>150</v>
      </c>
      <c r="B52" s="217">
        <v>65</v>
      </c>
      <c r="C52" s="218">
        <v>0.2235</v>
      </c>
      <c r="D52" s="218">
        <v>0.11899999999999999</v>
      </c>
      <c r="E52" s="218">
        <v>6.0299999999999999E-2</v>
      </c>
      <c r="F52" s="219">
        <v>9.3799999999999994E-2</v>
      </c>
      <c r="G52" s="220">
        <v>0.56710000000000005</v>
      </c>
      <c r="H52" s="215"/>
      <c r="I52" s="92"/>
      <c r="J52" s="92"/>
      <c r="K52" s="92"/>
      <c r="L52" s="92"/>
      <c r="M52" s="92"/>
      <c r="N52" s="92"/>
      <c r="O52" s="92"/>
      <c r="P52" s="92"/>
      <c r="Q52" s="92"/>
      <c r="R52" s="92"/>
      <c r="S52" s="92"/>
      <c r="T52" s="92"/>
      <c r="U52" s="92"/>
      <c r="V52" s="92"/>
      <c r="W52" s="92"/>
      <c r="X52" s="92"/>
      <c r="Y52" s="92"/>
      <c r="Z52" s="92"/>
      <c r="AA52" s="92"/>
    </row>
    <row r="53" spans="1:27" ht="15.75" hidden="1" customHeight="1">
      <c r="A53" s="210" t="s">
        <v>151</v>
      </c>
      <c r="B53" s="211">
        <v>101</v>
      </c>
      <c r="C53" s="212">
        <v>4.4900000000000002E-2</v>
      </c>
      <c r="D53" s="212">
        <v>3.15E-2</v>
      </c>
      <c r="E53" s="212">
        <v>0.1993</v>
      </c>
      <c r="F53" s="213">
        <v>4.2200000000000001E-2</v>
      </c>
      <c r="G53" s="214">
        <v>0.1021</v>
      </c>
      <c r="H53" s="215"/>
      <c r="I53" s="92"/>
      <c r="J53" s="92"/>
      <c r="K53" s="92"/>
      <c r="L53" s="92"/>
      <c r="M53" s="92"/>
      <c r="N53" s="92"/>
      <c r="O53" s="92"/>
      <c r="P53" s="92"/>
      <c r="Q53" s="92"/>
      <c r="R53" s="92"/>
      <c r="S53" s="92"/>
      <c r="T53" s="92"/>
      <c r="U53" s="92"/>
      <c r="V53" s="92"/>
      <c r="W53" s="92"/>
      <c r="X53" s="92"/>
      <c r="Y53" s="92"/>
      <c r="Z53" s="92"/>
      <c r="AA53" s="92"/>
    </row>
    <row r="54" spans="1:27" ht="15.75" hidden="1" customHeight="1">
      <c r="A54" s="216" t="s">
        <v>152</v>
      </c>
      <c r="B54" s="217">
        <v>16</v>
      </c>
      <c r="C54" s="218">
        <v>0.1077</v>
      </c>
      <c r="D54" s="218">
        <v>2.53E-2</v>
      </c>
      <c r="E54" s="218">
        <v>4.7899999999999998E-2</v>
      </c>
      <c r="F54" s="219">
        <v>3.6200000000000003E-2</v>
      </c>
      <c r="G54" s="220">
        <v>8.5300000000000001E-2</v>
      </c>
      <c r="H54" s="215"/>
      <c r="I54" s="92"/>
      <c r="J54" s="92"/>
      <c r="K54" s="92"/>
      <c r="L54" s="92"/>
      <c r="M54" s="92"/>
      <c r="N54" s="92"/>
      <c r="O54" s="92"/>
      <c r="P54" s="92"/>
      <c r="Q54" s="92"/>
      <c r="R54" s="92"/>
      <c r="S54" s="92"/>
      <c r="T54" s="92"/>
      <c r="U54" s="92"/>
      <c r="V54" s="92"/>
      <c r="W54" s="92"/>
      <c r="X54" s="92"/>
      <c r="Y54" s="92"/>
      <c r="Z54" s="92"/>
      <c r="AA54" s="92"/>
    </row>
    <row r="55" spans="1:27" ht="15.75" hidden="1" customHeight="1">
      <c r="A55" s="210" t="s">
        <v>153</v>
      </c>
      <c r="B55" s="211">
        <v>22</v>
      </c>
      <c r="C55" s="212">
        <v>0.12659999999999999</v>
      </c>
      <c r="D55" s="212">
        <v>0.1298</v>
      </c>
      <c r="E55" s="212">
        <v>0.1167</v>
      </c>
      <c r="F55" s="213">
        <v>6.8699999999999997E-2</v>
      </c>
      <c r="G55" s="214">
        <v>0.1976</v>
      </c>
      <c r="H55" s="215"/>
      <c r="I55" s="92"/>
      <c r="J55" s="92"/>
      <c r="K55" s="92"/>
      <c r="L55" s="92"/>
      <c r="M55" s="92"/>
      <c r="N55" s="92"/>
      <c r="O55" s="92"/>
      <c r="P55" s="92"/>
      <c r="Q55" s="92"/>
      <c r="R55" s="92"/>
      <c r="S55" s="92"/>
      <c r="T55" s="92"/>
      <c r="U55" s="92"/>
      <c r="V55" s="92"/>
      <c r="W55" s="92"/>
      <c r="X55" s="92"/>
      <c r="Y55" s="92"/>
      <c r="Z55" s="92"/>
      <c r="AA55" s="92"/>
    </row>
    <row r="56" spans="1:27" ht="15.75" hidden="1" customHeight="1">
      <c r="A56" s="216" t="s">
        <v>154</v>
      </c>
      <c r="B56" s="217">
        <v>19</v>
      </c>
      <c r="C56" s="218">
        <v>8.14E-2</v>
      </c>
      <c r="D56" s="218">
        <v>3.6999999999999998E-2</v>
      </c>
      <c r="E56" s="218">
        <v>7.2400000000000006E-2</v>
      </c>
      <c r="F56" s="219">
        <v>-4.36E-2</v>
      </c>
      <c r="G56" s="220">
        <v>0.1018</v>
      </c>
      <c r="H56" s="215"/>
      <c r="I56" s="92"/>
      <c r="J56" s="92"/>
      <c r="K56" s="92"/>
      <c r="L56" s="92"/>
      <c r="M56" s="92"/>
      <c r="N56" s="92"/>
      <c r="O56" s="92"/>
      <c r="P56" s="92"/>
      <c r="Q56" s="92"/>
      <c r="R56" s="92"/>
      <c r="S56" s="92"/>
      <c r="T56" s="92"/>
      <c r="U56" s="92"/>
      <c r="V56" s="92"/>
      <c r="W56" s="92"/>
      <c r="X56" s="92"/>
      <c r="Y56" s="92"/>
      <c r="Z56" s="92"/>
      <c r="AA56" s="92"/>
    </row>
    <row r="57" spans="1:27" ht="15.75" hidden="1" customHeight="1">
      <c r="A57" s="210" t="s">
        <v>155</v>
      </c>
      <c r="B57" s="211">
        <v>53</v>
      </c>
      <c r="C57" s="212">
        <v>0.16500000000000001</v>
      </c>
      <c r="D57" s="212">
        <v>9.1200000000000003E-2</v>
      </c>
      <c r="E57" s="212">
        <v>0.18909999999999999</v>
      </c>
      <c r="F57" s="213">
        <v>6.4500000000000002E-2</v>
      </c>
      <c r="G57" s="214">
        <v>0.26769999999999999</v>
      </c>
      <c r="H57" s="215"/>
      <c r="I57" s="92"/>
      <c r="J57" s="92"/>
      <c r="K57" s="92"/>
      <c r="L57" s="92"/>
      <c r="M57" s="92"/>
      <c r="N57" s="92"/>
      <c r="O57" s="92"/>
      <c r="P57" s="92"/>
      <c r="Q57" s="92"/>
      <c r="R57" s="92"/>
      <c r="S57" s="92"/>
      <c r="T57" s="92"/>
      <c r="U57" s="92"/>
      <c r="V57" s="92"/>
      <c r="W57" s="92"/>
      <c r="X57" s="92"/>
      <c r="Y57" s="92"/>
      <c r="Z57" s="92"/>
      <c r="AA57" s="92"/>
    </row>
    <row r="58" spans="1:27" ht="15.75" hidden="1" customHeight="1">
      <c r="A58" s="216" t="s">
        <v>156</v>
      </c>
      <c r="B58" s="217">
        <v>231</v>
      </c>
      <c r="C58" s="218">
        <v>0.1229</v>
      </c>
      <c r="D58" s="218">
        <v>8.3699999999999997E-2</v>
      </c>
      <c r="E58" s="218">
        <v>8.4500000000000006E-2</v>
      </c>
      <c r="F58" s="219">
        <v>3.2899999999999999E-2</v>
      </c>
      <c r="G58" s="220">
        <v>0.14949999999999999</v>
      </c>
      <c r="H58" s="215"/>
      <c r="I58" s="92"/>
      <c r="J58" s="92"/>
      <c r="K58" s="92"/>
      <c r="L58" s="92"/>
      <c r="M58" s="92"/>
      <c r="N58" s="92"/>
      <c r="O58" s="92"/>
      <c r="P58" s="92"/>
      <c r="Q58" s="92"/>
      <c r="R58" s="92"/>
      <c r="S58" s="92"/>
      <c r="T58" s="92"/>
      <c r="U58" s="92"/>
      <c r="V58" s="92"/>
      <c r="W58" s="92"/>
      <c r="X58" s="92"/>
      <c r="Y58" s="92"/>
      <c r="Z58" s="92"/>
      <c r="AA58" s="92"/>
    </row>
    <row r="59" spans="1:27" ht="15.75" hidden="1" customHeight="1">
      <c r="A59" s="210" t="s">
        <v>157</v>
      </c>
      <c r="B59" s="211">
        <v>109</v>
      </c>
      <c r="C59" s="212">
        <v>8.2400000000000001E-2</v>
      </c>
      <c r="D59" s="212">
        <v>6.2300000000000001E-2</v>
      </c>
      <c r="E59" s="212">
        <v>0.35489999999999999</v>
      </c>
      <c r="F59" s="213">
        <v>0.18920000000000001</v>
      </c>
      <c r="G59" s="214">
        <v>0.13009999999999999</v>
      </c>
      <c r="H59" s="215"/>
      <c r="I59" s="92"/>
      <c r="J59" s="92"/>
      <c r="K59" s="92"/>
      <c r="L59" s="92"/>
      <c r="M59" s="92"/>
      <c r="N59" s="92"/>
      <c r="O59" s="92"/>
      <c r="P59" s="92"/>
      <c r="Q59" s="92"/>
      <c r="R59" s="92"/>
      <c r="S59" s="92"/>
      <c r="T59" s="92"/>
      <c r="U59" s="92"/>
      <c r="V59" s="92"/>
      <c r="W59" s="92"/>
      <c r="X59" s="92"/>
      <c r="Y59" s="92"/>
      <c r="Z59" s="92"/>
      <c r="AA59" s="92"/>
    </row>
    <row r="60" spans="1:27" ht="15.75" hidden="1" customHeight="1">
      <c r="A60" s="216" t="s">
        <v>158</v>
      </c>
      <c r="B60" s="217">
        <v>64</v>
      </c>
      <c r="C60" s="218">
        <v>8.4199999999999997E-2</v>
      </c>
      <c r="D60" s="218">
        <v>1.84E-2</v>
      </c>
      <c r="E60" s="218">
        <v>8.0699999999999994E-2</v>
      </c>
      <c r="F60" s="219">
        <v>8.8300000000000003E-2</v>
      </c>
      <c r="G60" s="220">
        <v>0.187</v>
      </c>
      <c r="H60" s="215"/>
      <c r="I60" s="92"/>
      <c r="J60" s="92"/>
      <c r="K60" s="92"/>
      <c r="L60" s="92"/>
      <c r="M60" s="92"/>
      <c r="N60" s="92"/>
      <c r="O60" s="92"/>
      <c r="P60" s="92"/>
      <c r="Q60" s="92"/>
      <c r="R60" s="92"/>
      <c r="S60" s="92"/>
      <c r="T60" s="92"/>
      <c r="U60" s="92"/>
      <c r="V60" s="92"/>
      <c r="W60" s="92"/>
      <c r="X60" s="92"/>
      <c r="Y60" s="92"/>
      <c r="Z60" s="92"/>
      <c r="AA60" s="92"/>
    </row>
    <row r="61" spans="1:27" ht="15.75" hidden="1" customHeight="1">
      <c r="A61" s="210" t="s">
        <v>159</v>
      </c>
      <c r="B61" s="211">
        <v>14</v>
      </c>
      <c r="C61" s="212">
        <v>0.2301</v>
      </c>
      <c r="D61" s="212">
        <v>0.14149999999999999</v>
      </c>
      <c r="E61" s="212">
        <v>-1.0200000000000001E-2</v>
      </c>
      <c r="F61" s="213">
        <v>3.6299999999999999E-2</v>
      </c>
      <c r="G61" s="214">
        <v>0.14169999999999999</v>
      </c>
      <c r="H61" s="215"/>
      <c r="I61" s="92"/>
      <c r="J61" s="92"/>
      <c r="K61" s="92"/>
      <c r="L61" s="92"/>
      <c r="M61" s="92"/>
      <c r="N61" s="92"/>
      <c r="O61" s="92"/>
      <c r="P61" s="92"/>
      <c r="Q61" s="92"/>
      <c r="R61" s="92"/>
      <c r="S61" s="92"/>
      <c r="T61" s="92"/>
      <c r="U61" s="92"/>
      <c r="V61" s="92"/>
      <c r="W61" s="92"/>
      <c r="X61" s="92"/>
      <c r="Y61" s="92"/>
      <c r="Z61" s="92"/>
      <c r="AA61" s="92"/>
    </row>
    <row r="62" spans="1:27" ht="15.75" hidden="1" customHeight="1">
      <c r="A62" s="216" t="s">
        <v>160</v>
      </c>
      <c r="B62" s="217">
        <v>4</v>
      </c>
      <c r="C62" s="218">
        <v>0.17660000000000001</v>
      </c>
      <c r="D62" s="218">
        <v>2E-3</v>
      </c>
      <c r="E62" s="218">
        <v>-1.09E-2</v>
      </c>
      <c r="F62" s="219">
        <v>-4.2500000000000003E-2</v>
      </c>
      <c r="G62" s="220">
        <v>3.4200000000000001E-2</v>
      </c>
      <c r="H62" s="215"/>
      <c r="I62" s="92"/>
      <c r="J62" s="92"/>
      <c r="K62" s="92"/>
      <c r="L62" s="92"/>
      <c r="M62" s="92"/>
      <c r="N62" s="92"/>
      <c r="O62" s="92"/>
      <c r="P62" s="92"/>
      <c r="Q62" s="92"/>
      <c r="R62" s="92"/>
      <c r="S62" s="92"/>
      <c r="T62" s="92"/>
      <c r="U62" s="92"/>
      <c r="V62" s="92"/>
      <c r="W62" s="92"/>
      <c r="X62" s="92"/>
      <c r="Y62" s="92"/>
      <c r="Z62" s="92"/>
      <c r="AA62" s="92"/>
    </row>
    <row r="63" spans="1:27" ht="15.75" hidden="1" customHeight="1">
      <c r="A63" s="210" t="s">
        <v>256</v>
      </c>
      <c r="B63" s="211">
        <v>147</v>
      </c>
      <c r="C63" s="212">
        <v>0.12189999999999999</v>
      </c>
      <c r="D63" s="212">
        <v>5.3499999999999999E-2</v>
      </c>
      <c r="E63" s="212">
        <v>7.9299999999999995E-2</v>
      </c>
      <c r="F63" s="213">
        <v>7.3099999999999998E-2</v>
      </c>
      <c r="G63" s="214">
        <v>7.0000000000000007E-2</v>
      </c>
      <c r="H63" s="215"/>
      <c r="I63" s="92"/>
      <c r="J63" s="92"/>
      <c r="K63" s="92"/>
      <c r="L63" s="92"/>
      <c r="M63" s="92"/>
      <c r="N63" s="92"/>
      <c r="O63" s="92"/>
      <c r="P63" s="92"/>
      <c r="Q63" s="92"/>
      <c r="R63" s="92"/>
      <c r="S63" s="92"/>
      <c r="T63" s="92"/>
      <c r="U63" s="92"/>
      <c r="V63" s="92"/>
      <c r="W63" s="92"/>
      <c r="X63" s="92"/>
      <c r="Y63" s="92"/>
      <c r="Z63" s="92"/>
      <c r="AA63" s="92"/>
    </row>
    <row r="64" spans="1:27" ht="15.75" hidden="1" customHeight="1">
      <c r="A64" s="216" t="s">
        <v>162</v>
      </c>
      <c r="B64" s="217">
        <v>24</v>
      </c>
      <c r="C64" s="218">
        <v>0.36349999999999999</v>
      </c>
      <c r="D64" s="218">
        <v>0.19869999999999999</v>
      </c>
      <c r="E64" s="218">
        <v>5.8500000000000003E-2</v>
      </c>
      <c r="F64" s="219">
        <v>7.2400000000000006E-2</v>
      </c>
      <c r="G64" s="220">
        <v>1.24E-2</v>
      </c>
      <c r="H64" s="215"/>
      <c r="I64" s="92"/>
      <c r="J64" s="92"/>
      <c r="K64" s="92"/>
      <c r="L64" s="92"/>
      <c r="M64" s="92"/>
      <c r="N64" s="92"/>
      <c r="O64" s="92"/>
      <c r="P64" s="92"/>
      <c r="Q64" s="92"/>
      <c r="R64" s="92"/>
      <c r="S64" s="92"/>
      <c r="T64" s="92"/>
      <c r="U64" s="92"/>
      <c r="V64" s="92"/>
      <c r="W64" s="92"/>
      <c r="X64" s="92"/>
      <c r="Y64" s="92"/>
      <c r="Z64" s="92"/>
      <c r="AA64" s="92"/>
    </row>
    <row r="65" spans="1:27" ht="15.75" hidden="1" customHeight="1">
      <c r="A65" s="210" t="s">
        <v>163</v>
      </c>
      <c r="B65" s="211">
        <v>97</v>
      </c>
      <c r="C65" s="212">
        <v>0.26740000000000003</v>
      </c>
      <c r="D65" s="212">
        <v>5.2499999999999998E-2</v>
      </c>
      <c r="E65" s="212">
        <v>4.9299999999999997E-2</v>
      </c>
      <c r="F65" s="213">
        <v>7.9299999999999995E-2</v>
      </c>
      <c r="G65" s="214">
        <v>0.20930000000000001</v>
      </c>
      <c r="H65" s="215"/>
      <c r="I65" s="92"/>
      <c r="J65" s="92"/>
      <c r="K65" s="92"/>
      <c r="L65" s="92"/>
      <c r="M65" s="92"/>
      <c r="N65" s="92"/>
      <c r="O65" s="92"/>
      <c r="P65" s="92"/>
      <c r="Q65" s="92"/>
      <c r="R65" s="92"/>
      <c r="S65" s="92"/>
      <c r="T65" s="92"/>
      <c r="U65" s="92"/>
      <c r="V65" s="92"/>
      <c r="W65" s="92"/>
      <c r="X65" s="92"/>
      <c r="Y65" s="92"/>
      <c r="Z65" s="92"/>
      <c r="AA65" s="92"/>
    </row>
    <row r="66" spans="1:27" ht="15.75" hidden="1" customHeight="1">
      <c r="A66" s="216" t="s">
        <v>164</v>
      </c>
      <c r="B66" s="217">
        <v>22</v>
      </c>
      <c r="C66" s="218">
        <v>4.02E-2</v>
      </c>
      <c r="D66" s="218">
        <v>4.02E-2</v>
      </c>
      <c r="E66" s="218">
        <v>1.9599999999999999E-2</v>
      </c>
      <c r="F66" s="219">
        <v>3.4700000000000002E-2</v>
      </c>
      <c r="G66" s="220">
        <v>8.5800000000000001E-2</v>
      </c>
      <c r="H66" s="215"/>
      <c r="I66" s="92"/>
      <c r="J66" s="92"/>
      <c r="K66" s="92"/>
      <c r="L66" s="92"/>
      <c r="M66" s="92"/>
      <c r="N66" s="92"/>
      <c r="O66" s="92"/>
      <c r="P66" s="92"/>
      <c r="Q66" s="92"/>
      <c r="R66" s="92"/>
      <c r="S66" s="92"/>
      <c r="T66" s="92"/>
      <c r="U66" s="92"/>
      <c r="V66" s="92"/>
      <c r="W66" s="92"/>
      <c r="X66" s="92"/>
      <c r="Y66" s="92"/>
      <c r="Z66" s="92"/>
      <c r="AA66" s="92"/>
    </row>
    <row r="67" spans="1:27" ht="15.75" hidden="1" customHeight="1">
      <c r="A67" s="210" t="s">
        <v>165</v>
      </c>
      <c r="B67" s="211">
        <v>6</v>
      </c>
      <c r="C67" s="212">
        <v>0.45900000000000002</v>
      </c>
      <c r="D67" s="212">
        <v>4.5400000000000003E-2</v>
      </c>
      <c r="E67" s="212">
        <v>3.1199999999999999E-2</v>
      </c>
      <c r="F67" s="213">
        <v>4.1300000000000003E-2</v>
      </c>
      <c r="G67" s="214">
        <v>5.8500000000000003E-2</v>
      </c>
      <c r="H67" s="215"/>
      <c r="I67" s="92"/>
      <c r="J67" s="92"/>
      <c r="K67" s="92"/>
      <c r="L67" s="92"/>
      <c r="M67" s="92"/>
      <c r="N67" s="92"/>
      <c r="O67" s="92"/>
      <c r="P67" s="92"/>
      <c r="Q67" s="92"/>
      <c r="R67" s="92"/>
      <c r="S67" s="92"/>
      <c r="T67" s="92"/>
      <c r="U67" s="92"/>
      <c r="V67" s="92"/>
      <c r="W67" s="92"/>
      <c r="X67" s="92"/>
      <c r="Y67" s="92"/>
      <c r="Z67" s="92"/>
      <c r="AA67" s="92"/>
    </row>
    <row r="68" spans="1:27" ht="15.75" hidden="1" customHeight="1">
      <c r="A68" s="216" t="s">
        <v>166</v>
      </c>
      <c r="B68" s="217">
        <v>48</v>
      </c>
      <c r="C68" s="218">
        <v>5.74E-2</v>
      </c>
      <c r="D68" s="218">
        <v>5.0599999999999999E-2</v>
      </c>
      <c r="E68" s="218">
        <v>3.4500000000000003E-2</v>
      </c>
      <c r="F68" s="219">
        <v>5.2299999999999999E-2</v>
      </c>
      <c r="G68" s="220">
        <v>5.9700000000000003E-2</v>
      </c>
      <c r="H68" s="215"/>
      <c r="I68" s="92"/>
      <c r="J68" s="92"/>
      <c r="K68" s="92"/>
      <c r="L68" s="92"/>
      <c r="M68" s="92"/>
      <c r="N68" s="92"/>
      <c r="O68" s="92"/>
      <c r="P68" s="92"/>
      <c r="Q68" s="92"/>
      <c r="R68" s="92"/>
      <c r="S68" s="92"/>
      <c r="T68" s="92"/>
      <c r="U68" s="92"/>
      <c r="V68" s="92"/>
      <c r="W68" s="92"/>
      <c r="X68" s="92"/>
      <c r="Y68" s="92"/>
      <c r="Z68" s="92"/>
      <c r="AA68" s="92"/>
    </row>
    <row r="69" spans="1:27" ht="15.75" hidden="1" customHeight="1">
      <c r="A69" s="210" t="s">
        <v>167</v>
      </c>
      <c r="B69" s="211">
        <v>60</v>
      </c>
      <c r="C69" s="212">
        <v>0</v>
      </c>
      <c r="D69" s="212">
        <v>4.4699999999999997E-2</v>
      </c>
      <c r="E69" s="212">
        <v>0.22409999999999999</v>
      </c>
      <c r="F69" s="213">
        <v>8.6499999999999994E-2</v>
      </c>
      <c r="G69" s="214">
        <v>9.7699999999999995E-2</v>
      </c>
      <c r="H69" s="215"/>
      <c r="I69" s="92"/>
      <c r="J69" s="92"/>
      <c r="K69" s="92"/>
      <c r="L69" s="92"/>
      <c r="M69" s="92"/>
      <c r="N69" s="92"/>
      <c r="O69" s="92"/>
      <c r="P69" s="92"/>
      <c r="Q69" s="92"/>
      <c r="R69" s="92"/>
      <c r="S69" s="92"/>
      <c r="T69" s="92"/>
      <c r="U69" s="92"/>
      <c r="V69" s="92"/>
      <c r="W69" s="92"/>
      <c r="X69" s="92"/>
      <c r="Y69" s="92"/>
      <c r="Z69" s="92"/>
      <c r="AA69" s="92"/>
    </row>
    <row r="70" spans="1:27" ht="15.75" hidden="1" customHeight="1">
      <c r="A70" s="216" t="s">
        <v>168</v>
      </c>
      <c r="B70" s="217">
        <v>19</v>
      </c>
      <c r="C70" s="218">
        <v>8.72E-2</v>
      </c>
      <c r="D70" s="218">
        <v>1.4999999999999999E-2</v>
      </c>
      <c r="E70" s="218">
        <v>4.1000000000000003E-3</v>
      </c>
      <c r="F70" s="219">
        <v>3.7199999999999997E-2</v>
      </c>
      <c r="G70" s="220">
        <v>0.1241</v>
      </c>
      <c r="H70" s="215"/>
      <c r="I70" s="92"/>
      <c r="J70" s="92"/>
      <c r="K70" s="92"/>
      <c r="L70" s="92"/>
      <c r="M70" s="92"/>
      <c r="N70" s="92"/>
      <c r="O70" s="92"/>
      <c r="P70" s="92"/>
      <c r="Q70" s="92"/>
      <c r="R70" s="92"/>
      <c r="S70" s="92"/>
      <c r="T70" s="92"/>
      <c r="U70" s="92"/>
      <c r="V70" s="92"/>
      <c r="W70" s="92"/>
      <c r="X70" s="92"/>
      <c r="Y70" s="92"/>
      <c r="Z70" s="92"/>
      <c r="AA70" s="92"/>
    </row>
    <row r="71" spans="1:27" ht="15.75" hidden="1" customHeight="1">
      <c r="A71" s="210" t="s">
        <v>169</v>
      </c>
      <c r="B71" s="211">
        <v>192</v>
      </c>
      <c r="C71" s="212">
        <v>5.8900000000000001E-2</v>
      </c>
      <c r="D71" s="212">
        <v>7.0599999999999996E-2</v>
      </c>
      <c r="E71" s="212">
        <v>4.24E-2</v>
      </c>
      <c r="F71" s="213">
        <v>4.6199999999999998E-2</v>
      </c>
      <c r="G71" s="214">
        <v>6.7199999999999996E-2</v>
      </c>
      <c r="H71" s="215"/>
      <c r="I71" s="92"/>
      <c r="J71" s="92"/>
      <c r="K71" s="92"/>
      <c r="L71" s="92"/>
      <c r="M71" s="92"/>
      <c r="N71" s="92"/>
      <c r="O71" s="92"/>
      <c r="P71" s="92"/>
      <c r="Q71" s="92"/>
      <c r="R71" s="92"/>
      <c r="S71" s="92"/>
      <c r="T71" s="92"/>
      <c r="U71" s="92"/>
      <c r="V71" s="92"/>
      <c r="W71" s="92"/>
      <c r="X71" s="92"/>
      <c r="Y71" s="92"/>
      <c r="Z71" s="92"/>
      <c r="AA71" s="92"/>
    </row>
    <row r="72" spans="1:27" ht="15.75" hidden="1" customHeight="1">
      <c r="A72" s="216" t="s">
        <v>170</v>
      </c>
      <c r="B72" s="217">
        <v>15</v>
      </c>
      <c r="C72" s="218">
        <v>0.18160000000000001</v>
      </c>
      <c r="D72" s="218">
        <v>0.151</v>
      </c>
      <c r="E72" s="218">
        <v>0.11650000000000001</v>
      </c>
      <c r="F72" s="219" t="s">
        <v>253</v>
      </c>
      <c r="G72" s="220" t="s">
        <v>253</v>
      </c>
      <c r="H72" s="215"/>
      <c r="I72" s="92"/>
      <c r="J72" s="92"/>
      <c r="K72" s="92"/>
      <c r="L72" s="92"/>
      <c r="M72" s="92"/>
      <c r="N72" s="92"/>
      <c r="O72" s="92"/>
      <c r="P72" s="92"/>
      <c r="Q72" s="92"/>
      <c r="R72" s="92"/>
      <c r="S72" s="92"/>
      <c r="T72" s="92"/>
      <c r="U72" s="92"/>
      <c r="V72" s="92"/>
      <c r="W72" s="92"/>
      <c r="X72" s="92"/>
      <c r="Y72" s="92"/>
      <c r="Z72" s="92"/>
      <c r="AA72" s="92"/>
    </row>
    <row r="73" spans="1:27" ht="15.75" hidden="1" customHeight="1">
      <c r="A73" s="210" t="s">
        <v>171</v>
      </c>
      <c r="B73" s="211">
        <v>11</v>
      </c>
      <c r="C73" s="212">
        <v>4.8500000000000001E-2</v>
      </c>
      <c r="D73" s="212">
        <v>0.14349999999999999</v>
      </c>
      <c r="E73" s="212">
        <v>2.2499999999999999E-2</v>
      </c>
      <c r="F73" s="213" t="s">
        <v>253</v>
      </c>
      <c r="G73" s="214" t="s">
        <v>253</v>
      </c>
      <c r="H73" s="215"/>
      <c r="I73" s="92"/>
      <c r="J73" s="92"/>
      <c r="K73" s="92"/>
      <c r="L73" s="92"/>
      <c r="M73" s="92"/>
      <c r="N73" s="92"/>
      <c r="O73" s="92"/>
      <c r="P73" s="92"/>
      <c r="Q73" s="92"/>
      <c r="R73" s="92"/>
      <c r="S73" s="92"/>
      <c r="T73" s="92"/>
      <c r="U73" s="92"/>
      <c r="V73" s="92"/>
      <c r="W73" s="92"/>
      <c r="X73" s="92"/>
      <c r="Y73" s="92"/>
      <c r="Z73" s="92"/>
      <c r="AA73" s="92"/>
    </row>
    <row r="74" spans="1:27" ht="15.75" hidden="1" customHeight="1">
      <c r="A74" s="216" t="s">
        <v>257</v>
      </c>
      <c r="B74" s="217">
        <v>60</v>
      </c>
      <c r="C74" s="218">
        <v>-8.8599999999999998E-2</v>
      </c>
      <c r="D74" s="218">
        <v>4.53E-2</v>
      </c>
      <c r="E74" s="218">
        <v>9.3399999999999997E-2</v>
      </c>
      <c r="F74" s="219">
        <v>0.10059999999999999</v>
      </c>
      <c r="G74" s="220">
        <v>0.5393</v>
      </c>
      <c r="H74" s="215"/>
      <c r="I74" s="92"/>
      <c r="J74" s="92"/>
      <c r="K74" s="92"/>
      <c r="L74" s="92"/>
      <c r="M74" s="92"/>
      <c r="N74" s="92"/>
      <c r="O74" s="92"/>
      <c r="P74" s="92"/>
      <c r="Q74" s="92"/>
      <c r="R74" s="92"/>
      <c r="S74" s="92"/>
      <c r="T74" s="92"/>
      <c r="U74" s="92"/>
      <c r="V74" s="92"/>
      <c r="W74" s="92"/>
      <c r="X74" s="92"/>
      <c r="Y74" s="92"/>
      <c r="Z74" s="92"/>
      <c r="AA74" s="92"/>
    </row>
    <row r="75" spans="1:27" ht="15.75" hidden="1" customHeight="1">
      <c r="A75" s="210" t="s">
        <v>173</v>
      </c>
      <c r="B75" s="211">
        <v>50</v>
      </c>
      <c r="C75" s="212">
        <v>4.3499999999999997E-2</v>
      </c>
      <c r="D75" s="212">
        <v>8.77E-2</v>
      </c>
      <c r="E75" s="212">
        <v>1.4500000000000001E-2</v>
      </c>
      <c r="F75" s="213">
        <v>4.0399999999999998E-2</v>
      </c>
      <c r="G75" s="214">
        <v>9.1600000000000001E-2</v>
      </c>
      <c r="H75" s="215"/>
      <c r="I75" s="92"/>
      <c r="J75" s="92"/>
      <c r="K75" s="92"/>
      <c r="L75" s="92"/>
      <c r="M75" s="92"/>
      <c r="N75" s="92"/>
      <c r="O75" s="92"/>
      <c r="P75" s="92"/>
      <c r="Q75" s="92"/>
      <c r="R75" s="92"/>
      <c r="S75" s="92"/>
      <c r="T75" s="92"/>
      <c r="U75" s="92"/>
      <c r="V75" s="92"/>
      <c r="W75" s="92"/>
      <c r="X75" s="92"/>
      <c r="Y75" s="92"/>
      <c r="Z75" s="92"/>
      <c r="AA75" s="92"/>
    </row>
    <row r="76" spans="1:27" ht="15.75" hidden="1" customHeight="1">
      <c r="A76" s="216" t="s">
        <v>174</v>
      </c>
      <c r="B76" s="217">
        <v>1</v>
      </c>
      <c r="C76" s="218">
        <v>-4.8999999999999998E-3</v>
      </c>
      <c r="D76" s="218">
        <v>9.6600000000000005E-2</v>
      </c>
      <c r="E76" s="218">
        <v>0.104</v>
      </c>
      <c r="F76" s="219" t="s">
        <v>253</v>
      </c>
      <c r="G76" s="220" t="s">
        <v>253</v>
      </c>
      <c r="H76" s="215"/>
      <c r="I76" s="92"/>
      <c r="J76" s="92"/>
      <c r="K76" s="92"/>
      <c r="L76" s="92"/>
      <c r="M76" s="92"/>
      <c r="N76" s="92"/>
      <c r="O76" s="92"/>
      <c r="P76" s="92"/>
      <c r="Q76" s="92"/>
      <c r="R76" s="92"/>
      <c r="S76" s="92"/>
      <c r="T76" s="92"/>
      <c r="U76" s="92"/>
      <c r="V76" s="92"/>
      <c r="W76" s="92"/>
      <c r="X76" s="92"/>
      <c r="Y76" s="92"/>
      <c r="Z76" s="92"/>
      <c r="AA76" s="92"/>
    </row>
    <row r="77" spans="1:27" ht="15.75" hidden="1" customHeight="1">
      <c r="A77" s="210" t="s">
        <v>175</v>
      </c>
      <c r="B77" s="211">
        <v>62</v>
      </c>
      <c r="C77" s="212">
        <v>1.8E-3</v>
      </c>
      <c r="D77" s="212">
        <v>8.5999999999999993E-2</v>
      </c>
      <c r="E77" s="212">
        <v>9.5600000000000004E-2</v>
      </c>
      <c r="F77" s="213">
        <v>0.1668</v>
      </c>
      <c r="G77" s="214">
        <v>0.16350000000000001</v>
      </c>
      <c r="H77" s="215"/>
      <c r="I77" s="92"/>
      <c r="J77" s="92"/>
      <c r="K77" s="92"/>
      <c r="L77" s="92"/>
      <c r="M77" s="92"/>
      <c r="N77" s="92"/>
      <c r="O77" s="92"/>
      <c r="P77" s="92"/>
      <c r="Q77" s="92"/>
      <c r="R77" s="92"/>
      <c r="S77" s="92"/>
      <c r="T77" s="92"/>
      <c r="U77" s="92"/>
      <c r="V77" s="92"/>
      <c r="W77" s="92"/>
      <c r="X77" s="92"/>
      <c r="Y77" s="92"/>
      <c r="Z77" s="92"/>
      <c r="AA77" s="92"/>
    </row>
    <row r="78" spans="1:27" ht="15.75" hidden="1" customHeight="1">
      <c r="A78" s="216" t="s">
        <v>176</v>
      </c>
      <c r="B78" s="217">
        <v>29</v>
      </c>
      <c r="C78" s="218">
        <v>6.2700000000000006E-2</v>
      </c>
      <c r="D78" s="218">
        <v>0.1032</v>
      </c>
      <c r="E78" s="218">
        <v>4.9099999999999998E-2</v>
      </c>
      <c r="F78" s="219">
        <v>6.3600000000000004E-2</v>
      </c>
      <c r="G78" s="220">
        <v>8.7300000000000003E-2</v>
      </c>
      <c r="H78" s="215"/>
      <c r="I78" s="92"/>
      <c r="J78" s="92"/>
      <c r="K78" s="92"/>
      <c r="L78" s="92"/>
      <c r="M78" s="92"/>
      <c r="N78" s="92"/>
      <c r="O78" s="92"/>
      <c r="P78" s="92"/>
      <c r="Q78" s="92"/>
      <c r="R78" s="92"/>
      <c r="S78" s="92"/>
      <c r="T78" s="92"/>
      <c r="U78" s="92"/>
      <c r="V78" s="92"/>
      <c r="W78" s="92"/>
      <c r="X78" s="92"/>
      <c r="Y78" s="92"/>
      <c r="Z78" s="92"/>
      <c r="AA78" s="92"/>
    </row>
    <row r="79" spans="1:27" ht="15.75" hidden="1" customHeight="1">
      <c r="A79" s="210" t="s">
        <v>177</v>
      </c>
      <c r="B79" s="211">
        <v>13</v>
      </c>
      <c r="C79" s="212">
        <v>7.0099999999999996E-2</v>
      </c>
      <c r="D79" s="212">
        <v>5.1499999999999997E-2</v>
      </c>
      <c r="E79" s="212">
        <v>-5.4000000000000003E-3</v>
      </c>
      <c r="F79" s="213">
        <v>3.2800000000000003E-2</v>
      </c>
      <c r="G79" s="214">
        <v>0.15479999999999999</v>
      </c>
      <c r="H79" s="215"/>
      <c r="I79" s="92"/>
      <c r="J79" s="92"/>
      <c r="K79" s="92"/>
      <c r="L79" s="92"/>
      <c r="M79" s="92"/>
      <c r="N79" s="92"/>
      <c r="O79" s="92"/>
      <c r="P79" s="92"/>
      <c r="Q79" s="92"/>
      <c r="R79" s="92"/>
      <c r="S79" s="92"/>
      <c r="T79" s="92"/>
      <c r="U79" s="92"/>
      <c r="V79" s="92"/>
      <c r="W79" s="92"/>
      <c r="X79" s="92"/>
      <c r="Y79" s="92"/>
      <c r="Z79" s="92"/>
      <c r="AA79" s="92"/>
    </row>
    <row r="80" spans="1:27" ht="15.75" hidden="1" customHeight="1">
      <c r="A80" s="216" t="s">
        <v>178</v>
      </c>
      <c r="B80" s="217">
        <v>66</v>
      </c>
      <c r="C80" s="218">
        <v>0.185</v>
      </c>
      <c r="D80" s="218">
        <v>7.0699999999999999E-2</v>
      </c>
      <c r="E80" s="218">
        <v>3.2399999999999998E-2</v>
      </c>
      <c r="F80" s="219">
        <v>4.8099999999999997E-2</v>
      </c>
      <c r="G80" s="220">
        <v>0.1096</v>
      </c>
      <c r="H80" s="215"/>
      <c r="I80" s="92"/>
      <c r="J80" s="92"/>
      <c r="K80" s="92"/>
      <c r="L80" s="92"/>
      <c r="M80" s="92"/>
      <c r="N80" s="92"/>
      <c r="O80" s="92"/>
      <c r="P80" s="92"/>
      <c r="Q80" s="92"/>
      <c r="R80" s="92"/>
      <c r="S80" s="92"/>
      <c r="T80" s="92"/>
      <c r="U80" s="92"/>
      <c r="V80" s="92"/>
      <c r="W80" s="92"/>
      <c r="X80" s="92"/>
      <c r="Y80" s="92"/>
      <c r="Z80" s="92"/>
      <c r="AA80" s="92"/>
    </row>
    <row r="81" spans="1:27" ht="15.75" hidden="1" customHeight="1">
      <c r="A81" s="210" t="s">
        <v>179</v>
      </c>
      <c r="B81" s="211">
        <v>24</v>
      </c>
      <c r="C81" s="212">
        <v>6.9000000000000006E-2</v>
      </c>
      <c r="D81" s="212">
        <v>0.14399999999999999</v>
      </c>
      <c r="E81" s="212">
        <v>4.6600000000000003E-2</v>
      </c>
      <c r="F81" s="213">
        <v>4.1300000000000003E-2</v>
      </c>
      <c r="G81" s="214">
        <v>3.9100000000000003E-2</v>
      </c>
      <c r="H81" s="215"/>
      <c r="I81" s="92"/>
      <c r="J81" s="92"/>
      <c r="K81" s="92"/>
      <c r="L81" s="92"/>
      <c r="M81" s="92"/>
      <c r="N81" s="92"/>
      <c r="O81" s="92"/>
      <c r="P81" s="92"/>
      <c r="Q81" s="92"/>
      <c r="R81" s="92"/>
      <c r="S81" s="92"/>
      <c r="T81" s="92"/>
      <c r="U81" s="92"/>
      <c r="V81" s="92"/>
      <c r="W81" s="92"/>
      <c r="X81" s="92"/>
      <c r="Y81" s="92"/>
      <c r="Z81" s="92"/>
      <c r="AA81" s="92"/>
    </row>
    <row r="82" spans="1:27" ht="15.75" hidden="1" customHeight="1">
      <c r="A82" s="216" t="s">
        <v>180</v>
      </c>
      <c r="B82" s="217">
        <v>17</v>
      </c>
      <c r="C82" s="218">
        <v>0.27579999999999999</v>
      </c>
      <c r="D82" s="218">
        <v>9.2799999999999994E-2</v>
      </c>
      <c r="E82" s="218">
        <v>6.6799999999999998E-2</v>
      </c>
      <c r="F82" s="219">
        <v>5.0700000000000002E-2</v>
      </c>
      <c r="G82" s="220">
        <v>9.5200000000000007E-2</v>
      </c>
      <c r="H82" s="215"/>
      <c r="I82" s="92"/>
      <c r="J82" s="92"/>
      <c r="K82" s="92"/>
      <c r="L82" s="92"/>
      <c r="M82" s="92"/>
      <c r="N82" s="92"/>
      <c r="O82" s="92"/>
      <c r="P82" s="92"/>
      <c r="Q82" s="92"/>
      <c r="R82" s="92"/>
      <c r="S82" s="92"/>
      <c r="T82" s="92"/>
      <c r="U82" s="92"/>
      <c r="V82" s="92"/>
      <c r="W82" s="92"/>
      <c r="X82" s="92"/>
      <c r="Y82" s="92"/>
      <c r="Z82" s="92"/>
      <c r="AA82" s="92"/>
    </row>
    <row r="83" spans="1:27" ht="15.75" hidden="1" customHeight="1">
      <c r="A83" s="210" t="s">
        <v>181</v>
      </c>
      <c r="B83" s="211">
        <v>28</v>
      </c>
      <c r="C83" s="212">
        <v>3.4799999999999998E-2</v>
      </c>
      <c r="D83" s="212">
        <v>7.9100000000000004E-2</v>
      </c>
      <c r="E83" s="212">
        <v>4.4600000000000001E-2</v>
      </c>
      <c r="F83" s="213">
        <v>8.5800000000000001E-2</v>
      </c>
      <c r="G83" s="214">
        <v>4.4400000000000002E-2</v>
      </c>
      <c r="H83" s="215"/>
      <c r="I83" s="92"/>
      <c r="J83" s="92"/>
      <c r="K83" s="92"/>
      <c r="L83" s="92"/>
      <c r="M83" s="92"/>
      <c r="N83" s="92"/>
      <c r="O83" s="92"/>
      <c r="P83" s="92"/>
      <c r="Q83" s="92"/>
      <c r="R83" s="92"/>
      <c r="S83" s="92"/>
      <c r="T83" s="92"/>
      <c r="U83" s="92"/>
      <c r="V83" s="92"/>
      <c r="W83" s="92"/>
      <c r="X83" s="92"/>
      <c r="Y83" s="92"/>
      <c r="Z83" s="92"/>
      <c r="AA83" s="92"/>
    </row>
    <row r="84" spans="1:27" ht="15.75" hidden="1" customHeight="1">
      <c r="A84" s="216" t="s">
        <v>182</v>
      </c>
      <c r="B84" s="217">
        <v>98</v>
      </c>
      <c r="C84" s="218">
        <v>0.13769999999999999</v>
      </c>
      <c r="D84" s="218">
        <v>6.7900000000000002E-2</v>
      </c>
      <c r="E84" s="218">
        <v>1.37E-2</v>
      </c>
      <c r="F84" s="219">
        <v>4.1000000000000002E-2</v>
      </c>
      <c r="G84" s="220">
        <v>0.13519999999999999</v>
      </c>
      <c r="H84" s="215"/>
      <c r="I84" s="92"/>
      <c r="J84" s="92"/>
      <c r="K84" s="92"/>
      <c r="L84" s="92"/>
      <c r="M84" s="92"/>
      <c r="N84" s="92"/>
      <c r="O84" s="92"/>
      <c r="P84" s="92"/>
      <c r="Q84" s="92"/>
      <c r="R84" s="92"/>
      <c r="S84" s="92"/>
      <c r="T84" s="92"/>
      <c r="U84" s="92"/>
      <c r="V84" s="92"/>
      <c r="W84" s="92"/>
      <c r="X84" s="92"/>
      <c r="Y84" s="92"/>
      <c r="Z84" s="92"/>
      <c r="AA84" s="92"/>
    </row>
    <row r="85" spans="1:27" ht="15.75" hidden="1" customHeight="1">
      <c r="A85" s="210" t="s">
        <v>183</v>
      </c>
      <c r="B85" s="211">
        <v>3</v>
      </c>
      <c r="C85" s="212">
        <v>0</v>
      </c>
      <c r="D85" s="212">
        <v>2.76E-2</v>
      </c>
      <c r="E85" s="212">
        <v>-3.0599999999999999E-2</v>
      </c>
      <c r="F85" s="213" t="s">
        <v>253</v>
      </c>
      <c r="G85" s="214">
        <v>1.244</v>
      </c>
      <c r="H85" s="215"/>
      <c r="I85" s="92"/>
      <c r="J85" s="92"/>
      <c r="K85" s="92"/>
      <c r="L85" s="92"/>
      <c r="M85" s="92"/>
      <c r="N85" s="92"/>
      <c r="O85" s="92"/>
      <c r="P85" s="92"/>
      <c r="Q85" s="92"/>
      <c r="R85" s="92"/>
      <c r="S85" s="92"/>
      <c r="T85" s="92"/>
      <c r="U85" s="92"/>
      <c r="V85" s="92"/>
      <c r="W85" s="92"/>
      <c r="X85" s="92"/>
      <c r="Y85" s="92"/>
      <c r="Z85" s="92"/>
      <c r="AA85" s="92"/>
    </row>
    <row r="86" spans="1:27" ht="15.75" hidden="1" customHeight="1">
      <c r="A86" s="216" t="s">
        <v>184</v>
      </c>
      <c r="B86" s="217">
        <v>63</v>
      </c>
      <c r="C86" s="218">
        <v>0.19359999999999999</v>
      </c>
      <c r="D86" s="218">
        <v>5.1299999999999998E-2</v>
      </c>
      <c r="E86" s="218">
        <v>0.11</v>
      </c>
      <c r="F86" s="219">
        <v>0.1527</v>
      </c>
      <c r="G86" s="220">
        <v>0.17519999999999999</v>
      </c>
      <c r="H86" s="215"/>
      <c r="I86" s="92"/>
      <c r="J86" s="92"/>
      <c r="K86" s="92"/>
      <c r="L86" s="92"/>
      <c r="M86" s="92"/>
      <c r="N86" s="92"/>
      <c r="O86" s="92"/>
      <c r="P86" s="92"/>
      <c r="Q86" s="92"/>
      <c r="R86" s="92"/>
      <c r="S86" s="92"/>
      <c r="T86" s="92"/>
      <c r="U86" s="92"/>
      <c r="V86" s="92"/>
      <c r="W86" s="92"/>
      <c r="X86" s="92"/>
      <c r="Y86" s="92"/>
      <c r="Z86" s="92"/>
      <c r="AA86" s="92"/>
    </row>
    <row r="87" spans="1:27" ht="15.75" hidden="1" customHeight="1">
      <c r="A87" s="210" t="s">
        <v>185</v>
      </c>
      <c r="B87" s="211">
        <v>30</v>
      </c>
      <c r="C87" s="212">
        <v>0.19059999999999999</v>
      </c>
      <c r="D87" s="212">
        <v>0.1167</v>
      </c>
      <c r="E87" s="212">
        <v>0.13719999999999999</v>
      </c>
      <c r="F87" s="213">
        <v>0.10580000000000001</v>
      </c>
      <c r="G87" s="214">
        <v>0.2104</v>
      </c>
      <c r="H87" s="215"/>
      <c r="I87" s="92"/>
      <c r="J87" s="92"/>
      <c r="K87" s="92"/>
      <c r="L87" s="92"/>
      <c r="M87" s="92"/>
      <c r="N87" s="92"/>
      <c r="O87" s="92"/>
      <c r="P87" s="92"/>
      <c r="Q87" s="92"/>
      <c r="R87" s="92"/>
      <c r="S87" s="92"/>
      <c r="T87" s="92"/>
      <c r="U87" s="92"/>
      <c r="V87" s="92"/>
      <c r="W87" s="92"/>
      <c r="X87" s="92"/>
      <c r="Y87" s="92"/>
      <c r="Z87" s="92"/>
      <c r="AA87" s="92"/>
    </row>
    <row r="88" spans="1:27" ht="15.75" hidden="1" customHeight="1">
      <c r="A88" s="216" t="s">
        <v>186</v>
      </c>
      <c r="B88" s="217">
        <v>8</v>
      </c>
      <c r="C88" s="218">
        <v>0.21579999999999999</v>
      </c>
      <c r="D88" s="218">
        <v>-4.2700000000000002E-2</v>
      </c>
      <c r="E88" s="218">
        <v>7.3700000000000002E-2</v>
      </c>
      <c r="F88" s="219" t="s">
        <v>253</v>
      </c>
      <c r="G88" s="220">
        <v>0.33250000000000002</v>
      </c>
      <c r="H88" s="215"/>
      <c r="I88" s="92"/>
      <c r="J88" s="92"/>
      <c r="K88" s="92"/>
      <c r="L88" s="92"/>
      <c r="M88" s="92"/>
      <c r="N88" s="92"/>
      <c r="O88" s="92"/>
      <c r="P88" s="92"/>
      <c r="Q88" s="92"/>
      <c r="R88" s="92"/>
      <c r="S88" s="92"/>
      <c r="T88" s="92"/>
      <c r="U88" s="92"/>
      <c r="V88" s="92"/>
      <c r="W88" s="92"/>
      <c r="X88" s="92"/>
      <c r="Y88" s="92"/>
      <c r="Z88" s="92"/>
      <c r="AA88" s="92"/>
    </row>
    <row r="89" spans="1:27" ht="15.75" hidden="1" customHeight="1">
      <c r="A89" s="210" t="s">
        <v>187</v>
      </c>
      <c r="B89" s="211">
        <v>12</v>
      </c>
      <c r="C89" s="212">
        <v>0.1948</v>
      </c>
      <c r="D89" s="212">
        <v>9.9099999999999994E-2</v>
      </c>
      <c r="E89" s="212">
        <v>1.14E-2</v>
      </c>
      <c r="F89" s="213">
        <v>5.5100000000000003E-2</v>
      </c>
      <c r="G89" s="214">
        <v>0.10340000000000001</v>
      </c>
      <c r="H89" s="215"/>
      <c r="I89" s="92"/>
      <c r="J89" s="92"/>
      <c r="K89" s="92"/>
      <c r="L89" s="92"/>
      <c r="M89" s="92"/>
      <c r="N89" s="92"/>
      <c r="O89" s="92"/>
      <c r="P89" s="92"/>
      <c r="Q89" s="92"/>
      <c r="R89" s="92"/>
      <c r="S89" s="92"/>
      <c r="T89" s="92"/>
      <c r="U89" s="92"/>
      <c r="V89" s="92"/>
      <c r="W89" s="92"/>
      <c r="X89" s="92"/>
      <c r="Y89" s="92"/>
      <c r="Z89" s="92"/>
      <c r="AA89" s="92"/>
    </row>
    <row r="90" spans="1:27" ht="15.75" hidden="1" customHeight="1">
      <c r="A90" s="216" t="s">
        <v>188</v>
      </c>
      <c r="B90" s="217">
        <v>81</v>
      </c>
      <c r="C90" s="218">
        <v>2.5999999999999999E-3</v>
      </c>
      <c r="D90" s="218">
        <v>0.28070000000000001</v>
      </c>
      <c r="E90" s="218">
        <v>0.13869999999999999</v>
      </c>
      <c r="F90" s="219">
        <v>9.9500000000000005E-2</v>
      </c>
      <c r="G90" s="220">
        <v>0.19769999999999999</v>
      </c>
      <c r="H90" s="215"/>
      <c r="I90" s="92"/>
      <c r="J90" s="92"/>
      <c r="K90" s="92"/>
      <c r="L90" s="92"/>
      <c r="M90" s="92"/>
      <c r="N90" s="92"/>
      <c r="O90" s="92"/>
      <c r="P90" s="92"/>
      <c r="Q90" s="92"/>
      <c r="R90" s="92"/>
      <c r="S90" s="92"/>
      <c r="T90" s="92"/>
      <c r="U90" s="92"/>
      <c r="V90" s="92"/>
      <c r="W90" s="92"/>
      <c r="X90" s="92"/>
      <c r="Y90" s="92"/>
      <c r="Z90" s="92"/>
      <c r="AA90" s="92"/>
    </row>
    <row r="91" spans="1:27" ht="15.75" hidden="1" customHeight="1">
      <c r="A91" s="210" t="s">
        <v>189</v>
      </c>
      <c r="B91" s="211">
        <v>29</v>
      </c>
      <c r="C91" s="212">
        <v>0.22120000000000001</v>
      </c>
      <c r="D91" s="212">
        <v>0.19719999999999999</v>
      </c>
      <c r="E91" s="212">
        <v>0.13339999999999999</v>
      </c>
      <c r="F91" s="213">
        <v>0.1226</v>
      </c>
      <c r="G91" s="214">
        <v>0.22389999999999999</v>
      </c>
      <c r="H91" s="215"/>
      <c r="I91" s="92"/>
      <c r="J91" s="92"/>
      <c r="K91" s="92"/>
      <c r="L91" s="92"/>
      <c r="M91" s="92"/>
      <c r="N91" s="92"/>
      <c r="O91" s="92"/>
      <c r="P91" s="92"/>
      <c r="Q91" s="92"/>
      <c r="R91" s="92"/>
      <c r="S91" s="92"/>
      <c r="T91" s="92"/>
      <c r="U91" s="92"/>
      <c r="V91" s="92"/>
      <c r="W91" s="92"/>
      <c r="X91" s="92"/>
      <c r="Y91" s="92"/>
      <c r="Z91" s="92"/>
      <c r="AA91" s="92"/>
    </row>
    <row r="92" spans="1:27" ht="15.75" hidden="1" customHeight="1">
      <c r="A92" s="216" t="s">
        <v>190</v>
      </c>
      <c r="B92" s="217">
        <v>333</v>
      </c>
      <c r="C92" s="218">
        <v>0.2326</v>
      </c>
      <c r="D92" s="218">
        <v>0.1555</v>
      </c>
      <c r="E92" s="218">
        <v>0.15670000000000001</v>
      </c>
      <c r="F92" s="219">
        <v>0.13189999999999999</v>
      </c>
      <c r="G92" s="220">
        <v>0.21829999999999999</v>
      </c>
      <c r="H92" s="215"/>
      <c r="I92" s="92"/>
      <c r="J92" s="92"/>
      <c r="K92" s="92"/>
      <c r="L92" s="92"/>
      <c r="M92" s="92"/>
      <c r="N92" s="92"/>
      <c r="O92" s="92"/>
      <c r="P92" s="92"/>
      <c r="Q92" s="92"/>
      <c r="R92" s="92"/>
      <c r="S92" s="92"/>
      <c r="T92" s="92"/>
      <c r="U92" s="92"/>
      <c r="V92" s="92"/>
      <c r="W92" s="92"/>
      <c r="X92" s="92"/>
      <c r="Y92" s="92"/>
      <c r="Z92" s="92"/>
      <c r="AA92" s="92"/>
    </row>
    <row r="93" spans="1:27" ht="15.75" hidden="1" customHeight="1">
      <c r="A93" s="210" t="s">
        <v>191</v>
      </c>
      <c r="B93" s="211">
        <v>27</v>
      </c>
      <c r="C93" s="212">
        <v>8.8200000000000001E-2</v>
      </c>
      <c r="D93" s="212">
        <v>6.0499999999999998E-2</v>
      </c>
      <c r="E93" s="212">
        <v>-1.15E-2</v>
      </c>
      <c r="F93" s="213">
        <v>2.8000000000000001E-2</v>
      </c>
      <c r="G93" s="214">
        <v>0.11409999999999999</v>
      </c>
      <c r="H93" s="215"/>
      <c r="I93" s="92"/>
      <c r="J93" s="92"/>
      <c r="K93" s="92"/>
      <c r="L93" s="92"/>
      <c r="M93" s="92"/>
      <c r="N93" s="92"/>
      <c r="O93" s="92"/>
      <c r="P93" s="92"/>
      <c r="Q93" s="92"/>
      <c r="R93" s="92"/>
      <c r="S93" s="92"/>
      <c r="T93" s="92"/>
      <c r="U93" s="92"/>
      <c r="V93" s="92"/>
      <c r="W93" s="92"/>
      <c r="X93" s="92"/>
      <c r="Y93" s="92"/>
      <c r="Z93" s="92"/>
      <c r="AA93" s="92"/>
    </row>
    <row r="94" spans="1:27" ht="15.75" hidden="1" customHeight="1">
      <c r="A94" s="216" t="s">
        <v>192</v>
      </c>
      <c r="B94" s="217">
        <v>11</v>
      </c>
      <c r="C94" s="218">
        <v>0.253</v>
      </c>
      <c r="D94" s="218">
        <v>0.28070000000000001</v>
      </c>
      <c r="E94" s="218">
        <v>-1.26E-2</v>
      </c>
      <c r="F94" s="219">
        <v>2.5600000000000001E-2</v>
      </c>
      <c r="G94" s="220">
        <v>0.128</v>
      </c>
      <c r="H94" s="215"/>
      <c r="I94" s="92"/>
      <c r="J94" s="92"/>
      <c r="K94" s="92"/>
      <c r="L94" s="92"/>
      <c r="M94" s="92"/>
      <c r="N94" s="92"/>
      <c r="O94" s="92"/>
      <c r="P94" s="92"/>
      <c r="Q94" s="92"/>
      <c r="R94" s="92"/>
      <c r="S94" s="92"/>
      <c r="T94" s="92"/>
      <c r="U94" s="92"/>
      <c r="V94" s="92"/>
      <c r="W94" s="92"/>
      <c r="X94" s="92"/>
      <c r="Y94" s="92"/>
      <c r="Z94" s="92"/>
      <c r="AA94" s="92"/>
    </row>
    <row r="95" spans="1:27" ht="15.75" hidden="1" customHeight="1">
      <c r="A95" s="210" t="s">
        <v>193</v>
      </c>
      <c r="B95" s="211">
        <v>61</v>
      </c>
      <c r="C95" s="212">
        <v>5.2499999999999998E-2</v>
      </c>
      <c r="D95" s="212">
        <v>2.5499999999999998E-2</v>
      </c>
      <c r="E95" s="212">
        <v>8.8400000000000006E-2</v>
      </c>
      <c r="F95" s="213">
        <v>6.3100000000000003E-2</v>
      </c>
      <c r="G95" s="214">
        <v>0.10979999999999999</v>
      </c>
      <c r="H95" s="215"/>
      <c r="I95" s="92"/>
      <c r="J95" s="92"/>
      <c r="K95" s="92"/>
      <c r="L95" s="92"/>
      <c r="M95" s="92"/>
      <c r="N95" s="92"/>
      <c r="O95" s="92"/>
      <c r="P95" s="92"/>
      <c r="Q95" s="92"/>
      <c r="R95" s="92"/>
      <c r="S95" s="92"/>
      <c r="T95" s="92"/>
      <c r="U95" s="92"/>
      <c r="V95" s="92"/>
      <c r="W95" s="92"/>
      <c r="X95" s="92"/>
      <c r="Y95" s="92"/>
      <c r="Z95" s="92"/>
      <c r="AA95" s="92"/>
    </row>
    <row r="96" spans="1:27" ht="15.75" hidden="1" customHeight="1">
      <c r="A96" s="216" t="s">
        <v>194</v>
      </c>
      <c r="B96" s="217">
        <v>32</v>
      </c>
      <c r="C96" s="218">
        <v>0.21790000000000001</v>
      </c>
      <c r="D96" s="218">
        <v>0.10580000000000001</v>
      </c>
      <c r="E96" s="218">
        <v>6.0199999999999997E-2</v>
      </c>
      <c r="F96" s="219">
        <v>0.52529999999999999</v>
      </c>
      <c r="G96" s="220">
        <v>-2.98E-2</v>
      </c>
      <c r="H96" s="215"/>
      <c r="I96" s="92"/>
      <c r="J96" s="92"/>
      <c r="K96" s="92"/>
      <c r="L96" s="92"/>
      <c r="M96" s="92"/>
      <c r="N96" s="92"/>
      <c r="O96" s="92"/>
      <c r="P96" s="92"/>
      <c r="Q96" s="92"/>
      <c r="R96" s="92"/>
      <c r="S96" s="92"/>
      <c r="T96" s="92"/>
      <c r="U96" s="92"/>
      <c r="V96" s="92"/>
      <c r="W96" s="92"/>
      <c r="X96" s="92"/>
      <c r="Y96" s="92"/>
      <c r="Z96" s="92"/>
      <c r="AA96" s="92"/>
    </row>
    <row r="97" spans="1:27" ht="15.75" hidden="1" customHeight="1">
      <c r="A97" s="210" t="s">
        <v>195</v>
      </c>
      <c r="B97" s="211">
        <v>12</v>
      </c>
      <c r="C97" s="212">
        <v>0.15559999999999999</v>
      </c>
      <c r="D97" s="212">
        <v>-5.1999999999999998E-3</v>
      </c>
      <c r="E97" s="212">
        <v>0.1346</v>
      </c>
      <c r="F97" s="213">
        <v>3.5299999999999998E-2</v>
      </c>
      <c r="G97" s="214">
        <v>0.1167</v>
      </c>
      <c r="H97" s="215"/>
      <c r="I97" s="92"/>
      <c r="J97" s="92"/>
      <c r="K97" s="92"/>
      <c r="L97" s="92"/>
      <c r="M97" s="92"/>
      <c r="N97" s="92"/>
      <c r="O97" s="92"/>
      <c r="P97" s="92"/>
      <c r="Q97" s="92"/>
      <c r="R97" s="92"/>
      <c r="S97" s="92"/>
      <c r="T97" s="92"/>
      <c r="U97" s="92"/>
      <c r="V97" s="92"/>
      <c r="W97" s="92"/>
      <c r="X97" s="92"/>
      <c r="Y97" s="92"/>
      <c r="Z97" s="92"/>
      <c r="AA97" s="92"/>
    </row>
    <row r="98" spans="1:27" ht="15.75" hidden="1" customHeight="1">
      <c r="A98" s="216" t="s">
        <v>196</v>
      </c>
      <c r="B98" s="217">
        <v>21</v>
      </c>
      <c r="C98" s="218">
        <v>0.16550000000000001</v>
      </c>
      <c r="D98" s="218">
        <v>8.5699999999999998E-2</v>
      </c>
      <c r="E98" s="218">
        <v>9.0499999999999997E-2</v>
      </c>
      <c r="F98" s="219">
        <v>5.8099999999999999E-2</v>
      </c>
      <c r="G98" s="220">
        <v>-6.3100000000000003E-2</v>
      </c>
      <c r="H98" s="215"/>
      <c r="I98" s="92"/>
      <c r="J98" s="92"/>
      <c r="K98" s="92"/>
      <c r="L98" s="92"/>
      <c r="M98" s="92"/>
      <c r="N98" s="92"/>
      <c r="O98" s="92"/>
      <c r="P98" s="92"/>
      <c r="Q98" s="92"/>
      <c r="R98" s="92"/>
      <c r="S98" s="92"/>
      <c r="T98" s="92"/>
      <c r="U98" s="92"/>
      <c r="V98" s="92"/>
      <c r="W98" s="92"/>
      <c r="X98" s="92"/>
      <c r="Y98" s="92"/>
      <c r="Z98" s="92"/>
      <c r="AA98" s="92"/>
    </row>
    <row r="99" spans="1:27" ht="15.75" hidden="1" customHeight="1">
      <c r="A99" s="210" t="s">
        <v>197</v>
      </c>
      <c r="B99" s="211">
        <v>4</v>
      </c>
      <c r="C99" s="212">
        <v>2.3E-3</v>
      </c>
      <c r="D99" s="212">
        <v>2.23E-2</v>
      </c>
      <c r="E99" s="212">
        <v>5.7500000000000002E-2</v>
      </c>
      <c r="F99" s="213">
        <v>3.5099999999999999E-2</v>
      </c>
      <c r="G99" s="214">
        <v>8.6099999999999996E-2</v>
      </c>
      <c r="H99" s="215"/>
      <c r="I99" s="92"/>
      <c r="J99" s="92"/>
      <c r="K99" s="92"/>
      <c r="L99" s="92"/>
      <c r="M99" s="92"/>
      <c r="N99" s="92"/>
      <c r="O99" s="92"/>
      <c r="P99" s="92"/>
      <c r="Q99" s="92"/>
      <c r="R99" s="92"/>
      <c r="S99" s="92"/>
      <c r="T99" s="92"/>
      <c r="U99" s="92"/>
      <c r="V99" s="92"/>
      <c r="W99" s="92"/>
      <c r="X99" s="92"/>
      <c r="Y99" s="92"/>
      <c r="Z99" s="92"/>
      <c r="AA99" s="92"/>
    </row>
    <row r="100" spans="1:27" ht="15.75" hidden="1" customHeight="1">
      <c r="A100" s="216" t="s">
        <v>198</v>
      </c>
      <c r="B100" s="217">
        <v>24</v>
      </c>
      <c r="C100" s="218">
        <v>4.19E-2</v>
      </c>
      <c r="D100" s="218">
        <v>0.1023</v>
      </c>
      <c r="E100" s="218">
        <v>3.73E-2</v>
      </c>
      <c r="F100" s="219">
        <v>7.8700000000000006E-2</v>
      </c>
      <c r="G100" s="220">
        <v>0.1203</v>
      </c>
      <c r="H100" s="215"/>
      <c r="I100" s="92"/>
      <c r="J100" s="92"/>
      <c r="K100" s="92"/>
      <c r="L100" s="92"/>
      <c r="M100" s="92"/>
      <c r="N100" s="92"/>
      <c r="O100" s="92"/>
      <c r="P100" s="92"/>
      <c r="Q100" s="92"/>
      <c r="R100" s="92"/>
      <c r="S100" s="92"/>
      <c r="T100" s="92"/>
      <c r="U100" s="92"/>
      <c r="V100" s="92"/>
      <c r="W100" s="92"/>
      <c r="X100" s="92"/>
      <c r="Y100" s="92"/>
      <c r="Z100" s="92"/>
      <c r="AA100" s="92"/>
    </row>
    <row r="101" spans="1:27" ht="15.75" hidden="1" customHeight="1">
      <c r="A101" s="210" t="s">
        <v>199</v>
      </c>
      <c r="B101" s="211">
        <v>14</v>
      </c>
      <c r="C101" s="212">
        <v>6.0299999999999999E-2</v>
      </c>
      <c r="D101" s="212">
        <v>2.3599999999999999E-2</v>
      </c>
      <c r="E101" s="212">
        <v>3.5799999999999998E-2</v>
      </c>
      <c r="F101" s="213">
        <v>5.04E-2</v>
      </c>
      <c r="G101" s="214">
        <v>6.9000000000000006E-2</v>
      </c>
      <c r="H101" s="215"/>
      <c r="I101" s="92"/>
      <c r="J101" s="92"/>
      <c r="K101" s="92"/>
      <c r="L101" s="95"/>
      <c r="M101" s="95"/>
      <c r="N101" s="95"/>
      <c r="O101" s="95"/>
      <c r="P101" s="95"/>
      <c r="Q101" s="95"/>
      <c r="R101" s="95"/>
      <c r="S101" s="95"/>
      <c r="T101" s="95"/>
      <c r="U101" s="95"/>
      <c r="V101" s="95"/>
      <c r="W101" s="95"/>
      <c r="X101" s="95"/>
      <c r="Y101" s="95"/>
      <c r="Z101" s="95"/>
      <c r="AA101" s="95"/>
    </row>
    <row r="102" spans="1:27" ht="15.75" hidden="1" customHeight="1">
      <c r="A102" s="216" t="s">
        <v>200</v>
      </c>
      <c r="B102" s="217">
        <v>15</v>
      </c>
      <c r="C102" s="218">
        <v>0.14779999999999999</v>
      </c>
      <c r="D102" s="218">
        <v>0.11650000000000001</v>
      </c>
      <c r="E102" s="218">
        <v>6.7000000000000004E-2</v>
      </c>
      <c r="F102" s="219">
        <v>4.65E-2</v>
      </c>
      <c r="G102" s="220">
        <v>0.14099999999999999</v>
      </c>
      <c r="H102" s="223"/>
      <c r="I102" s="95"/>
      <c r="J102" s="95"/>
      <c r="K102" s="95"/>
      <c r="L102" s="95"/>
      <c r="M102" s="95"/>
      <c r="N102" s="95"/>
      <c r="O102" s="95"/>
      <c r="P102" s="95"/>
      <c r="Q102" s="95"/>
      <c r="R102" s="95"/>
      <c r="S102" s="95"/>
      <c r="T102" s="95"/>
      <c r="U102" s="95"/>
      <c r="V102" s="95"/>
      <c r="W102" s="95"/>
      <c r="X102" s="95"/>
      <c r="Y102" s="95"/>
      <c r="Z102" s="95"/>
      <c r="AA102" s="95"/>
    </row>
    <row r="103" spans="1:27" ht="15.75" hidden="1" customHeight="1">
      <c r="A103" s="224" t="s">
        <v>201</v>
      </c>
      <c r="B103" s="225">
        <v>6062</v>
      </c>
      <c r="C103" s="226">
        <v>9.0800000000000006E-2</v>
      </c>
      <c r="D103" s="226">
        <v>9.9699999999999997E-2</v>
      </c>
      <c r="E103" s="226">
        <v>0.28939999999999999</v>
      </c>
      <c r="F103" s="227">
        <v>0.21440000000000001</v>
      </c>
      <c r="G103" s="214">
        <v>0.14699999999999999</v>
      </c>
      <c r="H103" s="223"/>
      <c r="I103" s="95"/>
      <c r="J103" s="95"/>
      <c r="K103" s="95"/>
      <c r="L103" s="95"/>
      <c r="M103" s="95"/>
      <c r="N103" s="95"/>
      <c r="O103" s="95"/>
      <c r="P103" s="95"/>
      <c r="Q103" s="95"/>
      <c r="R103" s="95"/>
      <c r="S103" s="95"/>
      <c r="T103" s="95"/>
      <c r="U103" s="95"/>
      <c r="V103" s="95"/>
      <c r="W103" s="95"/>
      <c r="X103" s="95"/>
      <c r="Y103" s="95"/>
      <c r="Z103" s="95"/>
      <c r="AA103" s="95"/>
    </row>
    <row r="104" spans="1:27" ht="15.75" hidden="1" customHeight="1">
      <c r="A104" s="228" t="s">
        <v>258</v>
      </c>
      <c r="B104" s="229">
        <v>4935</v>
      </c>
      <c r="C104" s="230">
        <v>9.3899999999999997E-2</v>
      </c>
      <c r="D104" s="230">
        <v>0.10249999999999999</v>
      </c>
      <c r="E104" s="230">
        <v>0.33550000000000002</v>
      </c>
      <c r="F104" s="230">
        <v>0.25159999999999999</v>
      </c>
      <c r="G104" s="230">
        <v>0.155</v>
      </c>
      <c r="H104" s="215"/>
      <c r="I104" s="92"/>
      <c r="J104" s="92"/>
      <c r="K104" s="92"/>
      <c r="L104" s="92"/>
      <c r="M104" s="92"/>
      <c r="N104" s="92"/>
      <c r="O104" s="92"/>
      <c r="P104" s="92"/>
      <c r="Q104" s="92"/>
      <c r="R104" s="92"/>
      <c r="S104" s="92"/>
      <c r="T104" s="92"/>
      <c r="U104" s="92"/>
      <c r="V104" s="92"/>
      <c r="W104" s="92"/>
      <c r="X104" s="92"/>
      <c r="Y104" s="92"/>
      <c r="Z104" s="92"/>
      <c r="AA104" s="92"/>
    </row>
    <row r="105" spans="1:27" ht="15.75" customHeight="1">
      <c r="A105" s="231"/>
      <c r="B105" s="232"/>
      <c r="C105" s="233"/>
      <c r="D105" s="233"/>
      <c r="E105" s="233"/>
      <c r="F105" s="233"/>
      <c r="G105" s="233"/>
      <c r="H105" s="92"/>
      <c r="I105" s="92"/>
      <c r="J105" s="92"/>
      <c r="K105" s="92"/>
      <c r="L105" s="92"/>
      <c r="M105" s="92"/>
      <c r="N105" s="92"/>
      <c r="O105" s="92"/>
      <c r="P105" s="92"/>
      <c r="Q105" s="92"/>
      <c r="R105" s="92"/>
      <c r="S105" s="92"/>
      <c r="T105" s="92"/>
      <c r="U105" s="92"/>
      <c r="V105" s="92"/>
      <c r="W105" s="92"/>
      <c r="X105" s="92"/>
      <c r="Y105" s="92"/>
      <c r="Z105" s="92"/>
      <c r="AA105" s="92"/>
    </row>
    <row r="106" spans="1:27" ht="15.75" customHeight="1">
      <c r="A106" s="234"/>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c r="AA106" s="92"/>
    </row>
    <row r="107" spans="1:27" ht="15.75" customHeight="1">
      <c r="A107" s="234"/>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c r="AA107" s="92"/>
    </row>
    <row r="108" spans="1:27" ht="15.75" customHeight="1">
      <c r="A108" s="234"/>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c r="AA108" s="92"/>
    </row>
    <row r="109" spans="1:27" ht="15.75" customHeight="1">
      <c r="A109" s="234"/>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c r="AA109" s="92"/>
    </row>
    <row r="110" spans="1:27" ht="15.75" customHeight="1">
      <c r="A110" s="234"/>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c r="AA110" s="92"/>
    </row>
    <row r="111" spans="1:27" ht="15.75" customHeight="1">
      <c r="A111" s="234"/>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c r="AA111" s="92"/>
    </row>
    <row r="112" spans="1:27" ht="15.75" customHeight="1">
      <c r="A112" s="234"/>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row>
    <row r="113" spans="1:27" ht="15.75" customHeight="1">
      <c r="A113" s="234"/>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c r="AA113" s="92"/>
    </row>
    <row r="114" spans="1:27" ht="15.75" customHeight="1">
      <c r="A114" s="234"/>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c r="AA114" s="92"/>
    </row>
    <row r="115" spans="1:27" ht="15.75" customHeight="1">
      <c r="A115" s="234"/>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c r="AA115" s="92"/>
    </row>
    <row r="116" spans="1:27" ht="15.75" customHeight="1">
      <c r="A116" s="234"/>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c r="AA116" s="92"/>
    </row>
    <row r="117" spans="1:27" ht="15.75" customHeight="1">
      <c r="A117" s="234"/>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c r="AA117" s="92"/>
    </row>
    <row r="118" spans="1:27" ht="15.75" customHeight="1">
      <c r="A118" s="234"/>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c r="AA118" s="92"/>
    </row>
    <row r="119" spans="1:27" ht="15.75" customHeight="1">
      <c r="A119" s="234"/>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row>
    <row r="120" spans="1:27" ht="15.75" customHeight="1">
      <c r="A120" s="234"/>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c r="AA120" s="92"/>
    </row>
    <row r="121" spans="1:27" ht="15.75" customHeight="1">
      <c r="A121" s="234"/>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c r="AA121" s="92"/>
    </row>
    <row r="122" spans="1:27" ht="15.75" customHeight="1">
      <c r="A122" s="234"/>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c r="AA122" s="92"/>
    </row>
    <row r="123" spans="1:27" ht="15.75" customHeight="1">
      <c r="A123" s="234"/>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c r="AA123" s="92"/>
    </row>
    <row r="124" spans="1:27" ht="15.75" customHeight="1">
      <c r="A124" s="234"/>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c r="AA124" s="92"/>
    </row>
    <row r="125" spans="1:27" ht="15.75" customHeight="1">
      <c r="A125" s="234"/>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c r="AA125" s="92"/>
    </row>
    <row r="126" spans="1:27" ht="15.75" customHeight="1">
      <c r="A126" s="234"/>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c r="AA126" s="92"/>
    </row>
    <row r="127" spans="1:27" ht="15.75" customHeight="1">
      <c r="A127" s="234"/>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c r="AA127" s="92"/>
    </row>
    <row r="128" spans="1:27" ht="15.75" customHeight="1">
      <c r="A128" s="234"/>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c r="AA128" s="92"/>
    </row>
    <row r="129" spans="1:27" ht="15.75" customHeight="1">
      <c r="A129" s="234"/>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c r="AA129" s="92"/>
    </row>
    <row r="130" spans="1:27" ht="15.75" customHeight="1">
      <c r="A130" s="234"/>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2"/>
    </row>
    <row r="131" spans="1:27" ht="15.75" customHeight="1">
      <c r="A131" s="234"/>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c r="AA131" s="92"/>
    </row>
    <row r="132" spans="1:27" ht="15.75" customHeight="1">
      <c r="A132" s="234"/>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c r="AA132" s="92"/>
    </row>
    <row r="133" spans="1:27" ht="15.75" customHeight="1">
      <c r="A133" s="234"/>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c r="AA133" s="92"/>
    </row>
    <row r="134" spans="1:27" ht="15.75" customHeight="1">
      <c r="A134" s="234"/>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c r="AA134" s="92"/>
    </row>
    <row r="135" spans="1:27" ht="15.75" customHeight="1">
      <c r="A135" s="234"/>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c r="AA135" s="92"/>
    </row>
    <row r="136" spans="1:27" ht="15.75" customHeight="1">
      <c r="A136" s="234"/>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c r="AA136" s="92"/>
    </row>
    <row r="137" spans="1:27" ht="15.75" customHeight="1">
      <c r="A137" s="234"/>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c r="AA137" s="92"/>
    </row>
    <row r="138" spans="1:27" ht="15.75" customHeight="1">
      <c r="A138" s="234"/>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c r="AA138" s="92"/>
    </row>
    <row r="139" spans="1:27" ht="15.75" customHeight="1">
      <c r="A139" s="234"/>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2"/>
    </row>
    <row r="140" spans="1:27" ht="15.75" customHeight="1">
      <c r="A140" s="234"/>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c r="AA140" s="92"/>
    </row>
    <row r="141" spans="1:27" ht="15.75" customHeight="1">
      <c r="A141" s="234"/>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c r="AA141" s="92"/>
    </row>
    <row r="142" spans="1:27" ht="15.75" customHeight="1">
      <c r="A142" s="234"/>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c r="AA142" s="92"/>
    </row>
    <row r="143" spans="1:27" ht="15.75" customHeight="1">
      <c r="A143" s="234"/>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c r="AA143" s="92"/>
    </row>
    <row r="144" spans="1:27" ht="15.75" customHeight="1">
      <c r="A144" s="234"/>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c r="AA144" s="92"/>
    </row>
    <row r="145" spans="1:27" ht="15.75" customHeight="1">
      <c r="A145" s="234"/>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c r="AA145" s="92"/>
    </row>
    <row r="146" spans="1:27" ht="15.75" customHeight="1">
      <c r="A146" s="234"/>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c r="AA146" s="92"/>
    </row>
    <row r="147" spans="1:27" ht="15.75" customHeight="1">
      <c r="A147" s="234"/>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c r="AA147" s="92"/>
    </row>
    <row r="148" spans="1:27" ht="15.75" customHeight="1">
      <c r="A148" s="234"/>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c r="AA148" s="92"/>
    </row>
    <row r="149" spans="1:27" ht="15.75" customHeight="1">
      <c r="A149" s="234"/>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c r="AA149" s="92"/>
    </row>
    <row r="150" spans="1:27" ht="15.75" customHeight="1">
      <c r="A150" s="234"/>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c r="AA150" s="92"/>
    </row>
    <row r="151" spans="1:27" ht="15.75" customHeight="1">
      <c r="A151" s="234"/>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c r="AA151" s="92"/>
    </row>
    <row r="152" spans="1:27" ht="15.75" customHeight="1">
      <c r="A152" s="234"/>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c r="AA152" s="92"/>
    </row>
    <row r="153" spans="1:27" ht="15.75" customHeight="1">
      <c r="A153" s="234"/>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c r="AA153" s="92"/>
    </row>
    <row r="154" spans="1:27" ht="15.75" customHeight="1">
      <c r="A154" s="234"/>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c r="AA154" s="92"/>
    </row>
    <row r="155" spans="1:27" ht="15.75" customHeight="1">
      <c r="A155" s="234"/>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c r="AA155" s="92"/>
    </row>
    <row r="156" spans="1:27" ht="15.75" customHeight="1">
      <c r="A156" s="234"/>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c r="AA156" s="92"/>
    </row>
    <row r="157" spans="1:27" ht="15.75" customHeight="1">
      <c r="A157" s="234"/>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c r="AA157" s="92"/>
    </row>
    <row r="158" spans="1:27" ht="15.75" customHeight="1">
      <c r="A158" s="234"/>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c r="AA158" s="92"/>
    </row>
    <row r="159" spans="1:27" ht="15.75" customHeight="1">
      <c r="A159" s="234"/>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c r="AA159" s="92"/>
    </row>
    <row r="160" spans="1:27" ht="15.75" customHeight="1">
      <c r="A160" s="234"/>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c r="AA160" s="92"/>
    </row>
    <row r="161" spans="1:27" ht="15.75" customHeight="1">
      <c r="A161" s="234"/>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c r="AA161" s="92"/>
    </row>
    <row r="162" spans="1:27" ht="15.75" customHeight="1">
      <c r="A162" s="234"/>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c r="AA162" s="92"/>
    </row>
    <row r="163" spans="1:27" ht="15.75" customHeight="1">
      <c r="A163" s="234"/>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c r="AA163" s="92"/>
    </row>
    <row r="164" spans="1:27" ht="15.75" customHeight="1">
      <c r="A164" s="234"/>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c r="AA164" s="92"/>
    </row>
    <row r="165" spans="1:27" ht="15.75" customHeight="1">
      <c r="A165" s="234"/>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c r="AA165" s="92"/>
    </row>
    <row r="166" spans="1:27" ht="15.75" customHeight="1">
      <c r="A166" s="234"/>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c r="AA166" s="92"/>
    </row>
    <row r="167" spans="1:27" ht="15.75" customHeight="1">
      <c r="A167" s="234"/>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c r="AA167" s="92"/>
    </row>
    <row r="168" spans="1:27" ht="15.75" customHeight="1">
      <c r="A168" s="234"/>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c r="AA168" s="92"/>
    </row>
    <row r="169" spans="1:27" ht="15.75" customHeight="1">
      <c r="A169" s="234"/>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row>
    <row r="170" spans="1:27" ht="15.75" customHeight="1">
      <c r="A170" s="234"/>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c r="AA170" s="92"/>
    </row>
    <row r="171" spans="1:27" ht="15.75" customHeight="1">
      <c r="A171" s="234"/>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c r="AA171" s="92"/>
    </row>
    <row r="172" spans="1:27" ht="15.75" customHeight="1">
      <c r="A172" s="234"/>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c r="AA172" s="92"/>
    </row>
    <row r="173" spans="1:27" ht="15.75" customHeight="1">
      <c r="A173" s="234"/>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c r="AA173" s="92"/>
    </row>
    <row r="174" spans="1:27" ht="15.75" customHeight="1">
      <c r="A174" s="234"/>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c r="AA174" s="92"/>
    </row>
    <row r="175" spans="1:27" ht="15.75" customHeight="1">
      <c r="A175" s="234"/>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c r="AA175" s="92"/>
    </row>
    <row r="176" spans="1:27" ht="15.75" customHeight="1">
      <c r="A176" s="234"/>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c r="AA176" s="92"/>
    </row>
    <row r="177" spans="1:27" ht="15.75" customHeight="1">
      <c r="A177" s="234"/>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c r="AA177" s="92"/>
    </row>
    <row r="178" spans="1:27" ht="15.75" customHeight="1">
      <c r="A178" s="234"/>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c r="AA178" s="92"/>
    </row>
    <row r="179" spans="1:27" ht="15.75" customHeight="1">
      <c r="A179" s="234"/>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c r="AA179" s="92"/>
    </row>
    <row r="180" spans="1:27" ht="15.75" customHeight="1">
      <c r="A180" s="234"/>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c r="AA180" s="92"/>
    </row>
    <row r="181" spans="1:27" ht="15.75" customHeight="1">
      <c r="A181" s="234"/>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c r="AA181" s="92"/>
    </row>
    <row r="182" spans="1:27" ht="15.75" customHeight="1">
      <c r="A182" s="234"/>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c r="AA182" s="92"/>
    </row>
    <row r="183" spans="1:27" ht="15.75" customHeight="1">
      <c r="A183" s="234"/>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c r="AA183" s="92"/>
    </row>
    <row r="184" spans="1:27" ht="15.75" customHeight="1">
      <c r="A184" s="234"/>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c r="AA184" s="92"/>
    </row>
    <row r="185" spans="1:27" ht="15.75" customHeight="1">
      <c r="A185" s="234"/>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c r="AA185" s="92"/>
    </row>
    <row r="186" spans="1:27" ht="15.75" customHeight="1">
      <c r="A186" s="234"/>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c r="AA186" s="92"/>
    </row>
    <row r="187" spans="1:27" ht="15.75" customHeight="1">
      <c r="A187" s="234"/>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c r="AA187" s="92"/>
    </row>
    <row r="188" spans="1:27" ht="15.75" customHeight="1">
      <c r="A188" s="234"/>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c r="AA188" s="92"/>
    </row>
    <row r="189" spans="1:27" ht="15.75" customHeight="1">
      <c r="A189" s="234"/>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c r="AA189" s="92"/>
    </row>
    <row r="190" spans="1:27" ht="15.75" customHeight="1">
      <c r="A190" s="234"/>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c r="AA190" s="92"/>
    </row>
    <row r="191" spans="1:27" ht="15.75" customHeight="1">
      <c r="A191" s="234"/>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c r="AA191" s="92"/>
    </row>
    <row r="192" spans="1:27" ht="15.75" customHeight="1">
      <c r="A192" s="234"/>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c r="AA192" s="92"/>
    </row>
    <row r="193" spans="1:27" ht="15.75" customHeight="1">
      <c r="A193" s="234"/>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c r="AA193" s="92"/>
    </row>
    <row r="194" spans="1:27" ht="15.75" customHeight="1">
      <c r="A194" s="234"/>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c r="AA194" s="92"/>
    </row>
    <row r="195" spans="1:27" ht="15.75" customHeight="1">
      <c r="A195" s="234"/>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c r="AA195" s="92"/>
    </row>
    <row r="196" spans="1:27" ht="15.75" customHeight="1">
      <c r="A196" s="234"/>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c r="AA196" s="92"/>
    </row>
    <row r="197" spans="1:27" ht="15.75" customHeight="1">
      <c r="A197" s="234"/>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c r="AA197" s="92"/>
    </row>
    <row r="198" spans="1:27" ht="15.75" customHeight="1">
      <c r="A198" s="234"/>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c r="AA198" s="92"/>
    </row>
    <row r="199" spans="1:27" ht="15.75" customHeight="1">
      <c r="A199" s="234"/>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c r="AA199" s="92"/>
    </row>
    <row r="200" spans="1:27" ht="15.75" customHeight="1">
      <c r="A200" s="234"/>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c r="AA200" s="92"/>
    </row>
    <row r="201" spans="1:27" ht="15.75" customHeight="1">
      <c r="A201" s="234"/>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c r="AA201" s="92"/>
    </row>
    <row r="202" spans="1:27" ht="15.75" customHeight="1">
      <c r="A202" s="234"/>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c r="AA202" s="92"/>
    </row>
    <row r="203" spans="1:27" ht="15.75" customHeight="1">
      <c r="A203" s="234"/>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c r="AA203" s="92"/>
    </row>
    <row r="204" spans="1:27" ht="15.75" customHeight="1">
      <c r="A204" s="234"/>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c r="AA204" s="92"/>
    </row>
    <row r="205" spans="1:27" ht="15.75" customHeight="1">
      <c r="A205" s="234"/>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c r="AA205" s="92"/>
    </row>
    <row r="206" spans="1:27" ht="15.75" customHeight="1">
      <c r="A206" s="234"/>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c r="AA206" s="92"/>
    </row>
    <row r="207" spans="1:27" ht="15.75" customHeight="1">
      <c r="A207" s="234"/>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c r="AA207" s="92"/>
    </row>
    <row r="208" spans="1:27" ht="15.75" customHeight="1">
      <c r="A208" s="234"/>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c r="AA208" s="92"/>
    </row>
    <row r="209" spans="1:27" ht="15.75" customHeight="1">
      <c r="A209" s="234"/>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c r="AA209" s="92"/>
    </row>
    <row r="210" spans="1:27" ht="15.75" customHeight="1">
      <c r="A210" s="234"/>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c r="AA210" s="92"/>
    </row>
    <row r="211" spans="1:27" ht="15.75" customHeight="1">
      <c r="A211" s="234"/>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c r="AA211" s="92"/>
    </row>
    <row r="212" spans="1:27" ht="15.75" customHeight="1">
      <c r="A212" s="234"/>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c r="AA212" s="92"/>
    </row>
    <row r="213" spans="1:27" ht="15.75" customHeight="1">
      <c r="A213" s="234"/>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c r="AA213" s="92"/>
    </row>
    <row r="214" spans="1:27" ht="15.75" customHeight="1">
      <c r="A214" s="234"/>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c r="AA214" s="92"/>
    </row>
    <row r="215" spans="1:27" ht="15.75" customHeight="1">
      <c r="A215" s="234"/>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c r="AA215" s="92"/>
    </row>
    <row r="216" spans="1:27" ht="15.75" customHeight="1">
      <c r="A216" s="234"/>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c r="AA216" s="92"/>
    </row>
    <row r="217" spans="1:27" ht="15.75" customHeight="1">
      <c r="A217" s="234"/>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c r="AA217" s="92"/>
    </row>
    <row r="218" spans="1:27" ht="15.75" customHeight="1">
      <c r="A218" s="234"/>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c r="AA218" s="92"/>
    </row>
    <row r="219" spans="1:27" ht="15.75" customHeight="1">
      <c r="A219" s="234"/>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c r="AA219" s="92"/>
    </row>
    <row r="220" spans="1:27" ht="15.75" customHeight="1">
      <c r="A220" s="234"/>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c r="AA220" s="92"/>
    </row>
    <row r="221" spans="1:27" ht="15.75" customHeight="1">
      <c r="A221" s="234"/>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c r="AA221" s="92"/>
    </row>
    <row r="222" spans="1:27" ht="15.75" customHeight="1">
      <c r="A222" s="234"/>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c r="AA222" s="92"/>
    </row>
    <row r="223" spans="1:27" ht="15.75" customHeight="1">
      <c r="A223" s="234"/>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c r="AA223" s="92"/>
    </row>
    <row r="224" spans="1:27" ht="15.75" customHeight="1">
      <c r="A224" s="234"/>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c r="AA224" s="92"/>
    </row>
    <row r="225" spans="1:27" ht="15.75" customHeight="1">
      <c r="A225" s="234"/>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c r="AA225" s="92"/>
    </row>
    <row r="226" spans="1:27" ht="15.75" customHeight="1">
      <c r="A226" s="234"/>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c r="AA226" s="92"/>
    </row>
    <row r="227" spans="1:27" ht="15.75" customHeight="1">
      <c r="A227" s="234"/>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c r="AA227" s="92"/>
    </row>
    <row r="228" spans="1:27" ht="15.75" customHeight="1">
      <c r="A228" s="234"/>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c r="AA228" s="92"/>
    </row>
    <row r="229" spans="1:27" ht="15.75" customHeight="1">
      <c r="A229" s="234"/>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c r="AA229" s="92"/>
    </row>
    <row r="230" spans="1:27" ht="15.75" customHeight="1">
      <c r="A230" s="234"/>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c r="AA230" s="92"/>
    </row>
    <row r="231" spans="1:27" ht="15.75" customHeight="1">
      <c r="A231" s="234"/>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c r="AA231" s="92"/>
    </row>
    <row r="232" spans="1:27" ht="15.75" customHeight="1">
      <c r="A232" s="234"/>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c r="AA232" s="92"/>
    </row>
    <row r="233" spans="1:27" ht="15.75" customHeight="1">
      <c r="A233" s="234"/>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c r="AA233" s="92"/>
    </row>
    <row r="234" spans="1:27" ht="15.75" customHeight="1">
      <c r="A234" s="234"/>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c r="AA234" s="92"/>
    </row>
    <row r="235" spans="1:27" ht="15.75" customHeight="1">
      <c r="A235" s="234"/>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c r="AA235" s="92"/>
    </row>
    <row r="236" spans="1:27" ht="15.75" customHeight="1">
      <c r="A236" s="234"/>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c r="AA236" s="92"/>
    </row>
    <row r="237" spans="1:27" ht="15.75" customHeight="1">
      <c r="A237" s="234"/>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c r="AA237" s="92"/>
    </row>
    <row r="238" spans="1:27" ht="15.75" customHeight="1">
      <c r="A238" s="234"/>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c r="AA238" s="92"/>
    </row>
    <row r="239" spans="1:27" ht="15.75" customHeight="1">
      <c r="A239" s="234"/>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c r="AA239" s="92"/>
    </row>
    <row r="240" spans="1:27" ht="15.75" customHeight="1">
      <c r="A240" s="234"/>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c r="AA240" s="92"/>
    </row>
    <row r="241" spans="1:27" ht="15.75" customHeight="1">
      <c r="A241" s="234"/>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c r="AA241" s="92"/>
    </row>
    <row r="242" spans="1:27" ht="15.75" customHeight="1">
      <c r="A242" s="234"/>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c r="AA242" s="92"/>
    </row>
    <row r="243" spans="1:27" ht="15.75" customHeight="1">
      <c r="A243" s="234"/>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c r="AA243" s="92"/>
    </row>
    <row r="244" spans="1:27" ht="15.75" customHeight="1">
      <c r="A244" s="234"/>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c r="AA244" s="92"/>
    </row>
    <row r="245" spans="1:27" ht="15.75" customHeight="1">
      <c r="A245" s="234"/>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c r="AA245" s="92"/>
    </row>
    <row r="246" spans="1:27" ht="15.75" customHeight="1">
      <c r="A246" s="234"/>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c r="AA246" s="92"/>
    </row>
    <row r="247" spans="1:27" ht="15.75" customHeight="1">
      <c r="A247" s="234"/>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c r="AA247" s="92"/>
    </row>
    <row r="248" spans="1:27" ht="15.75" customHeight="1">
      <c r="A248" s="234"/>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c r="AA248" s="92"/>
    </row>
    <row r="249" spans="1:27" ht="15.75" customHeight="1">
      <c r="A249" s="234"/>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c r="AA249" s="92"/>
    </row>
    <row r="250" spans="1:27" ht="15.75" customHeight="1">
      <c r="A250" s="234"/>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c r="AA250" s="92"/>
    </row>
    <row r="251" spans="1:27" ht="15.75" customHeight="1">
      <c r="A251" s="234"/>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c r="AA251" s="92"/>
    </row>
    <row r="252" spans="1:27" ht="15.75" customHeight="1">
      <c r="A252" s="234"/>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c r="AA252" s="92"/>
    </row>
    <row r="253" spans="1:27" ht="15.75" customHeight="1">
      <c r="A253" s="234"/>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c r="AA253" s="92"/>
    </row>
    <row r="254" spans="1:27" ht="15.75" customHeight="1">
      <c r="A254" s="234"/>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c r="AA254" s="92"/>
    </row>
    <row r="255" spans="1:27" ht="15.75" customHeight="1">
      <c r="A255" s="234"/>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c r="AA255" s="92"/>
    </row>
    <row r="256" spans="1:27" ht="15.75" customHeight="1">
      <c r="A256" s="234"/>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c r="AA256" s="92"/>
    </row>
    <row r="257" spans="1:27" ht="15.75" customHeight="1">
      <c r="A257" s="234"/>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c r="AA257" s="92"/>
    </row>
    <row r="258" spans="1:27" ht="15.75" customHeight="1">
      <c r="A258" s="234"/>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c r="AA258" s="92"/>
    </row>
    <row r="259" spans="1:27" ht="15.75" customHeight="1">
      <c r="A259" s="234"/>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c r="AA259" s="92"/>
    </row>
    <row r="260" spans="1:27" ht="15.75" customHeight="1">
      <c r="A260" s="234"/>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c r="AA260" s="92"/>
    </row>
    <row r="261" spans="1:27" ht="15.75" customHeight="1">
      <c r="A261" s="234"/>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c r="AA261" s="92"/>
    </row>
    <row r="262" spans="1:27" ht="15.75" customHeight="1">
      <c r="A262" s="234"/>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c r="AA262" s="92"/>
    </row>
    <row r="263" spans="1:27" ht="15.75" customHeight="1">
      <c r="A263" s="234"/>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c r="AA263" s="92"/>
    </row>
    <row r="264" spans="1:27" ht="15.75" customHeight="1">
      <c r="A264" s="234"/>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c r="AA264" s="92"/>
    </row>
    <row r="265" spans="1:27" ht="15.75" customHeight="1">
      <c r="A265" s="234"/>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c r="AA265" s="92"/>
    </row>
    <row r="266" spans="1:27" ht="15.75" customHeight="1">
      <c r="A266" s="234"/>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c r="AA266" s="92"/>
    </row>
    <row r="267" spans="1:27" ht="15.75" customHeight="1">
      <c r="A267" s="234"/>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c r="AA267" s="92"/>
    </row>
    <row r="268" spans="1:27" ht="15.75" customHeight="1">
      <c r="A268" s="234"/>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c r="AA268" s="92"/>
    </row>
    <row r="269" spans="1:27" ht="15.75" customHeight="1">
      <c r="A269" s="234"/>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c r="AA269" s="92"/>
    </row>
    <row r="270" spans="1:27" ht="15.75" customHeight="1">
      <c r="A270" s="234"/>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c r="AA270" s="92"/>
    </row>
    <row r="271" spans="1:27" ht="15.75" customHeight="1">
      <c r="A271" s="234"/>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c r="AA271" s="92"/>
    </row>
    <row r="272" spans="1:27" ht="15.75" customHeight="1">
      <c r="A272" s="234"/>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c r="AA272" s="92"/>
    </row>
    <row r="273" spans="1:27" ht="15.75" customHeight="1">
      <c r="A273" s="234"/>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c r="AA273" s="92"/>
    </row>
    <row r="274" spans="1:27" ht="15.75" customHeight="1">
      <c r="A274" s="234"/>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c r="AA274" s="92"/>
    </row>
    <row r="275" spans="1:27" ht="15.75" customHeight="1">
      <c r="A275" s="234"/>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c r="AA275" s="92"/>
    </row>
    <row r="276" spans="1:27" ht="15.75" customHeight="1">
      <c r="A276" s="234"/>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c r="AA276" s="92"/>
    </row>
    <row r="277" spans="1:27" ht="15.75" customHeight="1">
      <c r="A277" s="234"/>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c r="AA277" s="92"/>
    </row>
    <row r="278" spans="1:27" ht="15.75" customHeight="1">
      <c r="A278" s="234"/>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c r="AA278" s="92"/>
    </row>
    <row r="279" spans="1:27" ht="15.75" customHeight="1">
      <c r="A279" s="234"/>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c r="AA279" s="92"/>
    </row>
    <row r="280" spans="1:27" ht="15.75" customHeight="1">
      <c r="A280" s="234"/>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c r="AA280" s="92"/>
    </row>
    <row r="281" spans="1:27" ht="15.75" customHeight="1">
      <c r="A281" s="234"/>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c r="AA281" s="92"/>
    </row>
    <row r="282" spans="1:27" ht="15.75" customHeight="1">
      <c r="A282" s="234"/>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c r="AA282" s="92"/>
    </row>
    <row r="283" spans="1:27" ht="15.75" customHeight="1">
      <c r="A283" s="234"/>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c r="AA283" s="92"/>
    </row>
    <row r="284" spans="1:27" ht="15.75" customHeight="1">
      <c r="A284" s="234"/>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c r="AA284" s="92"/>
    </row>
    <row r="285" spans="1:27" ht="15.75" customHeight="1">
      <c r="A285" s="234"/>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c r="AA285" s="92"/>
    </row>
    <row r="286" spans="1:27" ht="15.75" customHeight="1">
      <c r="A286" s="234"/>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c r="AA286" s="92"/>
    </row>
    <row r="287" spans="1:27" ht="15.75" customHeight="1">
      <c r="A287" s="234"/>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c r="AA287" s="92"/>
    </row>
    <row r="288" spans="1:27" ht="15.75" customHeight="1">
      <c r="A288" s="234"/>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c r="AA288" s="92"/>
    </row>
    <row r="289" spans="1:27" ht="15.75" customHeight="1">
      <c r="A289" s="234"/>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c r="AA289" s="92"/>
    </row>
    <row r="290" spans="1:27" ht="15.75" customHeight="1">
      <c r="A290" s="234"/>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c r="AA290" s="92"/>
    </row>
    <row r="291" spans="1:27" ht="15.75" customHeight="1">
      <c r="A291" s="234"/>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c r="AA291" s="92"/>
    </row>
    <row r="292" spans="1:27" ht="15.75" customHeight="1">
      <c r="A292" s="234"/>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c r="AA292" s="92"/>
    </row>
    <row r="293" spans="1:27" ht="15.75" customHeight="1">
      <c r="A293" s="234"/>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c r="AA293" s="92"/>
    </row>
    <row r="294" spans="1:27" ht="15.75" customHeight="1">
      <c r="A294" s="234"/>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c r="AA294" s="92"/>
    </row>
    <row r="295" spans="1:27" ht="15.75" customHeight="1">
      <c r="A295" s="234"/>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c r="AA295" s="92"/>
    </row>
    <row r="296" spans="1:27" ht="15.75" customHeight="1">
      <c r="A296" s="234"/>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c r="AA296" s="92"/>
    </row>
    <row r="297" spans="1:27" ht="15.75" customHeight="1">
      <c r="A297" s="234"/>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c r="AA297" s="92"/>
    </row>
    <row r="298" spans="1:27" ht="15.75" customHeight="1">
      <c r="A298" s="234"/>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c r="AA298" s="92"/>
    </row>
    <row r="299" spans="1:27" ht="15.75" customHeight="1">
      <c r="A299" s="234"/>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c r="AA299" s="92"/>
    </row>
    <row r="300" spans="1:27" ht="15.75" customHeight="1">
      <c r="A300" s="234"/>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c r="AA300" s="92"/>
    </row>
    <row r="301" spans="1:27" ht="15.75" customHeight="1">
      <c r="A301" s="234"/>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c r="AA301" s="92"/>
    </row>
    <row r="302" spans="1:27" ht="15.75" customHeight="1">
      <c r="A302" s="234"/>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c r="AA302" s="92"/>
    </row>
    <row r="303" spans="1:27" ht="15.75" customHeight="1">
      <c r="A303" s="234"/>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c r="AA303" s="92"/>
    </row>
    <row r="304" spans="1:27" ht="15.75" customHeight="1">
      <c r="A304" s="234"/>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c r="AA304" s="92"/>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8:G104" xr:uid="{00000000-0009-0000-0000-000005000000}">
    <filterColumn colId="0">
      <filters>
        <filter val="Engineering/Construction"/>
      </filters>
    </filterColumn>
  </autoFilter>
  <mergeCells count="8">
    <mergeCell ref="B5:H5"/>
    <mergeCell ref="B6:H6"/>
    <mergeCell ref="B7:H7"/>
    <mergeCell ref="B1:H1"/>
    <mergeCell ref="B2:H2"/>
    <mergeCell ref="B3:E3"/>
    <mergeCell ref="F3:H3"/>
    <mergeCell ref="B4:H4"/>
  </mergeCells>
  <hyperlinks>
    <hyperlink ref="B2" r:id="rId1" xr:uid="{00000000-0004-0000-0500-000000000000}"/>
    <hyperlink ref="B4" r:id="rId2" xr:uid="{00000000-0004-0000-0500-000001000000}"/>
    <hyperlink ref="B5" r:id="rId3" xr:uid="{00000000-0004-0000-0500-000002000000}"/>
    <hyperlink ref="B6" r:id="rId4" xr:uid="{00000000-0004-0000-0500-000003000000}"/>
    <hyperlink ref="B7" r:id="rId5" xr:uid="{00000000-0004-0000-0500-000004000000}"/>
  </hyperlinks>
  <printOptions gridLines="1"/>
  <pageMargins left="0.75" right="0.75" top="1" bottom="1" header="0" footer="0"/>
  <pageSetup scale="60" orientation="landscape"/>
  <headerFooter>
    <oddHeader>&amp;C000000Historical Growth Rates&amp;R000000Global 2016</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baseColWidth="10" defaultColWidth="14.44140625" defaultRowHeight="15" customHeight="1"/>
  <cols>
    <col min="1" max="1" width="12" customWidth="1"/>
    <col min="2" max="2" width="35.88671875" customWidth="1"/>
    <col min="3" max="4" width="10.44140625" customWidth="1"/>
    <col min="5" max="5" width="63.109375" customWidth="1"/>
    <col min="6" max="6" width="9.44140625" customWidth="1"/>
    <col min="7" max="7" width="10.88671875" customWidth="1"/>
    <col min="8" max="8" width="7.44140625" customWidth="1"/>
    <col min="9" max="9" width="9.33203125" customWidth="1"/>
    <col min="10" max="10" width="12.44140625" customWidth="1"/>
    <col min="11" max="11" width="13" customWidth="1"/>
    <col min="12" max="12" width="19.44140625" customWidth="1"/>
    <col min="13" max="26" width="12" customWidth="1"/>
  </cols>
  <sheetData>
    <row r="1" spans="1:26" ht="12.75" customHeight="1">
      <c r="A1" s="235"/>
      <c r="B1" s="235"/>
      <c r="C1" s="235"/>
      <c r="D1" s="235"/>
      <c r="E1" s="235"/>
      <c r="F1" s="235"/>
      <c r="G1" s="235"/>
      <c r="H1" s="1392"/>
      <c r="I1" s="1334"/>
      <c r="J1" s="1334"/>
      <c r="K1" s="1334"/>
      <c r="L1" s="1334"/>
      <c r="M1" s="235"/>
      <c r="N1" s="235"/>
      <c r="O1" s="235"/>
      <c r="P1" s="235"/>
      <c r="Q1" s="235"/>
      <c r="R1" s="235"/>
      <c r="S1" s="235"/>
      <c r="T1" s="235"/>
      <c r="U1" s="235"/>
      <c r="V1" s="235"/>
      <c r="W1" s="235"/>
      <c r="X1" s="235"/>
      <c r="Y1" s="235"/>
      <c r="Z1" s="235"/>
    </row>
    <row r="2" spans="1:26" ht="12.75" customHeight="1">
      <c r="A2" s="235"/>
      <c r="B2" s="236"/>
      <c r="C2" s="235"/>
      <c r="D2" s="235"/>
      <c r="E2" s="47"/>
      <c r="F2" s="237" t="s">
        <v>259</v>
      </c>
      <c r="G2" s="237" t="s">
        <v>260</v>
      </c>
      <c r="H2" s="1334"/>
      <c r="I2" s="1334"/>
      <c r="J2" s="1334"/>
      <c r="K2" s="1334"/>
      <c r="L2" s="1334"/>
      <c r="M2" s="235"/>
      <c r="N2" s="235"/>
      <c r="O2" s="235"/>
      <c r="P2" s="235"/>
      <c r="Q2" s="235"/>
      <c r="R2" s="235"/>
      <c r="S2" s="235"/>
      <c r="T2" s="235"/>
      <c r="U2" s="235"/>
      <c r="V2" s="235"/>
      <c r="W2" s="235"/>
      <c r="X2" s="235"/>
      <c r="Y2" s="235"/>
      <c r="Z2" s="235"/>
    </row>
    <row r="3" spans="1:26" ht="34.5" customHeight="1">
      <c r="A3" s="235"/>
      <c r="B3" s="238" t="s">
        <v>261</v>
      </c>
      <c r="C3" s="235"/>
      <c r="D3" s="235"/>
      <c r="E3" s="238" t="s">
        <v>262</v>
      </c>
      <c r="F3" s="238" t="s">
        <v>263</v>
      </c>
      <c r="G3" s="238" t="s">
        <v>264</v>
      </c>
      <c r="H3" s="235"/>
      <c r="I3" s="235"/>
      <c r="J3" s="235"/>
      <c r="K3" s="235"/>
      <c r="L3" s="235"/>
      <c r="M3" s="235"/>
      <c r="N3" s="235"/>
      <c r="O3" s="235"/>
      <c r="P3" s="235"/>
      <c r="Q3" s="235"/>
      <c r="R3" s="235"/>
      <c r="S3" s="235"/>
      <c r="T3" s="235"/>
      <c r="U3" s="235"/>
      <c r="V3" s="235"/>
      <c r="W3" s="235"/>
      <c r="X3" s="235"/>
      <c r="Y3" s="235"/>
      <c r="Z3" s="235"/>
    </row>
    <row r="4" spans="1:26" ht="12.75" customHeight="1">
      <c r="A4" s="235"/>
      <c r="B4" s="239" t="s">
        <v>265</v>
      </c>
      <c r="C4" s="235"/>
      <c r="D4" s="235"/>
      <c r="E4" s="68" t="s">
        <v>266</v>
      </c>
      <c r="F4" s="240">
        <v>0.18529999999999999</v>
      </c>
      <c r="G4" s="70">
        <v>0.17979999999999999</v>
      </c>
      <c r="H4" s="235"/>
      <c r="I4" s="235"/>
      <c r="J4" s="235"/>
      <c r="K4" s="235"/>
      <c r="L4" s="235"/>
      <c r="M4" s="241">
        <v>55000</v>
      </c>
      <c r="N4" s="235"/>
      <c r="O4" s="235"/>
      <c r="P4" s="235"/>
      <c r="Q4" s="235"/>
      <c r="R4" s="235"/>
      <c r="S4" s="235"/>
      <c r="T4" s="235"/>
      <c r="U4" s="235"/>
      <c r="V4" s="235"/>
      <c r="W4" s="235"/>
      <c r="X4" s="235"/>
      <c r="Y4" s="235"/>
      <c r="Z4" s="235"/>
    </row>
    <row r="5" spans="1:26" ht="12.75" customHeight="1">
      <c r="A5" s="235"/>
      <c r="B5" s="242"/>
      <c r="C5" s="235"/>
      <c r="D5" s="235"/>
      <c r="E5" s="68"/>
      <c r="F5" s="243"/>
      <c r="G5" s="243"/>
      <c r="H5" s="235"/>
      <c r="I5" s="235"/>
      <c r="J5" s="235"/>
      <c r="K5" s="235"/>
      <c r="L5" s="235"/>
      <c r="M5" s="235">
        <v>3</v>
      </c>
      <c r="N5" s="235"/>
      <c r="O5" s="235"/>
      <c r="P5" s="235"/>
      <c r="Q5" s="235"/>
      <c r="R5" s="235"/>
      <c r="S5" s="235"/>
      <c r="T5" s="235"/>
      <c r="U5" s="235"/>
      <c r="V5" s="235"/>
      <c r="W5" s="235"/>
      <c r="X5" s="235"/>
      <c r="Y5" s="235"/>
      <c r="Z5" s="235"/>
    </row>
    <row r="6" spans="1:26" ht="12.75" customHeight="1">
      <c r="A6" s="235"/>
      <c r="B6" s="244"/>
      <c r="C6" s="235"/>
      <c r="D6" s="235"/>
      <c r="E6" s="68"/>
      <c r="F6" s="245"/>
      <c r="G6" s="245"/>
      <c r="H6" s="235"/>
      <c r="I6" s="235"/>
      <c r="J6" s="235"/>
      <c r="K6" s="235"/>
      <c r="L6" s="235"/>
      <c r="M6" s="241">
        <f>+M4/M5</f>
        <v>18333.333333333332</v>
      </c>
      <c r="N6" s="235"/>
      <c r="O6" s="235"/>
      <c r="P6" s="235"/>
      <c r="Q6" s="235"/>
      <c r="R6" s="235"/>
      <c r="S6" s="235"/>
      <c r="T6" s="235"/>
      <c r="U6" s="235"/>
      <c r="V6" s="235"/>
      <c r="W6" s="235"/>
      <c r="X6" s="235"/>
      <c r="Y6" s="235"/>
      <c r="Z6" s="235"/>
    </row>
    <row r="7" spans="1:26" ht="12.75" customHeight="1">
      <c r="A7" s="235"/>
      <c r="B7" s="239"/>
      <c r="C7" s="235"/>
      <c r="D7" s="235"/>
      <c r="E7" s="68"/>
      <c r="F7" s="3"/>
      <c r="G7" s="245"/>
      <c r="H7" s="235"/>
      <c r="I7" s="235"/>
      <c r="J7" s="235"/>
      <c r="K7" s="235"/>
      <c r="L7" s="235"/>
      <c r="M7" s="235"/>
      <c r="N7" s="235"/>
      <c r="O7" s="235"/>
      <c r="P7" s="235"/>
      <c r="Q7" s="235"/>
      <c r="R7" s="235"/>
      <c r="S7" s="235"/>
      <c r="T7" s="235"/>
      <c r="U7" s="235"/>
      <c r="V7" s="235"/>
      <c r="W7" s="235"/>
      <c r="X7" s="235"/>
      <c r="Y7" s="235"/>
      <c r="Z7" s="235"/>
    </row>
    <row r="8" spans="1:26" ht="12.75" customHeight="1">
      <c r="A8" s="235"/>
      <c r="B8" s="239"/>
      <c r="C8" s="235"/>
      <c r="D8" s="235"/>
      <c r="E8" s="68"/>
      <c r="F8" s="3"/>
      <c r="G8" s="245"/>
      <c r="H8" s="235"/>
      <c r="I8" s="235"/>
      <c r="J8" s="235"/>
      <c r="K8" s="235"/>
      <c r="L8" s="235"/>
      <c r="M8" s="235"/>
      <c r="N8" s="235"/>
      <c r="O8" s="235"/>
      <c r="P8" s="235"/>
      <c r="Q8" s="235"/>
      <c r="R8" s="235"/>
      <c r="S8" s="235"/>
      <c r="T8" s="235"/>
      <c r="U8" s="235"/>
      <c r="V8" s="235"/>
      <c r="W8" s="235"/>
      <c r="X8" s="235"/>
      <c r="Y8" s="235"/>
      <c r="Z8" s="235"/>
    </row>
    <row r="9" spans="1:26" ht="12.75" customHeight="1">
      <c r="A9" s="235"/>
      <c r="B9" s="244" t="s">
        <v>267</v>
      </c>
      <c r="C9" s="235"/>
      <c r="D9" s="235"/>
      <c r="E9" s="246" t="s">
        <v>268</v>
      </c>
      <c r="F9" s="247">
        <f t="shared" ref="F9:G9" si="0">AVERAGE(F4:F5)</f>
        <v>0.18529999999999999</v>
      </c>
      <c r="G9" s="247">
        <f t="shared" si="0"/>
        <v>0.17979999999999999</v>
      </c>
      <c r="H9" s="235"/>
      <c r="I9" s="235"/>
      <c r="J9" s="235"/>
      <c r="K9" s="235"/>
      <c r="L9" s="235"/>
      <c r="M9" s="235"/>
      <c r="N9" s="235"/>
      <c r="O9" s="235"/>
      <c r="P9" s="235"/>
      <c r="Q9" s="235"/>
      <c r="R9" s="235"/>
      <c r="S9" s="235"/>
      <c r="T9" s="235"/>
      <c r="U9" s="235"/>
      <c r="V9" s="235"/>
      <c r="W9" s="235"/>
      <c r="X9" s="235"/>
      <c r="Y9" s="235"/>
      <c r="Z9" s="235"/>
    </row>
    <row r="10" spans="1:26" ht="12.75" customHeight="1">
      <c r="A10" s="235"/>
      <c r="B10" s="235"/>
      <c r="C10" s="235"/>
      <c r="D10" s="235"/>
      <c r="E10" s="235"/>
      <c r="F10" s="235"/>
      <c r="G10" s="235"/>
      <c r="H10" s="235"/>
      <c r="I10" s="235"/>
      <c r="J10" s="235"/>
      <c r="K10" s="235"/>
      <c r="L10" s="235"/>
      <c r="M10" s="235"/>
      <c r="N10" s="235"/>
      <c r="O10" s="235"/>
      <c r="P10" s="235"/>
      <c r="Q10" s="235"/>
      <c r="R10" s="235"/>
      <c r="S10" s="235"/>
      <c r="T10" s="235"/>
      <c r="U10" s="235"/>
      <c r="V10" s="235"/>
      <c r="W10" s="235"/>
      <c r="X10" s="235"/>
      <c r="Y10" s="235"/>
      <c r="Z10" s="235"/>
    </row>
    <row r="11" spans="1:26" ht="12.75" customHeight="1">
      <c r="A11" s="236"/>
      <c r="B11" s="236"/>
      <c r="C11" s="236"/>
      <c r="D11" s="248"/>
      <c r="E11" s="249"/>
      <c r="F11" s="248"/>
      <c r="G11" s="248"/>
      <c r="H11" s="248"/>
      <c r="I11" s="248"/>
      <c r="J11" s="250"/>
      <c r="K11" s="251"/>
      <c r="L11" s="235"/>
      <c r="M11" s="235"/>
      <c r="N11" s="235"/>
      <c r="O11" s="235"/>
      <c r="P11" s="235"/>
      <c r="Q11" s="235"/>
      <c r="R11" s="235"/>
      <c r="S11" s="235"/>
      <c r="T11" s="235"/>
      <c r="U11" s="235"/>
      <c r="V11" s="235"/>
      <c r="W11" s="235"/>
      <c r="X11" s="235"/>
      <c r="Y11" s="235"/>
      <c r="Z11" s="235"/>
    </row>
    <row r="12" spans="1:26" ht="15" customHeight="1">
      <c r="A12" s="236" t="s">
        <v>269</v>
      </c>
      <c r="B12" s="252" t="str">
        <f>+B4</f>
        <v>PayPal Holdings Inc</v>
      </c>
      <c r="C12" s="253">
        <v>43829</v>
      </c>
      <c r="D12" s="253">
        <v>44195</v>
      </c>
      <c r="E12" s="254">
        <v>44286</v>
      </c>
      <c r="F12" s="1393" t="s">
        <v>270</v>
      </c>
      <c r="G12" s="1394"/>
      <c r="H12" s="1394"/>
      <c r="I12" s="1394"/>
      <c r="J12" s="255" t="s">
        <v>268</v>
      </c>
      <c r="K12" s="256" t="s">
        <v>216</v>
      </c>
      <c r="L12" s="235"/>
      <c r="M12" s="235"/>
      <c r="N12" s="235"/>
      <c r="O12" s="235"/>
      <c r="P12" s="235"/>
      <c r="Q12" s="235"/>
      <c r="R12" s="235"/>
      <c r="S12" s="235"/>
      <c r="T12" s="235"/>
      <c r="U12" s="235"/>
      <c r="V12" s="235"/>
      <c r="W12" s="235"/>
      <c r="X12" s="235"/>
      <c r="Y12" s="235"/>
      <c r="Z12" s="235"/>
    </row>
    <row r="13" spans="1:26" ht="12.75" customHeight="1">
      <c r="A13" s="236"/>
      <c r="B13" s="257" t="s">
        <v>271</v>
      </c>
      <c r="C13" s="258">
        <v>9785</v>
      </c>
      <c r="D13" s="259">
        <v>11453</v>
      </c>
      <c r="E13" s="260">
        <v>13450</v>
      </c>
      <c r="F13" s="261"/>
      <c r="G13" s="262"/>
      <c r="H13" s="262">
        <f t="shared" ref="H13:H14" si="1">+E13/C13-1</f>
        <v>0.37455288707204915</v>
      </c>
      <c r="I13" s="262"/>
      <c r="J13" s="263">
        <f>AVERAGE(F13:I13)</f>
        <v>0.37455288707204915</v>
      </c>
      <c r="K13" s="264">
        <f t="shared" ref="K13:K14" si="2">+(D13/C13)^(1/1)-1</f>
        <v>0.17046499744506893</v>
      </c>
      <c r="L13" s="235"/>
      <c r="M13" s="235"/>
      <c r="N13" s="235"/>
      <c r="O13" s="235"/>
      <c r="P13" s="235"/>
      <c r="Q13" s="235"/>
      <c r="R13" s="235"/>
      <c r="S13" s="235"/>
      <c r="T13" s="235"/>
      <c r="U13" s="235"/>
      <c r="V13" s="235"/>
      <c r="W13" s="235"/>
      <c r="X13" s="235"/>
      <c r="Y13" s="235"/>
      <c r="Z13" s="235"/>
    </row>
    <row r="14" spans="1:26" ht="12.75" customHeight="1">
      <c r="A14" s="236"/>
      <c r="B14" s="265" t="s">
        <v>272</v>
      </c>
      <c r="C14" s="266">
        <v>2719</v>
      </c>
      <c r="D14" s="267">
        <v>3289</v>
      </c>
      <c r="E14" s="268">
        <v>4262</v>
      </c>
      <c r="F14" s="269"/>
      <c r="G14" s="270"/>
      <c r="H14" s="270">
        <f t="shared" si="1"/>
        <v>0.56748804707613099</v>
      </c>
      <c r="I14" s="270"/>
      <c r="J14" s="271">
        <f>+H14</f>
        <v>0.56748804707613099</v>
      </c>
      <c r="K14" s="272">
        <f t="shared" si="2"/>
        <v>0.20963589554983453</v>
      </c>
      <c r="L14" s="235"/>
      <c r="M14" s="235"/>
      <c r="N14" s="235"/>
      <c r="O14" s="235"/>
      <c r="P14" s="235"/>
      <c r="Q14" s="235"/>
      <c r="R14" s="235"/>
      <c r="S14" s="235"/>
      <c r="T14" s="235"/>
      <c r="U14" s="235"/>
      <c r="V14" s="235"/>
      <c r="W14" s="235"/>
      <c r="X14" s="235"/>
      <c r="Y14" s="235"/>
      <c r="Z14" s="235"/>
    </row>
    <row r="15" spans="1:26" ht="12.75" customHeight="1">
      <c r="A15" s="236"/>
      <c r="B15" s="236"/>
      <c r="C15" s="273"/>
      <c r="D15" s="274"/>
      <c r="E15" s="274"/>
      <c r="F15" s="274"/>
      <c r="G15" s="248"/>
      <c r="H15" s="248"/>
      <c r="I15" s="248"/>
      <c r="J15" s="250"/>
      <c r="K15" s="251"/>
      <c r="L15" s="235"/>
      <c r="M15" s="235"/>
      <c r="N15" s="235"/>
      <c r="O15" s="235"/>
      <c r="P15" s="235"/>
      <c r="Q15" s="235"/>
      <c r="R15" s="235"/>
      <c r="S15" s="235"/>
      <c r="T15" s="235"/>
      <c r="U15" s="235"/>
      <c r="V15" s="235"/>
      <c r="W15" s="235"/>
      <c r="X15" s="235"/>
      <c r="Y15" s="235"/>
      <c r="Z15" s="235"/>
    </row>
    <row r="16" spans="1:26" ht="12.75" customHeight="1">
      <c r="A16" s="236"/>
      <c r="B16" s="275">
        <f>+B5</f>
        <v>0</v>
      </c>
      <c r="C16" s="253">
        <v>44195</v>
      </c>
      <c r="D16" s="253">
        <v>44560</v>
      </c>
      <c r="E16" s="254">
        <v>44651</v>
      </c>
      <c r="F16" s="1395" t="s">
        <v>270</v>
      </c>
      <c r="G16" s="1347"/>
      <c r="H16" s="1347"/>
      <c r="I16" s="1347"/>
      <c r="J16" s="275" t="s">
        <v>268</v>
      </c>
      <c r="K16" s="276" t="s">
        <v>216</v>
      </c>
      <c r="L16" s="235"/>
      <c r="M16" s="235"/>
      <c r="N16" s="235"/>
      <c r="O16" s="235"/>
      <c r="P16" s="235"/>
      <c r="Q16" s="235"/>
      <c r="R16" s="235"/>
      <c r="S16" s="235"/>
      <c r="T16" s="235"/>
      <c r="U16" s="235"/>
      <c r="V16" s="235"/>
      <c r="W16" s="235"/>
      <c r="X16" s="235"/>
      <c r="Y16" s="235"/>
      <c r="Z16" s="235"/>
    </row>
    <row r="17" spans="1:26" ht="12.75" customHeight="1">
      <c r="A17" s="236"/>
      <c r="B17" s="277" t="s">
        <v>271</v>
      </c>
      <c r="C17" s="278"/>
      <c r="D17" s="279"/>
      <c r="E17" s="280"/>
      <c r="F17" s="261"/>
      <c r="G17" s="262"/>
      <c r="H17" s="262" t="e">
        <f t="shared" ref="H17:I17" si="3">+D17/C17-1</f>
        <v>#DIV/0!</v>
      </c>
      <c r="I17" s="262" t="e">
        <f t="shared" si="3"/>
        <v>#DIV/0!</v>
      </c>
      <c r="J17" s="263" t="e">
        <f t="shared" ref="J17:J18" si="4">AVERAGE(F17:I17)</f>
        <v>#DIV/0!</v>
      </c>
      <c r="K17" s="281" t="e">
        <f t="shared" ref="K17:K18" si="5">+(D17/C17)^(1/1)-1</f>
        <v>#DIV/0!</v>
      </c>
      <c r="L17" s="235"/>
      <c r="M17" s="235"/>
      <c r="N17" s="235"/>
      <c r="O17" s="235"/>
      <c r="P17" s="235"/>
      <c r="Q17" s="235"/>
      <c r="R17" s="235"/>
      <c r="S17" s="235"/>
      <c r="T17" s="235"/>
      <c r="U17" s="235"/>
      <c r="V17" s="235"/>
      <c r="W17" s="235"/>
      <c r="X17" s="235"/>
      <c r="Y17" s="235"/>
      <c r="Z17" s="235"/>
    </row>
    <row r="18" spans="1:26" ht="12.75" customHeight="1">
      <c r="A18" s="236"/>
      <c r="B18" s="282" t="s">
        <v>272</v>
      </c>
      <c r="C18" s="283"/>
      <c r="D18" s="284"/>
      <c r="E18" s="285"/>
      <c r="F18" s="286"/>
      <c r="G18" s="287"/>
      <c r="H18" s="287" t="e">
        <f t="shared" ref="H18:I18" si="6">+D18/C18-1</f>
        <v>#DIV/0!</v>
      </c>
      <c r="I18" s="287" t="e">
        <f t="shared" si="6"/>
        <v>#DIV/0!</v>
      </c>
      <c r="J18" s="288" t="e">
        <f t="shared" si="4"/>
        <v>#DIV/0!</v>
      </c>
      <c r="K18" s="289" t="e">
        <f t="shared" si="5"/>
        <v>#DIV/0!</v>
      </c>
      <c r="L18" s="235"/>
      <c r="M18" s="235"/>
      <c r="N18" s="235"/>
      <c r="O18" s="235"/>
      <c r="P18" s="235"/>
      <c r="Q18" s="235"/>
      <c r="R18" s="235"/>
      <c r="S18" s="235"/>
      <c r="T18" s="235"/>
      <c r="U18" s="235"/>
      <c r="V18" s="235"/>
      <c r="W18" s="235"/>
      <c r="X18" s="235"/>
      <c r="Y18" s="235"/>
      <c r="Z18" s="235"/>
    </row>
    <row r="19" spans="1:26" ht="12.75" customHeight="1">
      <c r="A19" s="236"/>
      <c r="B19" s="236"/>
      <c r="C19" s="290"/>
      <c r="D19" s="291"/>
      <c r="E19" s="291"/>
      <c r="F19" s="292"/>
      <c r="G19" s="292"/>
      <c r="H19" s="292"/>
      <c r="I19" s="292"/>
      <c r="J19" s="293"/>
      <c r="K19" s="294"/>
      <c r="L19" s="235"/>
      <c r="M19" s="235"/>
      <c r="N19" s="235"/>
      <c r="O19" s="235"/>
      <c r="P19" s="235"/>
      <c r="Q19" s="235"/>
      <c r="R19" s="235"/>
      <c r="S19" s="235"/>
      <c r="T19" s="235"/>
      <c r="U19" s="235"/>
      <c r="V19" s="235"/>
      <c r="W19" s="235"/>
      <c r="X19" s="235"/>
      <c r="Y19" s="235"/>
      <c r="Z19" s="235"/>
    </row>
    <row r="20" spans="1:26" ht="12.75" customHeight="1">
      <c r="A20" s="236"/>
      <c r="B20" s="295" t="s">
        <v>273</v>
      </c>
      <c r="C20" s="253">
        <v>44195</v>
      </c>
      <c r="D20" s="253">
        <v>44560</v>
      </c>
      <c r="E20" s="254">
        <v>44651</v>
      </c>
      <c r="F20" s="1395" t="s">
        <v>270</v>
      </c>
      <c r="G20" s="1347"/>
      <c r="H20" s="1347"/>
      <c r="I20" s="1347"/>
      <c r="J20" s="275" t="s">
        <v>268</v>
      </c>
      <c r="K20" s="276" t="s">
        <v>216</v>
      </c>
      <c r="L20" s="235"/>
      <c r="M20" s="235"/>
      <c r="N20" s="235"/>
      <c r="O20" s="235"/>
      <c r="P20" s="235"/>
      <c r="Q20" s="235"/>
      <c r="R20" s="235"/>
      <c r="S20" s="235"/>
      <c r="T20" s="235"/>
      <c r="U20" s="235"/>
      <c r="V20" s="235"/>
      <c r="W20" s="235"/>
      <c r="X20" s="235"/>
      <c r="Y20" s="235"/>
      <c r="Z20" s="235"/>
    </row>
    <row r="21" spans="1:26" ht="12.75" customHeight="1">
      <c r="A21" s="236"/>
      <c r="B21" s="277" t="s">
        <v>271</v>
      </c>
      <c r="C21" s="258"/>
      <c r="D21" s="258"/>
      <c r="E21" s="260"/>
      <c r="F21" s="261"/>
      <c r="G21" s="262"/>
      <c r="H21" s="262"/>
      <c r="I21" s="262"/>
      <c r="J21" s="263"/>
      <c r="K21" s="281" t="s">
        <v>274</v>
      </c>
      <c r="L21" s="235"/>
      <c r="M21" s="235"/>
      <c r="N21" s="235"/>
      <c r="O21" s="235"/>
      <c r="P21" s="235"/>
      <c r="Q21" s="235"/>
      <c r="R21" s="235"/>
      <c r="S21" s="235"/>
      <c r="T21" s="235"/>
      <c r="U21" s="235"/>
      <c r="V21" s="235"/>
      <c r="W21" s="235"/>
      <c r="X21" s="235"/>
      <c r="Y21" s="235"/>
      <c r="Z21" s="235"/>
    </row>
    <row r="22" spans="1:26" ht="12.75" customHeight="1">
      <c r="A22" s="236"/>
      <c r="B22" s="282" t="s">
        <v>272</v>
      </c>
      <c r="C22" s="296"/>
      <c r="D22" s="297"/>
      <c r="E22" s="298"/>
      <c r="F22" s="286"/>
      <c r="G22" s="287"/>
      <c r="H22" s="287"/>
      <c r="I22" s="287"/>
      <c r="J22" s="288"/>
      <c r="K22" s="289" t="s">
        <v>274</v>
      </c>
      <c r="L22" s="235"/>
      <c r="M22" s="235"/>
      <c r="N22" s="235"/>
      <c r="O22" s="235"/>
      <c r="P22" s="235"/>
      <c r="Q22" s="235"/>
      <c r="R22" s="235"/>
      <c r="S22" s="235"/>
      <c r="T22" s="235"/>
      <c r="U22" s="235"/>
      <c r="V22" s="235"/>
      <c r="W22" s="235"/>
      <c r="X22" s="235"/>
      <c r="Y22" s="235"/>
      <c r="Z22" s="235"/>
    </row>
    <row r="23" spans="1:26" ht="12.75" customHeight="1">
      <c r="A23" s="236"/>
      <c r="B23" s="236"/>
      <c r="C23" s="290"/>
      <c r="D23" s="291"/>
      <c r="E23" s="291"/>
      <c r="F23" s="292"/>
      <c r="G23" s="292"/>
      <c r="H23" s="292"/>
      <c r="I23" s="292"/>
      <c r="J23" s="293"/>
      <c r="K23" s="294"/>
      <c r="L23" s="235"/>
      <c r="M23" s="235"/>
      <c r="N23" s="235"/>
      <c r="O23" s="235"/>
      <c r="P23" s="235"/>
      <c r="Q23" s="235"/>
      <c r="R23" s="235"/>
      <c r="S23" s="235"/>
      <c r="T23" s="235"/>
      <c r="U23" s="235"/>
      <c r="V23" s="235"/>
      <c r="W23" s="235"/>
      <c r="X23" s="235"/>
      <c r="Y23" s="235"/>
      <c r="Z23" s="235"/>
    </row>
    <row r="24" spans="1:26" ht="12.75" customHeight="1">
      <c r="A24" s="236"/>
      <c r="B24" s="275">
        <f>+B7</f>
        <v>0</v>
      </c>
      <c r="C24" s="253">
        <v>44195</v>
      </c>
      <c r="D24" s="253">
        <v>44560</v>
      </c>
      <c r="E24" s="254">
        <v>44651</v>
      </c>
      <c r="F24" s="1395" t="s">
        <v>270</v>
      </c>
      <c r="G24" s="1347"/>
      <c r="H24" s="1347"/>
      <c r="I24" s="1347"/>
      <c r="J24" s="275" t="s">
        <v>268</v>
      </c>
      <c r="K24" s="276" t="s">
        <v>216</v>
      </c>
      <c r="L24" s="235"/>
      <c r="M24" s="235"/>
      <c r="N24" s="235"/>
      <c r="O24" s="235"/>
      <c r="P24" s="235"/>
      <c r="Q24" s="235"/>
      <c r="R24" s="235"/>
      <c r="S24" s="235"/>
      <c r="T24" s="235"/>
      <c r="U24" s="235"/>
      <c r="V24" s="235"/>
      <c r="W24" s="235"/>
      <c r="X24" s="235"/>
      <c r="Y24" s="235"/>
      <c r="Z24" s="235"/>
    </row>
    <row r="25" spans="1:26" ht="12.75" customHeight="1">
      <c r="A25" s="236"/>
      <c r="B25" s="277" t="s">
        <v>271</v>
      </c>
      <c r="C25" s="278"/>
      <c r="D25" s="279"/>
      <c r="E25" s="280"/>
      <c r="F25" s="261"/>
      <c r="G25" s="262"/>
      <c r="H25" s="262" t="e">
        <f t="shared" ref="H25:I25" si="7">+D25/C25-1</f>
        <v>#DIV/0!</v>
      </c>
      <c r="I25" s="262" t="e">
        <f t="shared" si="7"/>
        <v>#DIV/0!</v>
      </c>
      <c r="J25" s="263" t="e">
        <f>AVERAGE(G25,I25,F25)</f>
        <v>#DIV/0!</v>
      </c>
      <c r="K25" s="281" t="e">
        <f t="shared" ref="K25:K26" si="8">+(E25/#REF!)^(1/3)-1</f>
        <v>#REF!</v>
      </c>
      <c r="L25" s="235"/>
      <c r="M25" s="235"/>
      <c r="N25" s="235"/>
      <c r="O25" s="235"/>
      <c r="P25" s="235"/>
      <c r="Q25" s="235"/>
      <c r="R25" s="235"/>
      <c r="S25" s="235"/>
      <c r="T25" s="235"/>
      <c r="U25" s="235"/>
      <c r="V25" s="235"/>
      <c r="W25" s="235"/>
      <c r="X25" s="235"/>
      <c r="Y25" s="235"/>
      <c r="Z25" s="235"/>
    </row>
    <row r="26" spans="1:26" ht="12.75" customHeight="1">
      <c r="A26" s="236"/>
      <c r="B26" s="282" t="s">
        <v>272</v>
      </c>
      <c r="C26" s="283"/>
      <c r="D26" s="284"/>
      <c r="E26" s="285"/>
      <c r="F26" s="286"/>
      <c r="G26" s="287"/>
      <c r="H26" s="287" t="e">
        <f t="shared" ref="H26:I26" si="9">+D26/C26-1</f>
        <v>#DIV/0!</v>
      </c>
      <c r="I26" s="287" t="e">
        <f t="shared" si="9"/>
        <v>#DIV/0!</v>
      </c>
      <c r="J26" s="288" t="e">
        <f>AVERAGE(G26)</f>
        <v>#DIV/0!</v>
      </c>
      <c r="K26" s="281" t="e">
        <f t="shared" si="8"/>
        <v>#REF!</v>
      </c>
      <c r="L26" s="235"/>
      <c r="M26" s="235"/>
      <c r="N26" s="235"/>
      <c r="O26" s="235"/>
      <c r="P26" s="235"/>
      <c r="Q26" s="235"/>
      <c r="R26" s="235"/>
      <c r="S26" s="235"/>
      <c r="T26" s="235"/>
      <c r="U26" s="235"/>
      <c r="V26" s="235"/>
      <c r="W26" s="235"/>
      <c r="X26" s="235"/>
      <c r="Y26" s="235"/>
      <c r="Z26" s="235"/>
    </row>
    <row r="27" spans="1:26" ht="12.75" customHeight="1">
      <c r="A27" s="236"/>
      <c r="B27" s="236"/>
      <c r="C27" s="290"/>
      <c r="D27" s="291"/>
      <c r="E27" s="291"/>
      <c r="F27" s="292"/>
      <c r="G27" s="292"/>
      <c r="H27" s="292"/>
      <c r="I27" s="292"/>
      <c r="J27" s="293"/>
      <c r="K27" s="294"/>
      <c r="L27" s="235"/>
      <c r="M27" s="235"/>
      <c r="N27" s="235"/>
      <c r="O27" s="235"/>
      <c r="P27" s="235"/>
      <c r="Q27" s="235"/>
      <c r="R27" s="235"/>
      <c r="S27" s="235"/>
      <c r="T27" s="235"/>
      <c r="U27" s="235"/>
      <c r="V27" s="235"/>
      <c r="W27" s="235"/>
      <c r="X27" s="235"/>
      <c r="Y27" s="235"/>
      <c r="Z27" s="235"/>
    </row>
    <row r="28" spans="1:26" ht="12.75" customHeight="1">
      <c r="A28" s="236"/>
      <c r="B28" s="275">
        <f>+B8</f>
        <v>0</v>
      </c>
      <c r="C28" s="253">
        <v>44195</v>
      </c>
      <c r="D28" s="253">
        <v>44560</v>
      </c>
      <c r="E28" s="254">
        <v>44651</v>
      </c>
      <c r="F28" s="1395" t="s">
        <v>270</v>
      </c>
      <c r="G28" s="1347"/>
      <c r="H28" s="1347"/>
      <c r="I28" s="1347"/>
      <c r="J28" s="275" t="s">
        <v>268</v>
      </c>
      <c r="K28" s="276" t="s">
        <v>216</v>
      </c>
      <c r="L28" s="235"/>
      <c r="M28" s="235"/>
      <c r="N28" s="235"/>
      <c r="O28" s="235"/>
      <c r="P28" s="235"/>
      <c r="Q28" s="235"/>
      <c r="R28" s="235"/>
      <c r="S28" s="235"/>
      <c r="T28" s="235"/>
      <c r="U28" s="235"/>
      <c r="V28" s="235"/>
      <c r="W28" s="235"/>
      <c r="X28" s="235"/>
      <c r="Y28" s="235"/>
      <c r="Z28" s="235"/>
    </row>
    <row r="29" spans="1:26" ht="12.75" customHeight="1">
      <c r="A29" s="236"/>
      <c r="B29" s="277" t="s">
        <v>271</v>
      </c>
      <c r="C29" s="278"/>
      <c r="D29" s="279"/>
      <c r="E29" s="280"/>
      <c r="F29" s="261"/>
      <c r="G29" s="262"/>
      <c r="H29" s="262" t="e">
        <f t="shared" ref="H29:I29" si="10">+D29/C29-1</f>
        <v>#DIV/0!</v>
      </c>
      <c r="I29" s="262" t="e">
        <f t="shared" si="10"/>
        <v>#DIV/0!</v>
      </c>
      <c r="J29" s="263" t="e">
        <f>AVERAGE(G29,F29)</f>
        <v>#DIV/0!</v>
      </c>
      <c r="K29" s="281" t="e">
        <f t="shared" ref="K29:K30" si="11">+(E29/#REF!)^(1/3)-1</f>
        <v>#REF!</v>
      </c>
      <c r="L29" s="235"/>
      <c r="M29" s="235"/>
      <c r="N29" s="235"/>
      <c r="O29" s="235"/>
      <c r="P29" s="235"/>
      <c r="Q29" s="235"/>
      <c r="R29" s="235"/>
      <c r="S29" s="235"/>
      <c r="T29" s="235"/>
      <c r="U29" s="235"/>
      <c r="V29" s="235"/>
      <c r="W29" s="235"/>
      <c r="X29" s="235"/>
      <c r="Y29" s="235"/>
      <c r="Z29" s="235"/>
    </row>
    <row r="30" spans="1:26" ht="12.75" customHeight="1">
      <c r="A30" s="236"/>
      <c r="B30" s="282" t="s">
        <v>272</v>
      </c>
      <c r="C30" s="283"/>
      <c r="D30" s="284"/>
      <c r="E30" s="285"/>
      <c r="F30" s="286"/>
      <c r="G30" s="287"/>
      <c r="H30" s="287" t="e">
        <f t="shared" ref="H30:I30" si="12">+D30/C30-1</f>
        <v>#DIV/0!</v>
      </c>
      <c r="I30" s="287" t="e">
        <f t="shared" si="12"/>
        <v>#DIV/0!</v>
      </c>
      <c r="J30" s="288" t="e">
        <f>AVERAGE(G30)</f>
        <v>#DIV/0!</v>
      </c>
      <c r="K30" s="281" t="e">
        <f t="shared" si="11"/>
        <v>#REF!</v>
      </c>
      <c r="L30" s="235"/>
      <c r="M30" s="235"/>
      <c r="N30" s="235"/>
      <c r="O30" s="235"/>
      <c r="P30" s="235"/>
      <c r="Q30" s="235"/>
      <c r="R30" s="235"/>
      <c r="S30" s="235"/>
      <c r="T30" s="235"/>
      <c r="U30" s="235"/>
      <c r="V30" s="235"/>
      <c r="W30" s="235"/>
      <c r="X30" s="235"/>
      <c r="Y30" s="235"/>
      <c r="Z30" s="235"/>
    </row>
    <row r="31" spans="1:26" ht="12.75" customHeight="1">
      <c r="A31" s="236"/>
      <c r="B31" s="236"/>
      <c r="C31" s="273"/>
      <c r="D31" s="274"/>
      <c r="E31" s="274"/>
      <c r="F31" s="274"/>
      <c r="G31" s="248"/>
      <c r="H31" s="248"/>
      <c r="I31" s="248"/>
      <c r="J31" s="250"/>
      <c r="K31" s="251"/>
      <c r="L31" s="235"/>
      <c r="M31" s="235"/>
      <c r="N31" s="235"/>
      <c r="O31" s="235"/>
      <c r="P31" s="235"/>
      <c r="Q31" s="235"/>
      <c r="R31" s="235"/>
      <c r="S31" s="235"/>
      <c r="T31" s="235"/>
      <c r="U31" s="235"/>
      <c r="V31" s="235"/>
      <c r="W31" s="235"/>
      <c r="X31" s="235"/>
      <c r="Y31" s="235"/>
      <c r="Z31" s="235"/>
    </row>
    <row r="32" spans="1:26" ht="12.75" customHeight="1">
      <c r="A32" s="235"/>
      <c r="B32" s="236" t="s">
        <v>275</v>
      </c>
      <c r="C32" s="236"/>
      <c r="D32" s="236"/>
      <c r="E32" s="236"/>
      <c r="F32" s="236"/>
      <c r="G32" s="1396" t="s">
        <v>276</v>
      </c>
      <c r="H32" s="1360"/>
      <c r="I32" s="1360"/>
      <c r="J32" s="299" t="e">
        <f t="shared" ref="J32:K32" si="13">AVERAGE(J13,J17)</f>
        <v>#DIV/0!</v>
      </c>
      <c r="K32" s="299" t="e">
        <f t="shared" si="13"/>
        <v>#DIV/0!</v>
      </c>
      <c r="L32" s="235"/>
      <c r="M32" s="235"/>
      <c r="N32" s="235"/>
      <c r="O32" s="235"/>
      <c r="P32" s="235"/>
      <c r="Q32" s="235"/>
      <c r="R32" s="235"/>
      <c r="S32" s="235"/>
      <c r="T32" s="235"/>
      <c r="U32" s="235"/>
      <c r="V32" s="235"/>
      <c r="W32" s="235"/>
      <c r="X32" s="235"/>
      <c r="Y32" s="235"/>
      <c r="Z32" s="235"/>
    </row>
    <row r="33" spans="1:26" ht="12.75" customHeight="1">
      <c r="A33" s="235"/>
      <c r="B33" s="235"/>
      <c r="C33" s="235"/>
      <c r="D33" s="235"/>
      <c r="E33" s="235"/>
      <c r="F33" s="235"/>
      <c r="G33" s="1396" t="s">
        <v>276</v>
      </c>
      <c r="H33" s="1360"/>
      <c r="I33" s="1360"/>
      <c r="J33" s="299" t="e">
        <f t="shared" ref="J33:K33" si="14">AVERAGE(J14,J18)</f>
        <v>#DIV/0!</v>
      </c>
      <c r="K33" s="299" t="e">
        <f t="shared" si="14"/>
        <v>#DIV/0!</v>
      </c>
      <c r="L33" s="235"/>
      <c r="M33" s="235"/>
      <c r="N33" s="235"/>
      <c r="O33" s="235"/>
      <c r="P33" s="235"/>
      <c r="Q33" s="235"/>
      <c r="R33" s="235"/>
      <c r="S33" s="235"/>
      <c r="T33" s="235"/>
      <c r="U33" s="235"/>
      <c r="V33" s="235"/>
      <c r="W33" s="235"/>
      <c r="X33" s="235"/>
      <c r="Y33" s="235"/>
      <c r="Z33" s="235"/>
    </row>
    <row r="34" spans="1:26" ht="12.75" customHeight="1">
      <c r="A34" s="235"/>
      <c r="B34" s="235"/>
      <c r="C34" s="235"/>
      <c r="D34" s="235"/>
      <c r="E34" s="235"/>
      <c r="F34" s="235"/>
      <c r="G34" s="300"/>
      <c r="H34" s="300"/>
      <c r="I34" s="300"/>
      <c r="J34" s="250"/>
      <c r="K34" s="250"/>
      <c r="L34" s="235"/>
      <c r="M34" s="235"/>
      <c r="N34" s="235"/>
      <c r="O34" s="235"/>
      <c r="P34" s="235"/>
      <c r="Q34" s="235"/>
      <c r="R34" s="235"/>
      <c r="S34" s="235"/>
      <c r="T34" s="235"/>
      <c r="U34" s="235"/>
      <c r="V34" s="235"/>
      <c r="W34" s="235"/>
      <c r="X34" s="235"/>
      <c r="Y34" s="235"/>
      <c r="Z34" s="235"/>
    </row>
    <row r="35" spans="1:26" ht="12.75" customHeight="1">
      <c r="A35" s="235"/>
      <c r="B35" s="235"/>
      <c r="C35" s="235"/>
      <c r="D35" s="235"/>
      <c r="E35" s="235"/>
      <c r="F35" s="235"/>
      <c r="G35" s="300"/>
      <c r="H35" s="300"/>
      <c r="I35" s="300"/>
      <c r="J35" s="250"/>
      <c r="K35" s="250"/>
      <c r="L35" s="235"/>
      <c r="M35" s="235"/>
      <c r="N35" s="235"/>
      <c r="O35" s="235"/>
      <c r="P35" s="235"/>
      <c r="Q35" s="235"/>
      <c r="R35" s="235"/>
      <c r="S35" s="235"/>
      <c r="T35" s="235"/>
      <c r="U35" s="235"/>
      <c r="V35" s="235"/>
      <c r="W35" s="235"/>
      <c r="X35" s="235"/>
      <c r="Y35" s="235"/>
      <c r="Z35" s="235"/>
    </row>
    <row r="36" spans="1:26" ht="12.75" customHeight="1">
      <c r="A36" s="235"/>
      <c r="B36" s="235"/>
      <c r="C36" s="235"/>
      <c r="D36" s="235"/>
      <c r="E36" s="235"/>
      <c r="F36" s="235"/>
      <c r="G36" s="300"/>
      <c r="H36" s="300"/>
      <c r="I36" s="300"/>
      <c r="J36" s="250"/>
      <c r="K36" s="250"/>
      <c r="L36" s="235"/>
      <c r="M36" s="235"/>
      <c r="N36" s="235"/>
      <c r="O36" s="235"/>
      <c r="P36" s="235"/>
      <c r="Q36" s="235"/>
      <c r="R36" s="235"/>
      <c r="S36" s="235"/>
      <c r="T36" s="235"/>
      <c r="U36" s="235"/>
      <c r="V36" s="235"/>
      <c r="W36" s="235"/>
      <c r="X36" s="235"/>
      <c r="Y36" s="235"/>
      <c r="Z36" s="235"/>
    </row>
    <row r="37" spans="1:26" ht="12.75" customHeight="1">
      <c r="A37" s="235"/>
      <c r="B37" s="235"/>
      <c r="C37" s="235"/>
      <c r="D37" s="235"/>
      <c r="E37" s="235"/>
      <c r="F37" s="235"/>
      <c r="G37" s="300"/>
      <c r="H37" s="300"/>
      <c r="I37" s="300"/>
      <c r="J37" s="250"/>
      <c r="K37" s="250"/>
      <c r="L37" s="235"/>
      <c r="M37" s="235"/>
      <c r="N37" s="235"/>
      <c r="O37" s="235"/>
      <c r="P37" s="235"/>
      <c r="Q37" s="235"/>
      <c r="R37" s="235"/>
      <c r="S37" s="235"/>
      <c r="T37" s="235"/>
      <c r="U37" s="235"/>
      <c r="V37" s="235"/>
      <c r="W37" s="235"/>
      <c r="X37" s="235"/>
      <c r="Y37" s="235"/>
      <c r="Z37" s="235"/>
    </row>
    <row r="38" spans="1:26" ht="12.75" customHeight="1">
      <c r="A38" s="301" t="s">
        <v>269</v>
      </c>
      <c r="B38" s="275" t="str">
        <f>+B12</f>
        <v>PayPal Holdings Inc</v>
      </c>
      <c r="C38" s="302">
        <v>43464</v>
      </c>
      <c r="D38" s="302">
        <v>43829</v>
      </c>
      <c r="E38" s="303">
        <v>44195</v>
      </c>
      <c r="F38" s="1395" t="s">
        <v>270</v>
      </c>
      <c r="G38" s="1347"/>
      <c r="H38" s="1347"/>
      <c r="I38" s="1347"/>
      <c r="J38" s="275" t="s">
        <v>268</v>
      </c>
      <c r="K38" s="276" t="s">
        <v>216</v>
      </c>
      <c r="L38" s="235"/>
      <c r="M38" s="235"/>
      <c r="N38" s="235"/>
      <c r="O38" s="235"/>
      <c r="P38" s="235"/>
      <c r="Q38" s="235"/>
      <c r="R38" s="235"/>
      <c r="S38" s="235"/>
      <c r="T38" s="235"/>
      <c r="U38" s="235"/>
      <c r="V38" s="235"/>
      <c r="W38" s="235"/>
      <c r="X38" s="235"/>
      <c r="Y38" s="235"/>
      <c r="Z38" s="235"/>
    </row>
    <row r="39" spans="1:26" ht="12.75" customHeight="1">
      <c r="A39" s="301"/>
      <c r="B39" s="277" t="s">
        <v>277</v>
      </c>
      <c r="C39" s="278">
        <v>12648</v>
      </c>
      <c r="D39" s="304">
        <v>17059</v>
      </c>
      <c r="E39" s="280">
        <v>4586</v>
      </c>
      <c r="F39" s="261"/>
      <c r="G39" s="262"/>
      <c r="H39" s="262">
        <f t="shared" ref="H39:I39" si="15">+D39/C39-1</f>
        <v>0.34875079063883607</v>
      </c>
      <c r="I39" s="262">
        <f t="shared" si="15"/>
        <v>-0.73116829825898355</v>
      </c>
      <c r="J39" s="263">
        <f>AVERAGE(F39:I39)</f>
        <v>-0.19120875381007374</v>
      </c>
      <c r="K39" s="264">
        <f t="shared" ref="K39:K40" si="16">+(D39/C39)^(1/1)-1</f>
        <v>0.34875079063883607</v>
      </c>
      <c r="L39" s="235"/>
      <c r="M39" s="235"/>
      <c r="N39" s="235"/>
      <c r="O39" s="235"/>
      <c r="P39" s="235"/>
      <c r="Q39" s="235"/>
      <c r="R39" s="235"/>
      <c r="S39" s="235"/>
      <c r="T39" s="235"/>
      <c r="U39" s="235"/>
      <c r="V39" s="235"/>
      <c r="W39" s="235"/>
      <c r="X39" s="235"/>
      <c r="Y39" s="235"/>
      <c r="Z39" s="235"/>
    </row>
    <row r="40" spans="1:26" ht="12.75" customHeight="1">
      <c r="A40" s="301"/>
      <c r="B40" s="282" t="s">
        <v>278</v>
      </c>
      <c r="C40" s="305">
        <v>12963</v>
      </c>
      <c r="D40" s="306">
        <v>17198</v>
      </c>
      <c r="E40" s="307">
        <v>-279</v>
      </c>
      <c r="F40" s="286"/>
      <c r="G40" s="287"/>
      <c r="H40" s="270">
        <f t="shared" ref="H40:I40" si="17">+D40/C40-1</f>
        <v>0.32669906657409542</v>
      </c>
      <c r="I40" s="270">
        <f t="shared" si="17"/>
        <v>-1.0162228166065821</v>
      </c>
      <c r="J40" s="288">
        <f>AVERAGE(F40:H40)</f>
        <v>0.32669906657409542</v>
      </c>
      <c r="K40" s="272">
        <f t="shared" si="16"/>
        <v>0.32669906657409542</v>
      </c>
      <c r="L40" s="235"/>
      <c r="M40" s="235"/>
      <c r="N40" s="235"/>
      <c r="O40" s="235"/>
      <c r="P40" s="235"/>
      <c r="Q40" s="235"/>
      <c r="R40" s="235"/>
      <c r="S40" s="235"/>
      <c r="T40" s="235"/>
      <c r="U40" s="235"/>
      <c r="V40" s="235"/>
      <c r="W40" s="235"/>
      <c r="X40" s="235"/>
      <c r="Y40" s="235"/>
      <c r="Z40" s="235"/>
    </row>
    <row r="41" spans="1:26" ht="12.75" customHeight="1">
      <c r="A41" s="301"/>
      <c r="B41" s="236"/>
      <c r="C41" s="273"/>
      <c r="D41" s="274"/>
      <c r="E41" s="274"/>
      <c r="F41" s="274"/>
      <c r="G41" s="248"/>
      <c r="H41" s="248"/>
      <c r="I41" s="248"/>
      <c r="J41" s="250"/>
      <c r="K41" s="251"/>
      <c r="L41" s="235"/>
      <c r="M41" s="235"/>
      <c r="N41" s="235"/>
      <c r="O41" s="235"/>
      <c r="P41" s="235"/>
      <c r="Q41" s="235"/>
      <c r="R41" s="235"/>
      <c r="S41" s="235"/>
      <c r="T41" s="235"/>
      <c r="U41" s="235"/>
      <c r="V41" s="235"/>
      <c r="W41" s="235"/>
      <c r="X41" s="235"/>
      <c r="Y41" s="235"/>
      <c r="Z41" s="235"/>
    </row>
    <row r="42" spans="1:26" ht="12.75" customHeight="1">
      <c r="A42" s="301"/>
      <c r="B42" s="236"/>
      <c r="C42" s="273"/>
      <c r="D42" s="274"/>
      <c r="E42" s="274"/>
      <c r="F42" s="274"/>
      <c r="G42" s="248"/>
      <c r="H42" s="248"/>
      <c r="I42" s="248"/>
      <c r="J42" s="250"/>
      <c r="K42" s="251"/>
      <c r="L42" s="235"/>
      <c r="M42" s="235"/>
      <c r="N42" s="235"/>
      <c r="O42" s="235"/>
      <c r="P42" s="235"/>
      <c r="Q42" s="235"/>
      <c r="R42" s="235"/>
      <c r="S42" s="235"/>
      <c r="T42" s="235"/>
      <c r="U42" s="235"/>
      <c r="V42" s="235"/>
      <c r="W42" s="235"/>
      <c r="X42" s="235"/>
      <c r="Y42" s="235"/>
      <c r="Z42" s="235"/>
    </row>
    <row r="43" spans="1:26" ht="12.75" customHeight="1">
      <c r="A43" s="301"/>
      <c r="B43" s="275"/>
      <c r="C43" s="302">
        <v>43464</v>
      </c>
      <c r="D43" s="302">
        <v>43829</v>
      </c>
      <c r="E43" s="303">
        <v>44195</v>
      </c>
      <c r="F43" s="1395" t="s">
        <v>270</v>
      </c>
      <c r="G43" s="1347"/>
      <c r="H43" s="1347"/>
      <c r="I43" s="1347"/>
      <c r="J43" s="275" t="s">
        <v>268</v>
      </c>
      <c r="K43" s="276" t="s">
        <v>216</v>
      </c>
      <c r="L43" s="235"/>
      <c r="M43" s="235"/>
      <c r="N43" s="235"/>
      <c r="O43" s="235"/>
      <c r="P43" s="235"/>
      <c r="Q43" s="235"/>
      <c r="R43" s="235"/>
      <c r="S43" s="235"/>
      <c r="T43" s="235"/>
      <c r="U43" s="235"/>
      <c r="V43" s="235"/>
      <c r="W43" s="235"/>
      <c r="X43" s="235"/>
      <c r="Y43" s="235"/>
      <c r="Z43" s="235"/>
    </row>
    <row r="44" spans="1:26" ht="12.75" customHeight="1">
      <c r="A44" s="301"/>
      <c r="B44" s="277" t="s">
        <v>277</v>
      </c>
      <c r="C44" s="278"/>
      <c r="D44" s="279"/>
      <c r="E44" s="280"/>
      <c r="F44" s="261"/>
      <c r="G44" s="262"/>
      <c r="H44" s="262" t="e">
        <f t="shared" ref="H44:I44" si="18">+D44/C44-1</f>
        <v>#DIV/0!</v>
      </c>
      <c r="I44" s="262" t="e">
        <f t="shared" si="18"/>
        <v>#DIV/0!</v>
      </c>
      <c r="J44" s="263" t="e">
        <f>AVERAGE(F44:I44)</f>
        <v>#DIV/0!</v>
      </c>
      <c r="K44" s="281" t="e">
        <f t="shared" ref="K44:K45" si="19">+(D44/C44)^(1/1)-1</f>
        <v>#DIV/0!</v>
      </c>
      <c r="L44" s="235"/>
      <c r="M44" s="235"/>
      <c r="N44" s="235"/>
      <c r="O44" s="235"/>
      <c r="P44" s="235"/>
      <c r="Q44" s="235"/>
      <c r="R44" s="235"/>
      <c r="S44" s="235"/>
      <c r="T44" s="235"/>
      <c r="U44" s="235"/>
      <c r="V44" s="235"/>
      <c r="W44" s="235"/>
      <c r="X44" s="235"/>
      <c r="Y44" s="235"/>
      <c r="Z44" s="235"/>
    </row>
    <row r="45" spans="1:26" ht="12.75" customHeight="1">
      <c r="A45" s="301"/>
      <c r="B45" s="282" t="s">
        <v>278</v>
      </c>
      <c r="C45" s="283"/>
      <c r="D45" s="284"/>
      <c r="E45" s="285"/>
      <c r="F45" s="286"/>
      <c r="G45" s="287"/>
      <c r="H45" s="287" t="e">
        <f t="shared" ref="H45:I45" si="20">+D45/C45-1</f>
        <v>#DIV/0!</v>
      </c>
      <c r="I45" s="287" t="e">
        <f t="shared" si="20"/>
        <v>#DIV/0!</v>
      </c>
      <c r="J45" s="288" t="e">
        <f>AVERAGE(F45:H45)</f>
        <v>#DIV/0!</v>
      </c>
      <c r="K45" s="289" t="e">
        <f t="shared" si="19"/>
        <v>#DIV/0!</v>
      </c>
      <c r="L45" s="235"/>
      <c r="M45" s="235"/>
      <c r="N45" s="235"/>
      <c r="O45" s="235"/>
      <c r="P45" s="235"/>
      <c r="Q45" s="235"/>
      <c r="R45" s="235"/>
      <c r="S45" s="235"/>
      <c r="T45" s="235"/>
      <c r="U45" s="235"/>
      <c r="V45" s="235"/>
      <c r="W45" s="235"/>
      <c r="X45" s="235"/>
      <c r="Y45" s="235"/>
      <c r="Z45" s="235"/>
    </row>
    <row r="46" spans="1:26" ht="12.75" customHeight="1">
      <c r="A46" s="301"/>
      <c r="B46" s="236"/>
      <c r="C46" s="273"/>
      <c r="D46" s="274"/>
      <c r="E46" s="274"/>
      <c r="F46" s="274"/>
      <c r="G46" s="248"/>
      <c r="H46" s="248"/>
      <c r="I46" s="248"/>
      <c r="J46" s="250"/>
      <c r="K46" s="251"/>
      <c r="L46" s="235"/>
      <c r="M46" s="235"/>
      <c r="N46" s="235"/>
      <c r="O46" s="235"/>
      <c r="P46" s="235"/>
      <c r="Q46" s="235"/>
      <c r="R46" s="235"/>
      <c r="S46" s="235"/>
      <c r="T46" s="235"/>
      <c r="U46" s="235"/>
      <c r="V46" s="235"/>
      <c r="W46" s="235"/>
      <c r="X46" s="235"/>
      <c r="Y46" s="235"/>
      <c r="Z46" s="235"/>
    </row>
    <row r="47" spans="1:26" ht="12.75" customHeight="1">
      <c r="A47" s="301"/>
      <c r="B47" s="236" t="s">
        <v>275</v>
      </c>
      <c r="C47" s="236"/>
      <c r="D47" s="236"/>
      <c r="E47" s="236"/>
      <c r="F47" s="236"/>
      <c r="G47" s="1396" t="s">
        <v>276</v>
      </c>
      <c r="H47" s="1360"/>
      <c r="I47" s="1360"/>
      <c r="J47" s="299" t="e">
        <f t="shared" ref="J47:K47" si="21">AVERAGE(J39,J44)</f>
        <v>#DIV/0!</v>
      </c>
      <c r="K47" s="299" t="e">
        <f t="shared" si="21"/>
        <v>#DIV/0!</v>
      </c>
      <c r="L47" s="235"/>
      <c r="M47" s="235"/>
      <c r="N47" s="235"/>
      <c r="O47" s="235"/>
      <c r="P47" s="235"/>
      <c r="Q47" s="235"/>
      <c r="R47" s="235"/>
      <c r="S47" s="235"/>
      <c r="T47" s="235"/>
      <c r="U47" s="235"/>
      <c r="V47" s="235"/>
      <c r="W47" s="235"/>
      <c r="X47" s="235"/>
      <c r="Y47" s="235"/>
      <c r="Z47" s="235"/>
    </row>
    <row r="48" spans="1:26" ht="12.75" customHeight="1">
      <c r="A48" s="235"/>
      <c r="B48" s="235"/>
      <c r="C48" s="235"/>
      <c r="D48" s="235"/>
      <c r="E48" s="235"/>
      <c r="F48" s="235"/>
      <c r="G48" s="1396" t="s">
        <v>276</v>
      </c>
      <c r="H48" s="1360"/>
      <c r="I48" s="1360"/>
      <c r="J48" s="299" t="e">
        <f t="shared" ref="J48:K48" si="22">AVERAGE(J40,J44)</f>
        <v>#DIV/0!</v>
      </c>
      <c r="K48" s="299" t="e">
        <f t="shared" si="22"/>
        <v>#DIV/0!</v>
      </c>
      <c r="L48" s="235"/>
      <c r="M48" s="235"/>
      <c r="N48" s="235"/>
      <c r="O48" s="235"/>
      <c r="P48" s="235"/>
      <c r="Q48" s="235"/>
      <c r="R48" s="235"/>
      <c r="S48" s="235"/>
      <c r="T48" s="235"/>
      <c r="U48" s="235"/>
      <c r="V48" s="235"/>
      <c r="W48" s="235"/>
      <c r="X48" s="235"/>
      <c r="Y48" s="235"/>
      <c r="Z48" s="235"/>
    </row>
    <row r="49" spans="1:26" ht="12.75" customHeight="1">
      <c r="A49" s="235"/>
      <c r="B49" s="235"/>
      <c r="C49" s="235"/>
      <c r="D49" s="235"/>
      <c r="E49" s="235"/>
      <c r="F49" s="235"/>
      <c r="G49" s="300"/>
      <c r="H49" s="300"/>
      <c r="I49" s="300"/>
      <c r="J49" s="250"/>
      <c r="K49" s="250"/>
      <c r="L49" s="235"/>
      <c r="M49" s="235"/>
      <c r="N49" s="235"/>
      <c r="O49" s="235"/>
      <c r="P49" s="235"/>
      <c r="Q49" s="235"/>
      <c r="R49" s="235"/>
      <c r="S49" s="235"/>
      <c r="T49" s="235"/>
      <c r="U49" s="235"/>
      <c r="V49" s="235"/>
      <c r="W49" s="235"/>
      <c r="X49" s="235"/>
      <c r="Y49" s="235"/>
      <c r="Z49" s="235"/>
    </row>
    <row r="50" spans="1:26" ht="12.75" customHeight="1">
      <c r="A50" s="235"/>
      <c r="B50" s="235"/>
      <c r="C50" s="235"/>
      <c r="D50" s="235"/>
      <c r="E50" s="235"/>
      <c r="F50" s="235"/>
      <c r="G50" s="300"/>
      <c r="H50" s="300"/>
      <c r="I50" s="300"/>
      <c r="J50" s="250"/>
      <c r="K50" s="250"/>
      <c r="L50" s="235"/>
      <c r="M50" s="235"/>
      <c r="N50" s="235"/>
      <c r="O50" s="235"/>
      <c r="P50" s="235"/>
      <c r="Q50" s="235"/>
      <c r="R50" s="235"/>
      <c r="S50" s="235"/>
      <c r="T50" s="235"/>
      <c r="U50" s="235"/>
      <c r="V50" s="235"/>
      <c r="W50" s="235"/>
      <c r="X50" s="235"/>
      <c r="Y50" s="235"/>
      <c r="Z50" s="235"/>
    </row>
    <row r="51" spans="1:26" ht="12.75" customHeight="1">
      <c r="A51" s="235"/>
      <c r="B51" s="308" t="s">
        <v>279</v>
      </c>
      <c r="C51" s="235"/>
      <c r="D51" s="235"/>
      <c r="E51" s="235"/>
      <c r="F51" s="235"/>
      <c r="G51" s="235"/>
      <c r="H51" s="235"/>
      <c r="I51" s="235"/>
      <c r="J51" s="235"/>
      <c r="K51" s="235"/>
      <c r="L51" s="235"/>
      <c r="M51" s="235"/>
      <c r="N51" s="235"/>
      <c r="O51" s="235"/>
      <c r="P51" s="235"/>
      <c r="Q51" s="235"/>
      <c r="R51" s="235"/>
      <c r="S51" s="235"/>
      <c r="T51" s="235"/>
      <c r="U51" s="235"/>
      <c r="V51" s="235"/>
      <c r="W51" s="235"/>
      <c r="X51" s="235"/>
      <c r="Y51" s="235"/>
      <c r="Z51" s="235"/>
    </row>
    <row r="52" spans="1:26" ht="12.75" customHeight="1">
      <c r="A52" s="235"/>
      <c r="B52" s="235"/>
      <c r="C52" s="235"/>
      <c r="D52" s="235"/>
      <c r="E52" s="235"/>
      <c r="F52" s="235"/>
      <c r="G52" s="235"/>
      <c r="H52" s="235"/>
      <c r="I52" s="235"/>
      <c r="J52" s="235"/>
      <c r="K52" s="235"/>
      <c r="L52" s="235"/>
      <c r="M52" s="235"/>
      <c r="N52" s="235"/>
      <c r="O52" s="235"/>
      <c r="P52" s="235"/>
      <c r="Q52" s="235"/>
      <c r="R52" s="235"/>
      <c r="S52" s="235"/>
      <c r="T52" s="235"/>
      <c r="U52" s="235"/>
      <c r="V52" s="235"/>
      <c r="W52" s="235"/>
      <c r="X52" s="235"/>
      <c r="Y52" s="235"/>
      <c r="Z52" s="235"/>
    </row>
    <row r="53" spans="1:26" ht="12.75" customHeight="1">
      <c r="A53" s="235"/>
      <c r="B53" s="235"/>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row>
    <row r="54" spans="1:26" ht="12.75" customHeight="1">
      <c r="A54" s="235" t="s">
        <v>269</v>
      </c>
      <c r="B54" s="309" t="str">
        <f>+B12</f>
        <v>PayPal Holdings Inc</v>
      </c>
      <c r="C54" s="302">
        <v>43465</v>
      </c>
      <c r="D54" s="302">
        <v>43830</v>
      </c>
      <c r="E54" s="303">
        <v>44196</v>
      </c>
      <c r="F54" s="310" t="s">
        <v>280</v>
      </c>
      <c r="G54" s="235"/>
      <c r="H54" s="235"/>
      <c r="I54" s="235"/>
      <c r="J54" s="235"/>
      <c r="K54" s="235"/>
      <c r="L54" s="235"/>
      <c r="M54" s="235"/>
      <c r="N54" s="235"/>
      <c r="O54" s="235"/>
      <c r="P54" s="235"/>
      <c r="Q54" s="235"/>
      <c r="R54" s="235"/>
      <c r="S54" s="235"/>
      <c r="T54" s="235"/>
      <c r="U54" s="235"/>
      <c r="V54" s="235"/>
      <c r="W54" s="235"/>
      <c r="X54" s="235"/>
      <c r="Y54" s="235"/>
      <c r="Z54" s="235"/>
    </row>
    <row r="55" spans="1:26" ht="12.75" customHeight="1">
      <c r="A55" s="235"/>
      <c r="B55" s="311" t="s">
        <v>277</v>
      </c>
      <c r="C55" s="312">
        <f t="shared" ref="C55:E55" si="23">+C13/C13</f>
        <v>1</v>
      </c>
      <c r="D55" s="312">
        <f t="shared" si="23"/>
        <v>1</v>
      </c>
      <c r="E55" s="313">
        <f t="shared" si="23"/>
        <v>1</v>
      </c>
      <c r="F55" s="313">
        <f>AVERAGE(C55:E55)</f>
        <v>1</v>
      </c>
      <c r="G55" s="235"/>
      <c r="H55" s="235"/>
      <c r="I55" s="235"/>
      <c r="J55" s="235"/>
      <c r="K55" s="235"/>
      <c r="L55" s="235"/>
      <c r="M55" s="235"/>
      <c r="N55" s="235"/>
      <c r="O55" s="235"/>
      <c r="P55" s="235"/>
      <c r="Q55" s="235"/>
      <c r="R55" s="235"/>
      <c r="S55" s="235"/>
      <c r="T55" s="235"/>
      <c r="U55" s="235"/>
      <c r="V55" s="235"/>
      <c r="W55" s="235"/>
      <c r="X55" s="235"/>
      <c r="Y55" s="235"/>
      <c r="Z55" s="235"/>
    </row>
    <row r="56" spans="1:26" ht="12.75" customHeight="1">
      <c r="A56" s="235"/>
      <c r="B56" s="314" t="s">
        <v>278</v>
      </c>
      <c r="C56" s="315">
        <f t="shared" ref="C56:E56" si="24">+C14/C13</f>
        <v>0.27787429739397035</v>
      </c>
      <c r="D56" s="315">
        <f t="shared" si="24"/>
        <v>0.28717366628830876</v>
      </c>
      <c r="E56" s="316">
        <f t="shared" si="24"/>
        <v>0.31687732342007435</v>
      </c>
      <c r="F56" s="316">
        <f>AVERAGE(C56:D56)</f>
        <v>0.28252398184113958</v>
      </c>
      <c r="G56" s="235"/>
      <c r="H56" s="235"/>
      <c r="I56" s="235"/>
      <c r="J56" s="235"/>
      <c r="K56" s="235"/>
      <c r="L56" s="235"/>
      <c r="M56" s="235"/>
      <c r="N56" s="235"/>
      <c r="O56" s="235"/>
      <c r="P56" s="235"/>
      <c r="Q56" s="235"/>
      <c r="R56" s="235"/>
      <c r="S56" s="235"/>
      <c r="T56" s="235"/>
      <c r="U56" s="235"/>
      <c r="V56" s="235"/>
      <c r="W56" s="235"/>
      <c r="X56" s="235"/>
      <c r="Y56" s="235"/>
      <c r="Z56" s="235"/>
    </row>
    <row r="57" spans="1:26" ht="12.75" customHeight="1">
      <c r="A57" s="235"/>
      <c r="B57" s="235"/>
      <c r="C57" s="273"/>
      <c r="D57" s="274"/>
      <c r="E57" s="274"/>
      <c r="F57" s="235"/>
      <c r="G57" s="235"/>
      <c r="H57" s="235"/>
      <c r="I57" s="235"/>
      <c r="J57" s="235"/>
      <c r="K57" s="235"/>
      <c r="L57" s="235"/>
      <c r="M57" s="235"/>
      <c r="N57" s="235"/>
      <c r="O57" s="235"/>
      <c r="P57" s="235"/>
      <c r="Q57" s="235"/>
      <c r="R57" s="235"/>
      <c r="S57" s="235"/>
      <c r="T57" s="235"/>
      <c r="U57" s="235"/>
      <c r="V57" s="235"/>
      <c r="W57" s="235"/>
      <c r="X57" s="235"/>
      <c r="Y57" s="235"/>
      <c r="Z57" s="235"/>
    </row>
    <row r="58" spans="1:26" ht="12.75" customHeight="1">
      <c r="A58" s="235"/>
      <c r="B58" s="235"/>
      <c r="C58" s="235"/>
      <c r="D58" s="235"/>
      <c r="E58" s="235"/>
      <c r="F58" s="235"/>
      <c r="G58" s="235"/>
      <c r="H58" s="235"/>
      <c r="I58" s="235"/>
      <c r="J58" s="235"/>
      <c r="K58" s="235"/>
      <c r="L58" s="235"/>
      <c r="M58" s="235"/>
      <c r="N58" s="235"/>
      <c r="O58" s="235"/>
      <c r="P58" s="235"/>
      <c r="Q58" s="235"/>
      <c r="R58" s="235"/>
      <c r="S58" s="235"/>
      <c r="T58" s="235"/>
      <c r="U58" s="235"/>
      <c r="V58" s="235"/>
      <c r="W58" s="235"/>
      <c r="X58" s="235"/>
      <c r="Y58" s="235"/>
      <c r="Z58" s="235"/>
    </row>
    <row r="59" spans="1:26" ht="12.75" customHeight="1">
      <c r="A59" s="235" t="s">
        <v>269</v>
      </c>
      <c r="B59" s="317">
        <f>+B16</f>
        <v>0</v>
      </c>
      <c r="C59" s="302">
        <v>43465</v>
      </c>
      <c r="D59" s="302">
        <v>43830</v>
      </c>
      <c r="E59" s="303">
        <v>44196</v>
      </c>
      <c r="F59" s="310" t="s">
        <v>281</v>
      </c>
      <c r="G59" s="235"/>
      <c r="H59" s="235"/>
      <c r="I59" s="235"/>
      <c r="J59" s="235"/>
      <c r="K59" s="235"/>
      <c r="L59" s="235"/>
      <c r="M59" s="235"/>
      <c r="N59" s="235"/>
      <c r="O59" s="235"/>
      <c r="P59" s="235"/>
      <c r="Q59" s="235"/>
      <c r="R59" s="235"/>
      <c r="S59" s="235"/>
      <c r="T59" s="235"/>
      <c r="U59" s="235"/>
      <c r="V59" s="235"/>
      <c r="W59" s="235"/>
      <c r="X59" s="235"/>
      <c r="Y59" s="235"/>
      <c r="Z59" s="235"/>
    </row>
    <row r="60" spans="1:26" ht="12.75" customHeight="1">
      <c r="A60" s="235"/>
      <c r="B60" s="311" t="s">
        <v>277</v>
      </c>
      <c r="C60" s="312" t="e">
        <f t="shared" ref="C60:E60" si="25">+C17/C17</f>
        <v>#DIV/0!</v>
      </c>
      <c r="D60" s="312" t="e">
        <f t="shared" si="25"/>
        <v>#DIV/0!</v>
      </c>
      <c r="E60" s="312" t="e">
        <f t="shared" si="25"/>
        <v>#DIV/0!</v>
      </c>
      <c r="F60" s="313">
        <v>1</v>
      </c>
      <c r="G60" s="235"/>
      <c r="H60" s="235"/>
      <c r="I60" s="235"/>
      <c r="J60" s="235"/>
      <c r="K60" s="235"/>
      <c r="L60" s="235"/>
      <c r="M60" s="235"/>
      <c r="N60" s="235"/>
      <c r="O60" s="235"/>
      <c r="P60" s="235"/>
      <c r="Q60" s="235"/>
      <c r="R60" s="235"/>
      <c r="S60" s="235"/>
      <c r="T60" s="235"/>
      <c r="U60" s="235"/>
      <c r="V60" s="235"/>
      <c r="W60" s="235"/>
      <c r="X60" s="235"/>
      <c r="Y60" s="235"/>
      <c r="Z60" s="235"/>
    </row>
    <row r="61" spans="1:26" ht="12.75" customHeight="1">
      <c r="A61" s="235"/>
      <c r="B61" s="314" t="s">
        <v>278</v>
      </c>
      <c r="C61" s="315" t="e">
        <f t="shared" ref="C61:E61" si="26">+C18/C17</f>
        <v>#DIV/0!</v>
      </c>
      <c r="D61" s="315" t="e">
        <f t="shared" si="26"/>
        <v>#DIV/0!</v>
      </c>
      <c r="E61" s="315" t="e">
        <f t="shared" si="26"/>
        <v>#DIV/0!</v>
      </c>
      <c r="F61" s="316" t="e">
        <f>AVERAGE(C61:D61)</f>
        <v>#DIV/0!</v>
      </c>
      <c r="G61" s="235"/>
      <c r="H61" s="235"/>
      <c r="I61" s="235"/>
      <c r="J61" s="235"/>
      <c r="K61" s="235"/>
      <c r="L61" s="235"/>
      <c r="M61" s="235"/>
      <c r="N61" s="235"/>
      <c r="O61" s="235"/>
      <c r="P61" s="235"/>
      <c r="Q61" s="235"/>
      <c r="R61" s="235"/>
      <c r="S61" s="235"/>
      <c r="T61" s="235"/>
      <c r="U61" s="235"/>
      <c r="V61" s="235"/>
      <c r="W61" s="235"/>
      <c r="X61" s="235"/>
      <c r="Y61" s="235"/>
      <c r="Z61" s="235"/>
    </row>
    <row r="62" spans="1:26" ht="12.75" customHeight="1">
      <c r="A62" s="235"/>
      <c r="B62" s="235"/>
      <c r="C62" s="235"/>
      <c r="D62" s="235"/>
      <c r="E62" s="235"/>
      <c r="F62" s="235"/>
      <c r="G62" s="235"/>
      <c r="H62" s="235"/>
      <c r="I62" s="235"/>
      <c r="J62" s="235"/>
      <c r="K62" s="235"/>
      <c r="L62" s="235"/>
      <c r="M62" s="235"/>
      <c r="N62" s="235"/>
      <c r="O62" s="235"/>
      <c r="P62" s="235"/>
      <c r="Q62" s="235"/>
      <c r="R62" s="235"/>
      <c r="S62" s="235"/>
      <c r="T62" s="235"/>
      <c r="U62" s="235"/>
      <c r="V62" s="235"/>
      <c r="W62" s="235"/>
      <c r="X62" s="235"/>
      <c r="Y62" s="235"/>
      <c r="Z62" s="235"/>
    </row>
    <row r="63" spans="1:26" ht="12.75" customHeight="1">
      <c r="A63" s="235"/>
      <c r="B63" s="235"/>
      <c r="C63" s="235"/>
      <c r="D63" s="1391" t="s">
        <v>282</v>
      </c>
      <c r="E63" s="1334"/>
      <c r="F63" s="318" t="e">
        <f>+AVERAGE(F56,F61)</f>
        <v>#DIV/0!</v>
      </c>
      <c r="G63" s="235"/>
      <c r="H63" s="235"/>
      <c r="I63" s="235"/>
      <c r="J63" s="235"/>
      <c r="K63" s="235"/>
      <c r="L63" s="235"/>
      <c r="M63" s="235"/>
      <c r="N63" s="235"/>
      <c r="O63" s="235"/>
      <c r="P63" s="235"/>
      <c r="Q63" s="235"/>
      <c r="R63" s="235"/>
      <c r="S63" s="235"/>
      <c r="T63" s="235"/>
      <c r="U63" s="235"/>
      <c r="V63" s="235"/>
      <c r="W63" s="235"/>
      <c r="X63" s="235"/>
      <c r="Y63" s="235"/>
      <c r="Z63" s="235"/>
    </row>
    <row r="64" spans="1:26" ht="12.75" customHeight="1">
      <c r="A64" s="235"/>
      <c r="B64" s="235"/>
      <c r="C64" s="235"/>
      <c r="D64" s="235"/>
      <c r="E64" s="235"/>
      <c r="F64" s="235"/>
      <c r="G64" s="235"/>
      <c r="H64" s="235"/>
      <c r="I64" s="235"/>
      <c r="J64" s="235"/>
      <c r="K64" s="235"/>
      <c r="L64" s="235"/>
      <c r="M64" s="235"/>
      <c r="N64" s="235"/>
      <c r="O64" s="235"/>
      <c r="P64" s="235"/>
      <c r="Q64" s="235"/>
      <c r="R64" s="235"/>
      <c r="S64" s="235"/>
      <c r="T64" s="235"/>
      <c r="U64" s="235"/>
      <c r="V64" s="235"/>
      <c r="W64" s="235"/>
      <c r="X64" s="235"/>
      <c r="Y64" s="235"/>
      <c r="Z64" s="235"/>
    </row>
    <row r="65" spans="1:26" ht="12.75" customHeight="1">
      <c r="A65" s="235"/>
      <c r="B65" s="235"/>
      <c r="C65" s="235"/>
      <c r="D65" s="235"/>
      <c r="E65" s="235"/>
      <c r="F65" s="235"/>
      <c r="G65" s="235"/>
      <c r="H65" s="235"/>
      <c r="I65" s="235"/>
      <c r="J65" s="235"/>
      <c r="K65" s="235"/>
      <c r="L65" s="235"/>
      <c r="M65" s="235"/>
      <c r="N65" s="235"/>
      <c r="O65" s="235"/>
      <c r="P65" s="235"/>
      <c r="Q65" s="235"/>
      <c r="R65" s="235"/>
      <c r="S65" s="235"/>
      <c r="T65" s="235"/>
      <c r="U65" s="235"/>
      <c r="V65" s="235"/>
      <c r="W65" s="235"/>
      <c r="X65" s="235"/>
      <c r="Y65" s="235"/>
      <c r="Z65" s="235"/>
    </row>
    <row r="66" spans="1:26" ht="12.75" customHeight="1">
      <c r="A66" s="235"/>
      <c r="B66" s="235"/>
      <c r="C66" s="235"/>
      <c r="D66" s="235"/>
      <c r="E66" s="235"/>
      <c r="F66" s="235"/>
      <c r="G66" s="235"/>
      <c r="H66" s="235"/>
      <c r="I66" s="235"/>
      <c r="J66" s="235"/>
      <c r="K66" s="235"/>
      <c r="L66" s="235"/>
      <c r="M66" s="235"/>
      <c r="N66" s="235"/>
      <c r="O66" s="235"/>
      <c r="P66" s="235"/>
      <c r="Q66" s="235"/>
      <c r="R66" s="235"/>
      <c r="S66" s="235"/>
      <c r="T66" s="235"/>
      <c r="U66" s="235"/>
      <c r="V66" s="235"/>
      <c r="W66" s="235"/>
      <c r="X66" s="235"/>
      <c r="Y66" s="235"/>
      <c r="Z66" s="235"/>
    </row>
    <row r="67" spans="1:26" ht="12.75" customHeight="1">
      <c r="A67" s="235"/>
      <c r="B67" s="235"/>
      <c r="C67" s="235"/>
      <c r="D67" s="235"/>
      <c r="E67" s="235"/>
      <c r="F67" s="235"/>
      <c r="G67" s="235"/>
      <c r="H67" s="235"/>
      <c r="I67" s="235"/>
      <c r="J67" s="235"/>
      <c r="K67" s="235"/>
      <c r="L67" s="235"/>
      <c r="M67" s="235"/>
      <c r="N67" s="235"/>
      <c r="O67" s="235"/>
      <c r="P67" s="235"/>
      <c r="Q67" s="235"/>
      <c r="R67" s="235"/>
      <c r="S67" s="235"/>
      <c r="T67" s="235"/>
      <c r="U67" s="235"/>
      <c r="V67" s="235"/>
      <c r="W67" s="235"/>
      <c r="X67" s="235"/>
      <c r="Y67" s="235"/>
      <c r="Z67" s="235"/>
    </row>
    <row r="68" spans="1:26" ht="12.75" customHeight="1">
      <c r="A68" s="235"/>
      <c r="B68" s="235"/>
      <c r="C68" s="235"/>
      <c r="D68" s="235"/>
      <c r="E68" s="235"/>
      <c r="F68" s="235"/>
      <c r="G68" s="235"/>
      <c r="H68" s="235"/>
      <c r="I68" s="235"/>
      <c r="J68" s="235"/>
      <c r="K68" s="235"/>
      <c r="L68" s="235"/>
      <c r="M68" s="235"/>
      <c r="N68" s="235"/>
      <c r="O68" s="235"/>
      <c r="P68" s="235"/>
      <c r="Q68" s="235"/>
      <c r="R68" s="235"/>
      <c r="S68" s="235"/>
      <c r="T68" s="235"/>
      <c r="U68" s="235"/>
      <c r="V68" s="235"/>
      <c r="W68" s="235"/>
      <c r="X68" s="235"/>
      <c r="Y68" s="235"/>
      <c r="Z68" s="235"/>
    </row>
    <row r="69" spans="1:26" ht="12.75" customHeight="1">
      <c r="A69" s="235"/>
      <c r="B69" s="235"/>
      <c r="C69" s="235"/>
      <c r="D69" s="235"/>
      <c r="E69" s="235"/>
      <c r="F69" s="235"/>
      <c r="G69" s="235"/>
      <c r="H69" s="235"/>
      <c r="I69" s="235"/>
      <c r="J69" s="235"/>
      <c r="K69" s="235"/>
      <c r="L69" s="235"/>
      <c r="M69" s="235"/>
      <c r="N69" s="235"/>
      <c r="O69" s="235"/>
      <c r="P69" s="235"/>
      <c r="Q69" s="235"/>
      <c r="R69" s="235"/>
      <c r="S69" s="235"/>
      <c r="T69" s="235"/>
      <c r="U69" s="235"/>
      <c r="V69" s="235"/>
      <c r="W69" s="235"/>
      <c r="X69" s="235"/>
      <c r="Y69" s="235"/>
      <c r="Z69" s="235"/>
    </row>
    <row r="70" spans="1:26" ht="12.75" customHeight="1">
      <c r="A70" s="235"/>
      <c r="B70" s="235"/>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row>
    <row r="71" spans="1:26" ht="12.75" customHeight="1">
      <c r="A71" s="235"/>
      <c r="B71" s="235"/>
      <c r="C71" s="235"/>
      <c r="D71" s="235"/>
      <c r="E71" s="235"/>
      <c r="F71" s="235"/>
      <c r="G71" s="235"/>
      <c r="H71" s="235"/>
      <c r="I71" s="235"/>
      <c r="J71" s="235"/>
      <c r="K71" s="235"/>
      <c r="L71" s="235"/>
      <c r="M71" s="235"/>
      <c r="N71" s="235"/>
      <c r="O71" s="235"/>
      <c r="P71" s="235"/>
      <c r="Q71" s="235"/>
      <c r="R71" s="235"/>
      <c r="S71" s="235"/>
      <c r="T71" s="235"/>
      <c r="U71" s="235"/>
      <c r="V71" s="235"/>
      <c r="W71" s="235"/>
      <c r="X71" s="235"/>
      <c r="Y71" s="235"/>
      <c r="Z71" s="235"/>
    </row>
    <row r="72" spans="1:26" ht="12.75" customHeight="1">
      <c r="A72" s="235"/>
      <c r="B72" s="235"/>
      <c r="C72" s="235"/>
      <c r="D72" s="235"/>
      <c r="E72" s="235"/>
      <c r="F72" s="235"/>
      <c r="G72" s="235"/>
      <c r="H72" s="235"/>
      <c r="I72" s="235"/>
      <c r="J72" s="235"/>
      <c r="K72" s="235"/>
      <c r="L72" s="235"/>
      <c r="M72" s="235"/>
      <c r="N72" s="235"/>
      <c r="O72" s="235"/>
      <c r="P72" s="235"/>
      <c r="Q72" s="235"/>
      <c r="R72" s="235"/>
      <c r="S72" s="235"/>
      <c r="T72" s="235"/>
      <c r="U72" s="235"/>
      <c r="V72" s="235"/>
      <c r="W72" s="235"/>
      <c r="X72" s="235"/>
      <c r="Y72" s="235"/>
      <c r="Z72" s="235"/>
    </row>
    <row r="73" spans="1:26" ht="12.75" customHeight="1">
      <c r="A73" s="235"/>
      <c r="B73" s="235"/>
      <c r="C73" s="235"/>
      <c r="D73" s="235"/>
      <c r="E73" s="235"/>
      <c r="F73" s="235"/>
      <c r="G73" s="235"/>
      <c r="H73" s="235"/>
      <c r="I73" s="235"/>
      <c r="J73" s="235"/>
      <c r="K73" s="235"/>
      <c r="L73" s="235"/>
      <c r="M73" s="235"/>
      <c r="N73" s="235"/>
      <c r="O73" s="235"/>
      <c r="P73" s="235"/>
      <c r="Q73" s="235"/>
      <c r="R73" s="235"/>
      <c r="S73" s="235"/>
      <c r="T73" s="235"/>
      <c r="U73" s="235"/>
      <c r="V73" s="235"/>
      <c r="W73" s="235"/>
      <c r="X73" s="235"/>
      <c r="Y73" s="235"/>
      <c r="Z73" s="235"/>
    </row>
    <row r="74" spans="1:26" ht="12.75" customHeight="1">
      <c r="A74" s="235"/>
      <c r="B74" s="235"/>
      <c r="C74" s="235"/>
      <c r="D74" s="235"/>
      <c r="E74" s="235"/>
      <c r="F74" s="235"/>
      <c r="G74" s="235"/>
      <c r="H74" s="235"/>
      <c r="I74" s="235"/>
      <c r="J74" s="235"/>
      <c r="K74" s="235"/>
      <c r="L74" s="235"/>
      <c r="M74" s="235"/>
      <c r="N74" s="235"/>
      <c r="O74" s="235"/>
      <c r="P74" s="235"/>
      <c r="Q74" s="235"/>
      <c r="R74" s="235"/>
      <c r="S74" s="235"/>
      <c r="T74" s="235"/>
      <c r="U74" s="235"/>
      <c r="V74" s="235"/>
      <c r="W74" s="235"/>
      <c r="X74" s="235"/>
      <c r="Y74" s="235"/>
      <c r="Z74" s="235"/>
    </row>
    <row r="75" spans="1:26" ht="12.75" customHeight="1">
      <c r="A75" s="235"/>
      <c r="B75" s="235"/>
      <c r="C75" s="235"/>
      <c r="D75" s="235"/>
      <c r="E75" s="235"/>
      <c r="F75" s="235"/>
      <c r="G75" s="235"/>
      <c r="H75" s="235"/>
      <c r="I75" s="235"/>
      <c r="J75" s="235"/>
      <c r="K75" s="235"/>
      <c r="L75" s="235"/>
      <c r="M75" s="235"/>
      <c r="N75" s="235"/>
      <c r="O75" s="235"/>
      <c r="P75" s="235"/>
      <c r="Q75" s="235"/>
      <c r="R75" s="235"/>
      <c r="S75" s="235"/>
      <c r="T75" s="235"/>
      <c r="U75" s="235"/>
      <c r="V75" s="235"/>
      <c r="W75" s="235"/>
      <c r="X75" s="235"/>
      <c r="Y75" s="235"/>
      <c r="Z75" s="235"/>
    </row>
    <row r="76" spans="1:26" ht="12.75" customHeight="1">
      <c r="A76" s="235"/>
      <c r="B76" s="235"/>
      <c r="C76" s="235"/>
      <c r="D76" s="235"/>
      <c r="E76" s="235"/>
      <c r="F76" s="235"/>
      <c r="G76" s="235"/>
      <c r="H76" s="235"/>
      <c r="I76" s="235"/>
      <c r="J76" s="235"/>
      <c r="K76" s="235"/>
      <c r="L76" s="235"/>
      <c r="M76" s="235"/>
      <c r="N76" s="235"/>
      <c r="O76" s="235"/>
      <c r="P76" s="235"/>
      <c r="Q76" s="235"/>
      <c r="R76" s="235"/>
      <c r="S76" s="235"/>
      <c r="T76" s="235"/>
      <c r="U76" s="235"/>
      <c r="V76" s="235"/>
      <c r="W76" s="235"/>
      <c r="X76" s="235"/>
      <c r="Y76" s="235"/>
      <c r="Z76" s="235"/>
    </row>
    <row r="77" spans="1:26" ht="12.75" customHeight="1">
      <c r="A77" s="235"/>
      <c r="B77" s="235"/>
      <c r="C77" s="235"/>
      <c r="D77" s="235"/>
      <c r="E77" s="235"/>
      <c r="F77" s="235"/>
      <c r="G77" s="235"/>
      <c r="H77" s="235"/>
      <c r="I77" s="235"/>
      <c r="J77" s="235"/>
      <c r="K77" s="235"/>
      <c r="L77" s="235"/>
      <c r="M77" s="235"/>
      <c r="N77" s="235"/>
      <c r="O77" s="235"/>
      <c r="P77" s="235"/>
      <c r="Q77" s="235"/>
      <c r="R77" s="235"/>
      <c r="S77" s="235"/>
      <c r="T77" s="235"/>
      <c r="U77" s="235"/>
      <c r="V77" s="235"/>
      <c r="W77" s="235"/>
      <c r="X77" s="235"/>
      <c r="Y77" s="235"/>
      <c r="Z77" s="235"/>
    </row>
    <row r="78" spans="1:26" ht="12.75" customHeight="1">
      <c r="A78" s="235"/>
      <c r="B78" s="235"/>
      <c r="C78" s="235"/>
      <c r="D78" s="235"/>
      <c r="E78" s="235"/>
      <c r="F78" s="235"/>
      <c r="G78" s="235"/>
      <c r="H78" s="235"/>
      <c r="I78" s="235"/>
      <c r="J78" s="235"/>
      <c r="K78" s="235"/>
      <c r="L78" s="235"/>
      <c r="M78" s="235"/>
      <c r="N78" s="235"/>
      <c r="O78" s="235"/>
      <c r="P78" s="235"/>
      <c r="Q78" s="235"/>
      <c r="R78" s="235"/>
      <c r="S78" s="235"/>
      <c r="T78" s="235"/>
      <c r="U78" s="235"/>
      <c r="V78" s="235"/>
      <c r="W78" s="235"/>
      <c r="X78" s="235"/>
      <c r="Y78" s="235"/>
      <c r="Z78" s="235"/>
    </row>
    <row r="79" spans="1:26" ht="12.75" customHeight="1">
      <c r="A79" s="235"/>
      <c r="B79" s="235"/>
      <c r="C79" s="235"/>
      <c r="D79" s="235"/>
      <c r="E79" s="235"/>
      <c r="F79" s="235"/>
      <c r="G79" s="235"/>
      <c r="H79" s="235"/>
      <c r="I79" s="235"/>
      <c r="J79" s="235"/>
      <c r="K79" s="235"/>
      <c r="L79" s="235"/>
      <c r="M79" s="235"/>
      <c r="N79" s="235"/>
      <c r="O79" s="235"/>
      <c r="P79" s="235"/>
      <c r="Q79" s="235"/>
      <c r="R79" s="235"/>
      <c r="S79" s="235"/>
      <c r="T79" s="235"/>
      <c r="U79" s="235"/>
      <c r="V79" s="235"/>
      <c r="W79" s="235"/>
      <c r="X79" s="235"/>
      <c r="Y79" s="235"/>
      <c r="Z79" s="235"/>
    </row>
    <row r="80" spans="1:26" ht="12.75" customHeight="1">
      <c r="A80" s="235"/>
      <c r="B80" s="235"/>
      <c r="C80" s="235"/>
      <c r="D80" s="235"/>
      <c r="E80" s="235"/>
      <c r="F80" s="235"/>
      <c r="G80" s="235"/>
      <c r="H80" s="235"/>
      <c r="I80" s="235"/>
      <c r="J80" s="235"/>
      <c r="K80" s="235"/>
      <c r="L80" s="235"/>
      <c r="M80" s="235"/>
      <c r="N80" s="235"/>
      <c r="O80" s="235"/>
      <c r="P80" s="235"/>
      <c r="Q80" s="235"/>
      <c r="R80" s="235"/>
      <c r="S80" s="235"/>
      <c r="T80" s="235"/>
      <c r="U80" s="235"/>
      <c r="V80" s="235"/>
      <c r="W80" s="235"/>
      <c r="X80" s="235"/>
      <c r="Y80" s="235"/>
      <c r="Z80" s="235"/>
    </row>
    <row r="81" spans="1:26" ht="12.75" customHeight="1">
      <c r="A81" s="235"/>
      <c r="B81" s="235"/>
      <c r="C81" s="235"/>
      <c r="D81" s="235"/>
      <c r="E81" s="235"/>
      <c r="F81" s="235"/>
      <c r="G81" s="235"/>
      <c r="H81" s="235"/>
      <c r="I81" s="235"/>
      <c r="J81" s="235"/>
      <c r="K81" s="235"/>
      <c r="L81" s="235"/>
      <c r="M81" s="235"/>
      <c r="N81" s="235"/>
      <c r="O81" s="235"/>
      <c r="P81" s="235"/>
      <c r="Q81" s="235"/>
      <c r="R81" s="235"/>
      <c r="S81" s="235"/>
      <c r="T81" s="235"/>
      <c r="U81" s="235"/>
      <c r="V81" s="235"/>
      <c r="W81" s="235"/>
      <c r="X81" s="235"/>
      <c r="Y81" s="235"/>
      <c r="Z81" s="235"/>
    </row>
    <row r="82" spans="1:26" ht="12.75" customHeight="1">
      <c r="A82" s="235"/>
      <c r="B82" s="235"/>
      <c r="C82" s="235"/>
      <c r="D82" s="235"/>
      <c r="E82" s="235"/>
      <c r="F82" s="235"/>
      <c r="G82" s="235"/>
      <c r="H82" s="235"/>
      <c r="I82" s="235"/>
      <c r="J82" s="235"/>
      <c r="K82" s="235"/>
      <c r="L82" s="235"/>
      <c r="M82" s="235"/>
      <c r="N82" s="235"/>
      <c r="O82" s="235"/>
      <c r="P82" s="235"/>
      <c r="Q82" s="235"/>
      <c r="R82" s="235"/>
      <c r="S82" s="235"/>
      <c r="T82" s="235"/>
      <c r="U82" s="235"/>
      <c r="V82" s="235"/>
      <c r="W82" s="235"/>
      <c r="X82" s="235"/>
      <c r="Y82" s="235"/>
      <c r="Z82" s="235"/>
    </row>
    <row r="83" spans="1:26" ht="12.75" customHeight="1">
      <c r="A83" s="235"/>
      <c r="B83" s="235"/>
      <c r="C83" s="235"/>
      <c r="D83" s="235"/>
      <c r="E83" s="235"/>
      <c r="F83" s="235"/>
      <c r="G83" s="235"/>
      <c r="H83" s="235"/>
      <c r="I83" s="235"/>
      <c r="J83" s="235"/>
      <c r="K83" s="235"/>
      <c r="L83" s="235"/>
      <c r="M83" s="235"/>
      <c r="N83" s="235"/>
      <c r="O83" s="235"/>
      <c r="P83" s="235"/>
      <c r="Q83" s="235"/>
      <c r="R83" s="235"/>
      <c r="S83" s="235"/>
      <c r="T83" s="235"/>
      <c r="U83" s="235"/>
      <c r="V83" s="235"/>
      <c r="W83" s="235"/>
      <c r="X83" s="235"/>
      <c r="Y83" s="235"/>
      <c r="Z83" s="235"/>
    </row>
    <row r="84" spans="1:26" ht="12.75" customHeight="1">
      <c r="A84" s="235"/>
      <c r="B84" s="235"/>
      <c r="C84" s="235"/>
      <c r="D84" s="235"/>
      <c r="E84" s="235"/>
      <c r="F84" s="235"/>
      <c r="G84" s="235"/>
      <c r="H84" s="235"/>
      <c r="I84" s="235"/>
      <c r="J84" s="235"/>
      <c r="K84" s="235"/>
      <c r="L84" s="235"/>
      <c r="M84" s="235"/>
      <c r="N84" s="235"/>
      <c r="O84" s="235"/>
      <c r="P84" s="235"/>
      <c r="Q84" s="235"/>
      <c r="R84" s="235"/>
      <c r="S84" s="235"/>
      <c r="T84" s="235"/>
      <c r="U84" s="235"/>
      <c r="V84" s="235"/>
      <c r="W84" s="235"/>
      <c r="X84" s="235"/>
      <c r="Y84" s="235"/>
      <c r="Z84" s="235"/>
    </row>
    <row r="85" spans="1:26" ht="12.75" customHeight="1">
      <c r="A85" s="235"/>
      <c r="B85" s="235"/>
      <c r="C85" s="235"/>
      <c r="D85" s="235"/>
      <c r="E85" s="235"/>
      <c r="F85" s="235"/>
      <c r="G85" s="235"/>
      <c r="H85" s="235"/>
      <c r="I85" s="235"/>
      <c r="J85" s="235"/>
      <c r="K85" s="235"/>
      <c r="L85" s="235"/>
      <c r="M85" s="235"/>
      <c r="N85" s="235"/>
      <c r="O85" s="235"/>
      <c r="P85" s="235"/>
      <c r="Q85" s="235"/>
      <c r="R85" s="235"/>
      <c r="S85" s="235"/>
      <c r="T85" s="235"/>
      <c r="U85" s="235"/>
      <c r="V85" s="235"/>
      <c r="W85" s="235"/>
      <c r="X85" s="235"/>
      <c r="Y85" s="235"/>
      <c r="Z85" s="235"/>
    </row>
    <row r="86" spans="1:26" ht="12.75" customHeight="1">
      <c r="A86" s="235"/>
      <c r="B86" s="235"/>
      <c r="C86" s="235"/>
      <c r="D86" s="235"/>
      <c r="E86" s="235"/>
      <c r="F86" s="235"/>
      <c r="G86" s="235"/>
      <c r="H86" s="235"/>
      <c r="I86" s="235"/>
      <c r="J86" s="235"/>
      <c r="K86" s="235"/>
      <c r="L86" s="235"/>
      <c r="M86" s="235"/>
      <c r="N86" s="235"/>
      <c r="O86" s="235"/>
      <c r="P86" s="235"/>
      <c r="Q86" s="235"/>
      <c r="R86" s="235"/>
      <c r="S86" s="235"/>
      <c r="T86" s="235"/>
      <c r="U86" s="235"/>
      <c r="V86" s="235"/>
      <c r="W86" s="235"/>
      <c r="X86" s="235"/>
      <c r="Y86" s="235"/>
      <c r="Z86" s="235"/>
    </row>
    <row r="87" spans="1:26" ht="12.75" customHeight="1">
      <c r="A87" s="235"/>
      <c r="B87" s="235"/>
      <c r="C87" s="235"/>
      <c r="D87" s="235"/>
      <c r="E87" s="235"/>
      <c r="F87" s="235"/>
      <c r="G87" s="235"/>
      <c r="H87" s="235"/>
      <c r="I87" s="235"/>
      <c r="J87" s="235"/>
      <c r="K87" s="235"/>
      <c r="L87" s="235"/>
      <c r="M87" s="235"/>
      <c r="N87" s="235"/>
      <c r="O87" s="235"/>
      <c r="P87" s="235"/>
      <c r="Q87" s="235"/>
      <c r="R87" s="235"/>
      <c r="S87" s="235"/>
      <c r="T87" s="235"/>
      <c r="U87" s="235"/>
      <c r="V87" s="235"/>
      <c r="W87" s="235"/>
      <c r="X87" s="235"/>
      <c r="Y87" s="235"/>
      <c r="Z87" s="235"/>
    </row>
    <row r="88" spans="1:26" ht="12.75" customHeight="1">
      <c r="A88" s="235"/>
      <c r="B88" s="235"/>
      <c r="C88" s="235"/>
      <c r="D88" s="235"/>
      <c r="E88" s="235"/>
      <c r="F88" s="235"/>
      <c r="G88" s="235"/>
      <c r="H88" s="235"/>
      <c r="I88" s="235"/>
      <c r="J88" s="235"/>
      <c r="K88" s="235"/>
      <c r="L88" s="235"/>
      <c r="M88" s="235"/>
      <c r="N88" s="235"/>
      <c r="O88" s="235"/>
      <c r="P88" s="235"/>
      <c r="Q88" s="235"/>
      <c r="R88" s="235"/>
      <c r="S88" s="235"/>
      <c r="T88" s="235"/>
      <c r="U88" s="235"/>
      <c r="V88" s="235"/>
      <c r="W88" s="235"/>
      <c r="X88" s="235"/>
      <c r="Y88" s="235"/>
      <c r="Z88" s="235"/>
    </row>
    <row r="89" spans="1:26" ht="12.75" customHeight="1">
      <c r="A89" s="235"/>
      <c r="B89" s="235"/>
      <c r="C89" s="235"/>
      <c r="D89" s="235"/>
      <c r="E89" s="235"/>
      <c r="F89" s="235"/>
      <c r="G89" s="235"/>
      <c r="H89" s="235"/>
      <c r="I89" s="235"/>
      <c r="J89" s="235"/>
      <c r="K89" s="235"/>
      <c r="L89" s="235"/>
      <c r="M89" s="235"/>
      <c r="N89" s="235"/>
      <c r="O89" s="235"/>
      <c r="P89" s="235"/>
      <c r="Q89" s="235"/>
      <c r="R89" s="235"/>
      <c r="S89" s="235"/>
      <c r="T89" s="235"/>
      <c r="U89" s="235"/>
      <c r="V89" s="235"/>
      <c r="W89" s="235"/>
      <c r="X89" s="235"/>
      <c r="Y89" s="235"/>
      <c r="Z89" s="235"/>
    </row>
    <row r="90" spans="1:26" ht="12.75" customHeight="1">
      <c r="A90" s="235"/>
      <c r="B90" s="235"/>
      <c r="C90" s="235"/>
      <c r="D90" s="235"/>
      <c r="E90" s="235"/>
      <c r="F90" s="235"/>
      <c r="G90" s="235"/>
      <c r="H90" s="235"/>
      <c r="I90" s="235"/>
      <c r="J90" s="235"/>
      <c r="K90" s="235"/>
      <c r="L90" s="235"/>
      <c r="M90" s="235"/>
      <c r="N90" s="235"/>
      <c r="O90" s="235"/>
      <c r="P90" s="235"/>
      <c r="Q90" s="235"/>
      <c r="R90" s="235"/>
      <c r="S90" s="235"/>
      <c r="T90" s="235"/>
      <c r="U90" s="235"/>
      <c r="V90" s="235"/>
      <c r="W90" s="235"/>
      <c r="X90" s="235"/>
      <c r="Y90" s="235"/>
      <c r="Z90" s="235"/>
    </row>
    <row r="91" spans="1:26" ht="12.75" customHeight="1">
      <c r="A91" s="235"/>
      <c r="B91" s="235"/>
      <c r="C91" s="235"/>
      <c r="D91" s="235"/>
      <c r="E91" s="235"/>
      <c r="F91" s="235"/>
      <c r="G91" s="235"/>
      <c r="H91" s="235"/>
      <c r="I91" s="235"/>
      <c r="J91" s="235"/>
      <c r="K91" s="235"/>
      <c r="L91" s="235"/>
      <c r="M91" s="235"/>
      <c r="N91" s="235"/>
      <c r="O91" s="235"/>
      <c r="P91" s="235"/>
      <c r="Q91" s="235"/>
      <c r="R91" s="235"/>
      <c r="S91" s="235"/>
      <c r="T91" s="235"/>
      <c r="U91" s="235"/>
      <c r="V91" s="235"/>
      <c r="W91" s="235"/>
      <c r="X91" s="235"/>
      <c r="Y91" s="235"/>
      <c r="Z91" s="235"/>
    </row>
    <row r="92" spans="1:26" ht="12.75" customHeight="1">
      <c r="A92" s="235"/>
      <c r="B92" s="235"/>
      <c r="C92" s="235"/>
      <c r="D92" s="235"/>
      <c r="E92" s="235"/>
      <c r="F92" s="235"/>
      <c r="G92" s="235"/>
      <c r="H92" s="235"/>
      <c r="I92" s="235"/>
      <c r="J92" s="235"/>
      <c r="K92" s="235"/>
      <c r="L92" s="235"/>
      <c r="M92" s="235"/>
      <c r="N92" s="235"/>
      <c r="O92" s="235"/>
      <c r="P92" s="235"/>
      <c r="Q92" s="235"/>
      <c r="R92" s="235"/>
      <c r="S92" s="235"/>
      <c r="T92" s="235"/>
      <c r="U92" s="235"/>
      <c r="V92" s="235"/>
      <c r="W92" s="235"/>
      <c r="X92" s="235"/>
      <c r="Y92" s="235"/>
      <c r="Z92" s="235"/>
    </row>
    <row r="93" spans="1:26" ht="12.75" customHeight="1">
      <c r="A93" s="235"/>
      <c r="B93" s="235"/>
      <c r="C93" s="235"/>
      <c r="D93" s="235"/>
      <c r="E93" s="235"/>
      <c r="F93" s="235"/>
      <c r="G93" s="235"/>
      <c r="H93" s="235"/>
      <c r="I93" s="235"/>
      <c r="J93" s="235"/>
      <c r="K93" s="235"/>
      <c r="L93" s="235"/>
      <c r="M93" s="235"/>
      <c r="N93" s="235"/>
      <c r="O93" s="235"/>
      <c r="P93" s="235"/>
      <c r="Q93" s="235"/>
      <c r="R93" s="235"/>
      <c r="S93" s="235"/>
      <c r="T93" s="235"/>
      <c r="U93" s="235"/>
      <c r="V93" s="235"/>
      <c r="W93" s="235"/>
      <c r="X93" s="235"/>
      <c r="Y93" s="235"/>
      <c r="Z93" s="235"/>
    </row>
    <row r="94" spans="1:26" ht="12.75" customHeight="1">
      <c r="A94" s="235"/>
      <c r="B94" s="235"/>
      <c r="C94" s="235"/>
      <c r="D94" s="235"/>
      <c r="E94" s="235"/>
      <c r="F94" s="235"/>
      <c r="G94" s="235"/>
      <c r="H94" s="235"/>
      <c r="I94" s="235"/>
      <c r="J94" s="235"/>
      <c r="K94" s="235"/>
      <c r="L94" s="235"/>
      <c r="M94" s="235"/>
      <c r="N94" s="235"/>
      <c r="O94" s="235"/>
      <c r="P94" s="235"/>
      <c r="Q94" s="235"/>
      <c r="R94" s="235"/>
      <c r="S94" s="235"/>
      <c r="T94" s="235"/>
      <c r="U94" s="235"/>
      <c r="V94" s="235"/>
      <c r="W94" s="235"/>
      <c r="X94" s="235"/>
      <c r="Y94" s="235"/>
      <c r="Z94" s="235"/>
    </row>
    <row r="95" spans="1:26" ht="12.75" customHeight="1">
      <c r="A95" s="235"/>
      <c r="B95" s="235"/>
      <c r="C95" s="235"/>
      <c r="D95" s="235"/>
      <c r="E95" s="235"/>
      <c r="F95" s="235"/>
      <c r="G95" s="235"/>
      <c r="H95" s="235"/>
      <c r="I95" s="235"/>
      <c r="J95" s="235"/>
      <c r="K95" s="235"/>
      <c r="L95" s="235"/>
      <c r="M95" s="235"/>
      <c r="N95" s="235"/>
      <c r="O95" s="235"/>
      <c r="P95" s="235"/>
      <c r="Q95" s="235"/>
      <c r="R95" s="235"/>
      <c r="S95" s="235"/>
      <c r="T95" s="235"/>
      <c r="U95" s="235"/>
      <c r="V95" s="235"/>
      <c r="W95" s="235"/>
      <c r="X95" s="235"/>
      <c r="Y95" s="235"/>
      <c r="Z95" s="235"/>
    </row>
    <row r="96" spans="1:26" ht="12.75" customHeight="1">
      <c r="A96" s="235"/>
      <c r="B96" s="235"/>
      <c r="C96" s="235"/>
      <c r="D96" s="235"/>
      <c r="E96" s="235"/>
      <c r="F96" s="235"/>
      <c r="G96" s="235"/>
      <c r="H96" s="235"/>
      <c r="I96" s="235"/>
      <c r="J96" s="235"/>
      <c r="K96" s="235"/>
      <c r="L96" s="235"/>
      <c r="M96" s="235"/>
      <c r="N96" s="235"/>
      <c r="O96" s="235"/>
      <c r="P96" s="235"/>
      <c r="Q96" s="235"/>
      <c r="R96" s="235"/>
      <c r="S96" s="235"/>
      <c r="T96" s="235"/>
      <c r="U96" s="235"/>
      <c r="V96" s="235"/>
      <c r="W96" s="235"/>
      <c r="X96" s="235"/>
      <c r="Y96" s="235"/>
      <c r="Z96" s="235"/>
    </row>
    <row r="97" spans="1:26" ht="12.75" customHeight="1">
      <c r="A97" s="235"/>
      <c r="B97" s="235"/>
      <c r="C97" s="235"/>
      <c r="D97" s="235"/>
      <c r="E97" s="235"/>
      <c r="F97" s="235"/>
      <c r="G97" s="235"/>
      <c r="H97" s="235"/>
      <c r="I97" s="235"/>
      <c r="J97" s="235"/>
      <c r="K97" s="235"/>
      <c r="L97" s="235"/>
      <c r="M97" s="235"/>
      <c r="N97" s="235"/>
      <c r="O97" s="235"/>
      <c r="P97" s="235"/>
      <c r="Q97" s="235"/>
      <c r="R97" s="235"/>
      <c r="S97" s="235"/>
      <c r="T97" s="235"/>
      <c r="U97" s="235"/>
      <c r="V97" s="235"/>
      <c r="W97" s="235"/>
      <c r="X97" s="235"/>
      <c r="Y97" s="235"/>
      <c r="Z97" s="235"/>
    </row>
    <row r="98" spans="1:26" ht="12.75" customHeight="1">
      <c r="A98" s="235"/>
      <c r="B98" s="235"/>
      <c r="C98" s="235"/>
      <c r="D98" s="235"/>
      <c r="E98" s="235"/>
      <c r="F98" s="235"/>
      <c r="G98" s="235"/>
      <c r="H98" s="235"/>
      <c r="I98" s="235"/>
      <c r="J98" s="235"/>
      <c r="K98" s="235"/>
      <c r="L98" s="235"/>
      <c r="M98" s="235"/>
      <c r="N98" s="235"/>
      <c r="O98" s="235"/>
      <c r="P98" s="235"/>
      <c r="Q98" s="235"/>
      <c r="R98" s="235"/>
      <c r="S98" s="235"/>
      <c r="T98" s="235"/>
      <c r="U98" s="235"/>
      <c r="V98" s="235"/>
      <c r="W98" s="235"/>
      <c r="X98" s="235"/>
      <c r="Y98" s="235"/>
      <c r="Z98" s="235"/>
    </row>
    <row r="99" spans="1:26" ht="12.75" customHeight="1">
      <c r="A99" s="235"/>
      <c r="B99" s="235"/>
      <c r="C99" s="235"/>
      <c r="D99" s="235"/>
      <c r="E99" s="235"/>
      <c r="F99" s="235"/>
      <c r="G99" s="235"/>
      <c r="H99" s="235"/>
      <c r="I99" s="235"/>
      <c r="J99" s="235"/>
      <c r="K99" s="235"/>
      <c r="L99" s="235"/>
      <c r="M99" s="235"/>
      <c r="N99" s="235"/>
      <c r="O99" s="235"/>
      <c r="P99" s="235"/>
      <c r="Q99" s="235"/>
      <c r="R99" s="235"/>
      <c r="S99" s="235"/>
      <c r="T99" s="235"/>
      <c r="U99" s="235"/>
      <c r="V99" s="235"/>
      <c r="W99" s="235"/>
      <c r="X99" s="235"/>
      <c r="Y99" s="235"/>
      <c r="Z99" s="235"/>
    </row>
    <row r="100" spans="1:26" ht="12.75" customHeight="1">
      <c r="A100" s="235"/>
      <c r="B100" s="235"/>
      <c r="C100" s="235"/>
      <c r="D100" s="235"/>
      <c r="E100" s="235"/>
      <c r="F100" s="235"/>
      <c r="G100" s="235"/>
      <c r="H100" s="235"/>
      <c r="I100" s="235"/>
      <c r="J100" s="235"/>
      <c r="K100" s="235"/>
      <c r="L100" s="235"/>
      <c r="M100" s="235"/>
      <c r="N100" s="235"/>
      <c r="O100" s="235"/>
      <c r="P100" s="235"/>
      <c r="Q100" s="235"/>
      <c r="R100" s="235"/>
      <c r="S100" s="235"/>
      <c r="T100" s="235"/>
      <c r="U100" s="235"/>
      <c r="V100" s="235"/>
      <c r="W100" s="235"/>
      <c r="X100" s="235"/>
      <c r="Y100" s="235"/>
      <c r="Z100" s="235"/>
    </row>
    <row r="101" spans="1:26" ht="12.75" customHeight="1">
      <c r="A101" s="235"/>
      <c r="B101" s="235"/>
      <c r="C101" s="235"/>
      <c r="D101" s="235"/>
      <c r="E101" s="235"/>
      <c r="F101" s="235"/>
      <c r="G101" s="235"/>
      <c r="H101" s="235"/>
      <c r="I101" s="235"/>
      <c r="J101" s="235"/>
      <c r="K101" s="235"/>
      <c r="L101" s="235"/>
      <c r="M101" s="235"/>
      <c r="N101" s="235"/>
      <c r="O101" s="235"/>
      <c r="P101" s="235"/>
      <c r="Q101" s="235"/>
      <c r="R101" s="235"/>
      <c r="S101" s="235"/>
      <c r="T101" s="235"/>
      <c r="U101" s="235"/>
      <c r="V101" s="235"/>
      <c r="W101" s="235"/>
      <c r="X101" s="235"/>
      <c r="Y101" s="235"/>
      <c r="Z101" s="235"/>
    </row>
    <row r="102" spans="1:26" ht="12.75" customHeight="1">
      <c r="A102" s="235"/>
      <c r="B102" s="235"/>
      <c r="C102" s="235"/>
      <c r="D102" s="235"/>
      <c r="E102" s="235"/>
      <c r="F102" s="235"/>
      <c r="G102" s="235"/>
      <c r="H102" s="235"/>
      <c r="I102" s="235"/>
      <c r="J102" s="235"/>
      <c r="K102" s="235"/>
      <c r="L102" s="235"/>
      <c r="M102" s="235"/>
      <c r="N102" s="235"/>
      <c r="O102" s="235"/>
      <c r="P102" s="235"/>
      <c r="Q102" s="235"/>
      <c r="R102" s="235"/>
      <c r="S102" s="235"/>
      <c r="T102" s="235"/>
      <c r="U102" s="235"/>
      <c r="V102" s="235"/>
      <c r="W102" s="235"/>
      <c r="X102" s="235"/>
      <c r="Y102" s="235"/>
      <c r="Z102" s="235"/>
    </row>
    <row r="103" spans="1:26" ht="12.75" customHeight="1">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row>
    <row r="104" spans="1:26" ht="12.75" customHeight="1">
      <c r="A104" s="235"/>
      <c r="B104" s="235"/>
      <c r="C104" s="235"/>
      <c r="D104" s="235"/>
      <c r="E104" s="235"/>
      <c r="F104" s="235"/>
      <c r="G104" s="235"/>
      <c r="H104" s="235"/>
      <c r="I104" s="235"/>
      <c r="J104" s="235"/>
      <c r="K104" s="235"/>
      <c r="L104" s="235"/>
      <c r="M104" s="235"/>
      <c r="N104" s="235"/>
      <c r="O104" s="235"/>
      <c r="P104" s="235"/>
      <c r="Q104" s="235"/>
      <c r="R104" s="235"/>
      <c r="S104" s="235"/>
      <c r="T104" s="235"/>
      <c r="U104" s="235"/>
      <c r="V104" s="235"/>
      <c r="W104" s="235"/>
      <c r="X104" s="235"/>
      <c r="Y104" s="235"/>
      <c r="Z104" s="235"/>
    </row>
    <row r="105" spans="1:26" ht="12.75" customHeight="1">
      <c r="A105" s="235"/>
      <c r="B105" s="235"/>
      <c r="C105" s="235"/>
      <c r="D105" s="235"/>
      <c r="E105" s="235"/>
      <c r="F105" s="235"/>
      <c r="G105" s="235"/>
      <c r="H105" s="235"/>
      <c r="I105" s="235"/>
      <c r="J105" s="235"/>
      <c r="K105" s="235"/>
      <c r="L105" s="235"/>
      <c r="M105" s="235"/>
      <c r="N105" s="235"/>
      <c r="O105" s="235"/>
      <c r="P105" s="235"/>
      <c r="Q105" s="235"/>
      <c r="R105" s="235"/>
      <c r="S105" s="235"/>
      <c r="T105" s="235"/>
      <c r="U105" s="235"/>
      <c r="V105" s="235"/>
      <c r="W105" s="235"/>
      <c r="X105" s="235"/>
      <c r="Y105" s="235"/>
      <c r="Z105" s="235"/>
    </row>
    <row r="106" spans="1:26" ht="12.75" customHeight="1">
      <c r="A106" s="235"/>
      <c r="B106" s="235"/>
      <c r="C106" s="235"/>
      <c r="D106" s="235"/>
      <c r="E106" s="235"/>
      <c r="F106" s="235"/>
      <c r="G106" s="235"/>
      <c r="H106" s="235"/>
      <c r="I106" s="235"/>
      <c r="J106" s="235"/>
      <c r="K106" s="235"/>
      <c r="L106" s="235"/>
      <c r="M106" s="235"/>
      <c r="N106" s="235"/>
      <c r="O106" s="235"/>
      <c r="P106" s="235"/>
      <c r="Q106" s="235"/>
      <c r="R106" s="235"/>
      <c r="S106" s="235"/>
      <c r="T106" s="235"/>
      <c r="U106" s="235"/>
      <c r="V106" s="235"/>
      <c r="W106" s="235"/>
      <c r="X106" s="235"/>
      <c r="Y106" s="235"/>
      <c r="Z106" s="235"/>
    </row>
    <row r="107" spans="1:26" ht="12.75" customHeight="1">
      <c r="A107" s="235"/>
      <c r="B107" s="235"/>
      <c r="C107" s="235"/>
      <c r="D107" s="235"/>
      <c r="E107" s="235"/>
      <c r="F107" s="235"/>
      <c r="G107" s="235"/>
      <c r="H107" s="235"/>
      <c r="I107" s="235"/>
      <c r="J107" s="235"/>
      <c r="K107" s="235"/>
      <c r="L107" s="235"/>
      <c r="M107" s="235"/>
      <c r="N107" s="235"/>
      <c r="O107" s="235"/>
      <c r="P107" s="235"/>
      <c r="Q107" s="235"/>
      <c r="R107" s="235"/>
      <c r="S107" s="235"/>
      <c r="T107" s="235"/>
      <c r="U107" s="235"/>
      <c r="V107" s="235"/>
      <c r="W107" s="235"/>
      <c r="X107" s="235"/>
      <c r="Y107" s="235"/>
      <c r="Z107" s="235"/>
    </row>
    <row r="108" spans="1:26" ht="12.75" customHeight="1">
      <c r="A108" s="235"/>
      <c r="B108" s="235"/>
      <c r="C108" s="235"/>
      <c r="D108" s="235"/>
      <c r="E108" s="235"/>
      <c r="F108" s="235"/>
      <c r="G108" s="235"/>
      <c r="H108" s="235"/>
      <c r="I108" s="235"/>
      <c r="J108" s="235"/>
      <c r="K108" s="235"/>
      <c r="L108" s="235"/>
      <c r="M108" s="235"/>
      <c r="N108" s="235"/>
      <c r="O108" s="235"/>
      <c r="P108" s="235"/>
      <c r="Q108" s="235"/>
      <c r="R108" s="235"/>
      <c r="S108" s="235"/>
      <c r="T108" s="235"/>
      <c r="U108" s="235"/>
      <c r="V108" s="235"/>
      <c r="W108" s="235"/>
      <c r="X108" s="235"/>
      <c r="Y108" s="235"/>
      <c r="Z108" s="235"/>
    </row>
    <row r="109" spans="1:26" ht="12.75" customHeight="1">
      <c r="A109" s="235"/>
      <c r="B109" s="235"/>
      <c r="C109" s="235"/>
      <c r="D109" s="235"/>
      <c r="E109" s="235"/>
      <c r="F109" s="235"/>
      <c r="G109" s="235"/>
      <c r="H109" s="235"/>
      <c r="I109" s="235"/>
      <c r="J109" s="235"/>
      <c r="K109" s="235"/>
      <c r="L109" s="235"/>
      <c r="M109" s="235"/>
      <c r="N109" s="235"/>
      <c r="O109" s="235"/>
      <c r="P109" s="235"/>
      <c r="Q109" s="235"/>
      <c r="R109" s="235"/>
      <c r="S109" s="235"/>
      <c r="T109" s="235"/>
      <c r="U109" s="235"/>
      <c r="V109" s="235"/>
      <c r="W109" s="235"/>
      <c r="X109" s="235"/>
      <c r="Y109" s="235"/>
      <c r="Z109" s="235"/>
    </row>
    <row r="110" spans="1:26" ht="12.75" customHeight="1">
      <c r="A110" s="235"/>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row>
    <row r="111" spans="1:26" ht="12.75" customHeight="1">
      <c r="A111" s="235"/>
      <c r="B111" s="235"/>
      <c r="C111" s="235"/>
      <c r="D111" s="235"/>
      <c r="E111" s="235"/>
      <c r="F111" s="235"/>
      <c r="G111" s="235"/>
      <c r="H111" s="235"/>
      <c r="I111" s="235"/>
      <c r="J111" s="235"/>
      <c r="K111" s="235"/>
      <c r="L111" s="235"/>
      <c r="M111" s="235"/>
      <c r="N111" s="235"/>
      <c r="O111" s="235"/>
      <c r="P111" s="235"/>
      <c r="Q111" s="235"/>
      <c r="R111" s="235"/>
      <c r="S111" s="235"/>
      <c r="T111" s="235"/>
      <c r="U111" s="235"/>
      <c r="V111" s="235"/>
      <c r="W111" s="235"/>
      <c r="X111" s="235"/>
      <c r="Y111" s="235"/>
      <c r="Z111" s="235"/>
    </row>
    <row r="112" spans="1:26" ht="12.75" customHeight="1">
      <c r="A112" s="235"/>
      <c r="B112" s="235"/>
      <c r="C112" s="235"/>
      <c r="D112" s="235"/>
      <c r="E112" s="235"/>
      <c r="F112" s="235"/>
      <c r="G112" s="235"/>
      <c r="H112" s="235"/>
      <c r="I112" s="235"/>
      <c r="J112" s="235"/>
      <c r="K112" s="235"/>
      <c r="L112" s="235"/>
      <c r="M112" s="235"/>
      <c r="N112" s="235"/>
      <c r="O112" s="235"/>
      <c r="P112" s="235"/>
      <c r="Q112" s="235"/>
      <c r="R112" s="235"/>
      <c r="S112" s="235"/>
      <c r="T112" s="235"/>
      <c r="U112" s="235"/>
      <c r="V112" s="235"/>
      <c r="W112" s="235"/>
      <c r="X112" s="235"/>
      <c r="Y112" s="235"/>
      <c r="Z112" s="235"/>
    </row>
    <row r="113" spans="1:26" ht="12.75" customHeight="1">
      <c r="A113" s="235"/>
      <c r="B113" s="235"/>
      <c r="C113" s="235"/>
      <c r="D113" s="235"/>
      <c r="E113" s="235"/>
      <c r="F113" s="235"/>
      <c r="G113" s="235"/>
      <c r="H113" s="235"/>
      <c r="I113" s="235"/>
      <c r="J113" s="235"/>
      <c r="K113" s="235"/>
      <c r="L113" s="235"/>
      <c r="M113" s="235"/>
      <c r="N113" s="235"/>
      <c r="O113" s="235"/>
      <c r="P113" s="235"/>
      <c r="Q113" s="235"/>
      <c r="R113" s="235"/>
      <c r="S113" s="235"/>
      <c r="T113" s="235"/>
      <c r="U113" s="235"/>
      <c r="V113" s="235"/>
      <c r="W113" s="235"/>
      <c r="X113" s="235"/>
      <c r="Y113" s="235"/>
      <c r="Z113" s="235"/>
    </row>
    <row r="114" spans="1:26" ht="12.75" customHeight="1">
      <c r="A114" s="235"/>
      <c r="B114" s="235"/>
      <c r="C114" s="235"/>
      <c r="D114" s="235"/>
      <c r="E114" s="235"/>
      <c r="F114" s="235"/>
      <c r="G114" s="235"/>
      <c r="H114" s="235"/>
      <c r="I114" s="235"/>
      <c r="J114" s="235"/>
      <c r="K114" s="235"/>
      <c r="L114" s="235"/>
      <c r="M114" s="235"/>
      <c r="N114" s="235"/>
      <c r="O114" s="235"/>
      <c r="P114" s="235"/>
      <c r="Q114" s="235"/>
      <c r="R114" s="235"/>
      <c r="S114" s="235"/>
      <c r="T114" s="235"/>
      <c r="U114" s="235"/>
      <c r="V114" s="235"/>
      <c r="W114" s="235"/>
      <c r="X114" s="235"/>
      <c r="Y114" s="235"/>
      <c r="Z114" s="235"/>
    </row>
    <row r="115" spans="1:26" ht="12.75" customHeight="1">
      <c r="A115" s="235"/>
      <c r="B115" s="235"/>
      <c r="C115" s="235"/>
      <c r="D115" s="235"/>
      <c r="E115" s="235"/>
      <c r="F115" s="235"/>
      <c r="G115" s="235"/>
      <c r="H115" s="235"/>
      <c r="I115" s="235"/>
      <c r="J115" s="235"/>
      <c r="K115" s="235"/>
      <c r="L115" s="235"/>
      <c r="M115" s="235"/>
      <c r="N115" s="235"/>
      <c r="O115" s="235"/>
      <c r="P115" s="235"/>
      <c r="Q115" s="235"/>
      <c r="R115" s="235"/>
      <c r="S115" s="235"/>
      <c r="T115" s="235"/>
      <c r="U115" s="235"/>
      <c r="V115" s="235"/>
      <c r="W115" s="235"/>
      <c r="X115" s="235"/>
      <c r="Y115" s="235"/>
      <c r="Z115" s="235"/>
    </row>
    <row r="116" spans="1:26" ht="12.75" customHeight="1">
      <c r="A116" s="235"/>
      <c r="B116" s="235"/>
      <c r="C116" s="235"/>
      <c r="D116" s="235"/>
      <c r="E116" s="235"/>
      <c r="F116" s="235"/>
      <c r="G116" s="235"/>
      <c r="H116" s="235"/>
      <c r="I116" s="235"/>
      <c r="J116" s="235"/>
      <c r="K116" s="235"/>
      <c r="L116" s="235"/>
      <c r="M116" s="235"/>
      <c r="N116" s="235"/>
      <c r="O116" s="235"/>
      <c r="P116" s="235"/>
      <c r="Q116" s="235"/>
      <c r="R116" s="235"/>
      <c r="S116" s="235"/>
      <c r="T116" s="235"/>
      <c r="U116" s="235"/>
      <c r="V116" s="235"/>
      <c r="W116" s="235"/>
      <c r="X116" s="235"/>
      <c r="Y116" s="235"/>
      <c r="Z116" s="235"/>
    </row>
    <row r="117" spans="1:26" ht="12.75" customHeight="1">
      <c r="A117" s="235"/>
      <c r="B117" s="235"/>
      <c r="C117" s="235"/>
      <c r="D117" s="235"/>
      <c r="E117" s="235"/>
      <c r="F117" s="235"/>
      <c r="G117" s="235"/>
      <c r="H117" s="235"/>
      <c r="I117" s="235"/>
      <c r="J117" s="235"/>
      <c r="K117" s="235"/>
      <c r="L117" s="235"/>
      <c r="M117" s="235"/>
      <c r="N117" s="235"/>
      <c r="O117" s="235"/>
      <c r="P117" s="235"/>
      <c r="Q117" s="235"/>
      <c r="R117" s="235"/>
      <c r="S117" s="235"/>
      <c r="T117" s="235"/>
      <c r="U117" s="235"/>
      <c r="V117" s="235"/>
      <c r="W117" s="235"/>
      <c r="X117" s="235"/>
      <c r="Y117" s="235"/>
      <c r="Z117" s="235"/>
    </row>
    <row r="118" spans="1:26" ht="12.75" customHeight="1">
      <c r="A118" s="235"/>
      <c r="B118" s="235"/>
      <c r="C118" s="235"/>
      <c r="D118" s="235"/>
      <c r="E118" s="235"/>
      <c r="F118" s="235"/>
      <c r="G118" s="235"/>
      <c r="H118" s="235"/>
      <c r="I118" s="235"/>
      <c r="J118" s="235"/>
      <c r="K118" s="235"/>
      <c r="L118" s="235"/>
      <c r="M118" s="235"/>
      <c r="N118" s="235"/>
      <c r="O118" s="235"/>
      <c r="P118" s="235"/>
      <c r="Q118" s="235"/>
      <c r="R118" s="235"/>
      <c r="S118" s="235"/>
      <c r="T118" s="235"/>
      <c r="U118" s="235"/>
      <c r="V118" s="235"/>
      <c r="W118" s="235"/>
      <c r="X118" s="235"/>
      <c r="Y118" s="235"/>
      <c r="Z118" s="235"/>
    </row>
    <row r="119" spans="1:26" ht="12.75" customHeight="1">
      <c r="A119" s="235"/>
      <c r="B119" s="235"/>
      <c r="C119" s="235"/>
      <c r="D119" s="235"/>
      <c r="E119" s="235"/>
      <c r="F119" s="235"/>
      <c r="G119" s="235"/>
      <c r="H119" s="235"/>
      <c r="I119" s="235"/>
      <c r="J119" s="235"/>
      <c r="K119" s="235"/>
      <c r="L119" s="235"/>
      <c r="M119" s="235"/>
      <c r="N119" s="235"/>
      <c r="O119" s="235"/>
      <c r="P119" s="235"/>
      <c r="Q119" s="235"/>
      <c r="R119" s="235"/>
      <c r="S119" s="235"/>
      <c r="T119" s="235"/>
      <c r="U119" s="235"/>
      <c r="V119" s="235"/>
      <c r="W119" s="235"/>
      <c r="X119" s="235"/>
      <c r="Y119" s="235"/>
      <c r="Z119" s="235"/>
    </row>
    <row r="120" spans="1:26" ht="12.75" customHeight="1">
      <c r="A120" s="235"/>
      <c r="B120" s="235"/>
      <c r="C120" s="235"/>
      <c r="D120" s="235"/>
      <c r="E120" s="235"/>
      <c r="F120" s="235"/>
      <c r="G120" s="235"/>
      <c r="H120" s="235"/>
      <c r="I120" s="235"/>
      <c r="J120" s="235"/>
      <c r="K120" s="235"/>
      <c r="L120" s="235"/>
      <c r="M120" s="235"/>
      <c r="N120" s="235"/>
      <c r="O120" s="235"/>
      <c r="P120" s="235"/>
      <c r="Q120" s="235"/>
      <c r="R120" s="235"/>
      <c r="S120" s="235"/>
      <c r="T120" s="235"/>
      <c r="U120" s="235"/>
      <c r="V120" s="235"/>
      <c r="W120" s="235"/>
      <c r="X120" s="235"/>
      <c r="Y120" s="235"/>
      <c r="Z120" s="235"/>
    </row>
    <row r="121" spans="1:26" ht="12.75" customHeight="1">
      <c r="A121" s="235"/>
      <c r="B121" s="235"/>
      <c r="C121" s="235"/>
      <c r="D121" s="235"/>
      <c r="E121" s="235"/>
      <c r="F121" s="235"/>
      <c r="G121" s="235"/>
      <c r="H121" s="235"/>
      <c r="I121" s="235"/>
      <c r="J121" s="235"/>
      <c r="K121" s="235"/>
      <c r="L121" s="235"/>
      <c r="M121" s="235"/>
      <c r="N121" s="235"/>
      <c r="O121" s="235"/>
      <c r="P121" s="235"/>
      <c r="Q121" s="235"/>
      <c r="R121" s="235"/>
      <c r="S121" s="235"/>
      <c r="T121" s="235"/>
      <c r="U121" s="235"/>
      <c r="V121" s="235"/>
      <c r="W121" s="235"/>
      <c r="X121" s="235"/>
      <c r="Y121" s="235"/>
      <c r="Z121" s="235"/>
    </row>
    <row r="122" spans="1:26" ht="12.75" customHeight="1">
      <c r="A122" s="235"/>
      <c r="B122" s="235"/>
      <c r="C122" s="235"/>
      <c r="D122" s="235"/>
      <c r="E122" s="235"/>
      <c r="F122" s="235"/>
      <c r="G122" s="235"/>
      <c r="H122" s="235"/>
      <c r="I122" s="235"/>
      <c r="J122" s="235"/>
      <c r="K122" s="235"/>
      <c r="L122" s="235"/>
      <c r="M122" s="235"/>
      <c r="N122" s="235"/>
      <c r="O122" s="235"/>
      <c r="P122" s="235"/>
      <c r="Q122" s="235"/>
      <c r="R122" s="235"/>
      <c r="S122" s="235"/>
      <c r="T122" s="235"/>
      <c r="U122" s="235"/>
      <c r="V122" s="235"/>
      <c r="W122" s="235"/>
      <c r="X122" s="235"/>
      <c r="Y122" s="235"/>
      <c r="Z122" s="235"/>
    </row>
    <row r="123" spans="1:26" ht="12.75" customHeight="1">
      <c r="A123" s="235"/>
      <c r="B123" s="235"/>
      <c r="C123" s="235"/>
      <c r="D123" s="235"/>
      <c r="E123" s="235"/>
      <c r="F123" s="235"/>
      <c r="G123" s="235"/>
      <c r="H123" s="235"/>
      <c r="I123" s="235"/>
      <c r="J123" s="235"/>
      <c r="K123" s="235"/>
      <c r="L123" s="235"/>
      <c r="M123" s="235"/>
      <c r="N123" s="235"/>
      <c r="O123" s="235"/>
      <c r="P123" s="235"/>
      <c r="Q123" s="235"/>
      <c r="R123" s="235"/>
      <c r="S123" s="235"/>
      <c r="T123" s="235"/>
      <c r="U123" s="235"/>
      <c r="V123" s="235"/>
      <c r="W123" s="235"/>
      <c r="X123" s="235"/>
      <c r="Y123" s="235"/>
      <c r="Z123" s="235"/>
    </row>
    <row r="124" spans="1:26" ht="12.75" customHeight="1">
      <c r="A124" s="235"/>
      <c r="B124" s="235"/>
      <c r="C124" s="235"/>
      <c r="D124" s="235"/>
      <c r="E124" s="235"/>
      <c r="F124" s="235"/>
      <c r="G124" s="235"/>
      <c r="H124" s="235"/>
      <c r="I124" s="235"/>
      <c r="J124" s="235"/>
      <c r="K124" s="235"/>
      <c r="L124" s="235"/>
      <c r="M124" s="235"/>
      <c r="N124" s="235"/>
      <c r="O124" s="235"/>
      <c r="P124" s="235"/>
      <c r="Q124" s="235"/>
      <c r="R124" s="235"/>
      <c r="S124" s="235"/>
      <c r="T124" s="235"/>
      <c r="U124" s="235"/>
      <c r="V124" s="235"/>
      <c r="W124" s="235"/>
      <c r="X124" s="235"/>
      <c r="Y124" s="235"/>
      <c r="Z124" s="235"/>
    </row>
    <row r="125" spans="1:26" ht="12.75" customHeight="1">
      <c r="A125" s="235"/>
      <c r="B125" s="235"/>
      <c r="C125" s="235"/>
      <c r="D125" s="235"/>
      <c r="E125" s="235"/>
      <c r="F125" s="235"/>
      <c r="G125" s="235"/>
      <c r="H125" s="235"/>
      <c r="I125" s="235"/>
      <c r="J125" s="235"/>
      <c r="K125" s="235"/>
      <c r="L125" s="235"/>
      <c r="M125" s="235"/>
      <c r="N125" s="235"/>
      <c r="O125" s="235"/>
      <c r="P125" s="235"/>
      <c r="Q125" s="235"/>
      <c r="R125" s="235"/>
      <c r="S125" s="235"/>
      <c r="T125" s="235"/>
      <c r="U125" s="235"/>
      <c r="V125" s="235"/>
      <c r="W125" s="235"/>
      <c r="X125" s="235"/>
      <c r="Y125" s="235"/>
      <c r="Z125" s="235"/>
    </row>
    <row r="126" spans="1:26" ht="12.75" customHeight="1">
      <c r="A126" s="235"/>
      <c r="B126" s="235"/>
      <c r="C126" s="235"/>
      <c r="D126" s="235"/>
      <c r="E126" s="235"/>
      <c r="F126" s="235"/>
      <c r="G126" s="235"/>
      <c r="H126" s="235"/>
      <c r="I126" s="235"/>
      <c r="J126" s="235"/>
      <c r="K126" s="235"/>
      <c r="L126" s="235"/>
      <c r="M126" s="235"/>
      <c r="N126" s="235"/>
      <c r="O126" s="235"/>
      <c r="P126" s="235"/>
      <c r="Q126" s="235"/>
      <c r="R126" s="235"/>
      <c r="S126" s="235"/>
      <c r="T126" s="235"/>
      <c r="U126" s="235"/>
      <c r="V126" s="235"/>
      <c r="W126" s="235"/>
      <c r="X126" s="235"/>
      <c r="Y126" s="235"/>
      <c r="Z126" s="235"/>
    </row>
    <row r="127" spans="1:26" ht="12.75" customHeight="1">
      <c r="A127" s="235"/>
      <c r="B127" s="235"/>
      <c r="C127" s="235"/>
      <c r="D127" s="235"/>
      <c r="E127" s="235"/>
      <c r="F127" s="235"/>
      <c r="G127" s="235"/>
      <c r="H127" s="235"/>
      <c r="I127" s="235"/>
      <c r="J127" s="235"/>
      <c r="K127" s="235"/>
      <c r="L127" s="235"/>
      <c r="M127" s="235"/>
      <c r="N127" s="235"/>
      <c r="O127" s="235"/>
      <c r="P127" s="235"/>
      <c r="Q127" s="235"/>
      <c r="R127" s="235"/>
      <c r="S127" s="235"/>
      <c r="T127" s="235"/>
      <c r="U127" s="235"/>
      <c r="V127" s="235"/>
      <c r="W127" s="235"/>
      <c r="X127" s="235"/>
      <c r="Y127" s="235"/>
      <c r="Z127" s="235"/>
    </row>
    <row r="128" spans="1:26" ht="12.75" customHeight="1">
      <c r="A128" s="235"/>
      <c r="B128" s="235"/>
      <c r="C128" s="235"/>
      <c r="D128" s="235"/>
      <c r="E128" s="235"/>
      <c r="F128" s="235"/>
      <c r="G128" s="235"/>
      <c r="H128" s="235"/>
      <c r="I128" s="235"/>
      <c r="J128" s="235"/>
      <c r="K128" s="235"/>
      <c r="L128" s="235"/>
      <c r="M128" s="235"/>
      <c r="N128" s="235"/>
      <c r="O128" s="235"/>
      <c r="P128" s="235"/>
      <c r="Q128" s="235"/>
      <c r="R128" s="235"/>
      <c r="S128" s="235"/>
      <c r="T128" s="235"/>
      <c r="U128" s="235"/>
      <c r="V128" s="235"/>
      <c r="W128" s="235"/>
      <c r="X128" s="235"/>
      <c r="Y128" s="235"/>
      <c r="Z128" s="235"/>
    </row>
    <row r="129" spans="1:26" ht="12.75" customHeight="1">
      <c r="A129" s="235"/>
      <c r="B129" s="235"/>
      <c r="C129" s="235"/>
      <c r="D129" s="235"/>
      <c r="E129" s="235"/>
      <c r="F129" s="235"/>
      <c r="G129" s="235"/>
      <c r="H129" s="235"/>
      <c r="I129" s="235"/>
      <c r="J129" s="235"/>
      <c r="K129" s="235"/>
      <c r="L129" s="235"/>
      <c r="M129" s="235"/>
      <c r="N129" s="235"/>
      <c r="O129" s="235"/>
      <c r="P129" s="235"/>
      <c r="Q129" s="235"/>
      <c r="R129" s="235"/>
      <c r="S129" s="235"/>
      <c r="T129" s="235"/>
      <c r="U129" s="235"/>
      <c r="V129" s="235"/>
      <c r="W129" s="235"/>
      <c r="X129" s="235"/>
      <c r="Y129" s="235"/>
      <c r="Z129" s="235"/>
    </row>
    <row r="130" spans="1:26" ht="12.75" customHeight="1">
      <c r="A130" s="235"/>
      <c r="B130" s="235"/>
      <c r="C130" s="235"/>
      <c r="D130" s="235"/>
      <c r="E130" s="235"/>
      <c r="F130" s="235"/>
      <c r="G130" s="235"/>
      <c r="H130" s="235"/>
      <c r="I130" s="235"/>
      <c r="J130" s="235"/>
      <c r="K130" s="235"/>
      <c r="L130" s="235"/>
      <c r="M130" s="235"/>
      <c r="N130" s="235"/>
      <c r="O130" s="235"/>
      <c r="P130" s="235"/>
      <c r="Q130" s="235"/>
      <c r="R130" s="235"/>
      <c r="S130" s="235"/>
      <c r="T130" s="235"/>
      <c r="U130" s="235"/>
      <c r="V130" s="235"/>
      <c r="W130" s="235"/>
      <c r="X130" s="235"/>
      <c r="Y130" s="235"/>
      <c r="Z130" s="235"/>
    </row>
    <row r="131" spans="1:26" ht="12.75" customHeight="1">
      <c r="A131" s="235"/>
      <c r="B131" s="235"/>
      <c r="C131" s="235"/>
      <c r="D131" s="235"/>
      <c r="E131" s="235"/>
      <c r="F131" s="235"/>
      <c r="G131" s="235"/>
      <c r="H131" s="235"/>
      <c r="I131" s="235"/>
      <c r="J131" s="235"/>
      <c r="K131" s="235"/>
      <c r="L131" s="235"/>
      <c r="M131" s="235"/>
      <c r="N131" s="235"/>
      <c r="O131" s="235"/>
      <c r="P131" s="235"/>
      <c r="Q131" s="235"/>
      <c r="R131" s="235"/>
      <c r="S131" s="235"/>
      <c r="T131" s="235"/>
      <c r="U131" s="235"/>
      <c r="V131" s="235"/>
      <c r="W131" s="235"/>
      <c r="X131" s="235"/>
      <c r="Y131" s="235"/>
      <c r="Z131" s="235"/>
    </row>
    <row r="132" spans="1:26" ht="12.75" customHeight="1">
      <c r="A132" s="235"/>
      <c r="B132" s="235"/>
      <c r="C132" s="235"/>
      <c r="D132" s="235"/>
      <c r="E132" s="235"/>
      <c r="F132" s="235"/>
      <c r="G132" s="235"/>
      <c r="H132" s="235"/>
      <c r="I132" s="235"/>
      <c r="J132" s="235"/>
      <c r="K132" s="235"/>
      <c r="L132" s="235"/>
      <c r="M132" s="235"/>
      <c r="N132" s="235"/>
      <c r="O132" s="235"/>
      <c r="P132" s="235"/>
      <c r="Q132" s="235"/>
      <c r="R132" s="235"/>
      <c r="S132" s="235"/>
      <c r="T132" s="235"/>
      <c r="U132" s="235"/>
      <c r="V132" s="235"/>
      <c r="W132" s="235"/>
      <c r="X132" s="235"/>
      <c r="Y132" s="235"/>
      <c r="Z132" s="235"/>
    </row>
    <row r="133" spans="1:26" ht="12.75" customHeight="1">
      <c r="A133" s="235"/>
      <c r="B133" s="235"/>
      <c r="C133" s="235"/>
      <c r="D133" s="235"/>
      <c r="E133" s="235"/>
      <c r="F133" s="235"/>
      <c r="G133" s="235"/>
      <c r="H133" s="235"/>
      <c r="I133" s="235"/>
      <c r="J133" s="235"/>
      <c r="K133" s="235"/>
      <c r="L133" s="235"/>
      <c r="M133" s="235"/>
      <c r="N133" s="235"/>
      <c r="O133" s="235"/>
      <c r="P133" s="235"/>
      <c r="Q133" s="235"/>
      <c r="R133" s="235"/>
      <c r="S133" s="235"/>
      <c r="T133" s="235"/>
      <c r="U133" s="235"/>
      <c r="V133" s="235"/>
      <c r="W133" s="235"/>
      <c r="X133" s="235"/>
      <c r="Y133" s="235"/>
      <c r="Z133" s="235"/>
    </row>
    <row r="134" spans="1:26" ht="12.75" customHeight="1">
      <c r="A134" s="235"/>
      <c r="B134" s="235"/>
      <c r="C134" s="235"/>
      <c r="D134" s="235"/>
      <c r="E134" s="235"/>
      <c r="F134" s="235"/>
      <c r="G134" s="235"/>
      <c r="H134" s="235"/>
      <c r="I134" s="235"/>
      <c r="J134" s="235"/>
      <c r="K134" s="235"/>
      <c r="L134" s="235"/>
      <c r="M134" s="235"/>
      <c r="N134" s="235"/>
      <c r="O134" s="235"/>
      <c r="P134" s="235"/>
      <c r="Q134" s="235"/>
      <c r="R134" s="235"/>
      <c r="S134" s="235"/>
      <c r="T134" s="235"/>
      <c r="U134" s="235"/>
      <c r="V134" s="235"/>
      <c r="W134" s="235"/>
      <c r="X134" s="235"/>
      <c r="Y134" s="235"/>
      <c r="Z134" s="235"/>
    </row>
    <row r="135" spans="1:26" ht="12.75" customHeight="1">
      <c r="A135" s="235"/>
      <c r="B135" s="235"/>
      <c r="C135" s="235"/>
      <c r="D135" s="235"/>
      <c r="E135" s="235"/>
      <c r="F135" s="235"/>
      <c r="G135" s="235"/>
      <c r="H135" s="235"/>
      <c r="I135" s="235"/>
      <c r="J135" s="235"/>
      <c r="K135" s="235"/>
      <c r="L135" s="235"/>
      <c r="M135" s="235"/>
      <c r="N135" s="235"/>
      <c r="O135" s="235"/>
      <c r="P135" s="235"/>
      <c r="Q135" s="235"/>
      <c r="R135" s="235"/>
      <c r="S135" s="235"/>
      <c r="T135" s="235"/>
      <c r="U135" s="235"/>
      <c r="V135" s="235"/>
      <c r="W135" s="235"/>
      <c r="X135" s="235"/>
      <c r="Y135" s="235"/>
      <c r="Z135" s="235"/>
    </row>
    <row r="136" spans="1:26" ht="12.75" customHeight="1">
      <c r="A136" s="235"/>
      <c r="B136" s="235"/>
      <c r="C136" s="235"/>
      <c r="D136" s="235"/>
      <c r="E136" s="235"/>
      <c r="F136" s="235"/>
      <c r="G136" s="235"/>
      <c r="H136" s="235"/>
      <c r="I136" s="235"/>
      <c r="J136" s="235"/>
      <c r="K136" s="235"/>
      <c r="L136" s="235"/>
      <c r="M136" s="235"/>
      <c r="N136" s="235"/>
      <c r="O136" s="235"/>
      <c r="P136" s="235"/>
      <c r="Q136" s="235"/>
      <c r="R136" s="235"/>
      <c r="S136" s="235"/>
      <c r="T136" s="235"/>
      <c r="U136" s="235"/>
      <c r="V136" s="235"/>
      <c r="W136" s="235"/>
      <c r="X136" s="235"/>
      <c r="Y136" s="235"/>
      <c r="Z136" s="235"/>
    </row>
    <row r="137" spans="1:26" ht="12.75" customHeight="1">
      <c r="A137" s="235"/>
      <c r="B137" s="235"/>
      <c r="C137" s="235"/>
      <c r="D137" s="235"/>
      <c r="E137" s="235"/>
      <c r="F137" s="235"/>
      <c r="G137" s="235"/>
      <c r="H137" s="235"/>
      <c r="I137" s="235"/>
      <c r="J137" s="235"/>
      <c r="K137" s="235"/>
      <c r="L137" s="235"/>
      <c r="M137" s="235"/>
      <c r="N137" s="235"/>
      <c r="O137" s="235"/>
      <c r="P137" s="235"/>
      <c r="Q137" s="235"/>
      <c r="R137" s="235"/>
      <c r="S137" s="235"/>
      <c r="T137" s="235"/>
      <c r="U137" s="235"/>
      <c r="V137" s="235"/>
      <c r="W137" s="235"/>
      <c r="X137" s="235"/>
      <c r="Y137" s="235"/>
      <c r="Z137" s="235"/>
    </row>
    <row r="138" spans="1:26" ht="12.75" customHeight="1">
      <c r="A138" s="235"/>
      <c r="B138" s="235"/>
      <c r="C138" s="235"/>
      <c r="D138" s="235"/>
      <c r="E138" s="235"/>
      <c r="F138" s="235"/>
      <c r="G138" s="235"/>
      <c r="H138" s="235"/>
      <c r="I138" s="235"/>
      <c r="J138" s="235"/>
      <c r="K138" s="235"/>
      <c r="L138" s="235"/>
      <c r="M138" s="235"/>
      <c r="N138" s="235"/>
      <c r="O138" s="235"/>
      <c r="P138" s="235"/>
      <c r="Q138" s="235"/>
      <c r="R138" s="235"/>
      <c r="S138" s="235"/>
      <c r="T138" s="235"/>
      <c r="U138" s="235"/>
      <c r="V138" s="235"/>
      <c r="W138" s="235"/>
      <c r="X138" s="235"/>
      <c r="Y138" s="235"/>
      <c r="Z138" s="235"/>
    </row>
    <row r="139" spans="1:26" ht="12.75" customHeight="1">
      <c r="A139" s="235"/>
      <c r="B139" s="235"/>
      <c r="C139" s="235"/>
      <c r="D139" s="235"/>
      <c r="E139" s="235"/>
      <c r="F139" s="235"/>
      <c r="G139" s="235"/>
      <c r="H139" s="235"/>
      <c r="I139" s="235"/>
      <c r="J139" s="235"/>
      <c r="K139" s="235"/>
      <c r="L139" s="235"/>
      <c r="M139" s="235"/>
      <c r="N139" s="235"/>
      <c r="O139" s="235"/>
      <c r="P139" s="235"/>
      <c r="Q139" s="235"/>
      <c r="R139" s="235"/>
      <c r="S139" s="235"/>
      <c r="T139" s="235"/>
      <c r="U139" s="235"/>
      <c r="V139" s="235"/>
      <c r="W139" s="235"/>
      <c r="X139" s="235"/>
      <c r="Y139" s="235"/>
      <c r="Z139" s="235"/>
    </row>
    <row r="140" spans="1:26" ht="12.75" customHeight="1">
      <c r="A140" s="235"/>
      <c r="B140" s="235"/>
      <c r="C140" s="235"/>
      <c r="D140" s="235"/>
      <c r="E140" s="235"/>
      <c r="F140" s="235"/>
      <c r="G140" s="235"/>
      <c r="H140" s="235"/>
      <c r="I140" s="235"/>
      <c r="J140" s="235"/>
      <c r="K140" s="235"/>
      <c r="L140" s="235"/>
      <c r="M140" s="235"/>
      <c r="N140" s="235"/>
      <c r="O140" s="235"/>
      <c r="P140" s="235"/>
      <c r="Q140" s="235"/>
      <c r="R140" s="235"/>
      <c r="S140" s="235"/>
      <c r="T140" s="235"/>
      <c r="U140" s="235"/>
      <c r="V140" s="235"/>
      <c r="W140" s="235"/>
      <c r="X140" s="235"/>
      <c r="Y140" s="235"/>
      <c r="Z140" s="235"/>
    </row>
    <row r="141" spans="1:26" ht="12.75" customHeight="1">
      <c r="A141" s="235"/>
      <c r="B141" s="235"/>
      <c r="C141" s="235"/>
      <c r="D141" s="235"/>
      <c r="E141" s="235"/>
      <c r="F141" s="235"/>
      <c r="G141" s="235"/>
      <c r="H141" s="235"/>
      <c r="I141" s="235"/>
      <c r="J141" s="235"/>
      <c r="K141" s="235"/>
      <c r="L141" s="235"/>
      <c r="M141" s="235"/>
      <c r="N141" s="235"/>
      <c r="O141" s="235"/>
      <c r="P141" s="235"/>
      <c r="Q141" s="235"/>
      <c r="R141" s="235"/>
      <c r="S141" s="235"/>
      <c r="T141" s="235"/>
      <c r="U141" s="235"/>
      <c r="V141" s="235"/>
      <c r="W141" s="235"/>
      <c r="X141" s="235"/>
      <c r="Y141" s="235"/>
      <c r="Z141" s="235"/>
    </row>
    <row r="142" spans="1:26" ht="12.75" customHeight="1">
      <c r="A142" s="235"/>
      <c r="B142" s="235"/>
      <c r="C142" s="235"/>
      <c r="D142" s="235"/>
      <c r="E142" s="235"/>
      <c r="F142" s="235"/>
      <c r="G142" s="235"/>
      <c r="H142" s="235"/>
      <c r="I142" s="235"/>
      <c r="J142" s="235"/>
      <c r="K142" s="235"/>
      <c r="L142" s="235"/>
      <c r="M142" s="235"/>
      <c r="N142" s="235"/>
      <c r="O142" s="235"/>
      <c r="P142" s="235"/>
      <c r="Q142" s="235"/>
      <c r="R142" s="235"/>
      <c r="S142" s="235"/>
      <c r="T142" s="235"/>
      <c r="U142" s="235"/>
      <c r="V142" s="235"/>
      <c r="W142" s="235"/>
      <c r="X142" s="235"/>
      <c r="Y142" s="235"/>
      <c r="Z142" s="235"/>
    </row>
    <row r="143" spans="1:26" ht="12.75" customHeight="1">
      <c r="A143" s="235"/>
      <c r="B143" s="235"/>
      <c r="C143" s="235"/>
      <c r="D143" s="235"/>
      <c r="E143" s="235"/>
      <c r="F143" s="235"/>
      <c r="G143" s="235"/>
      <c r="H143" s="235"/>
      <c r="I143" s="235"/>
      <c r="J143" s="235"/>
      <c r="K143" s="235"/>
      <c r="L143" s="235"/>
      <c r="M143" s="235"/>
      <c r="N143" s="235"/>
      <c r="O143" s="235"/>
      <c r="P143" s="235"/>
      <c r="Q143" s="235"/>
      <c r="R143" s="235"/>
      <c r="S143" s="235"/>
      <c r="T143" s="235"/>
      <c r="U143" s="235"/>
      <c r="V143" s="235"/>
      <c r="W143" s="235"/>
      <c r="X143" s="235"/>
      <c r="Y143" s="235"/>
      <c r="Z143" s="235"/>
    </row>
    <row r="144" spans="1:26" ht="12.75" customHeight="1">
      <c r="A144" s="235"/>
      <c r="B144" s="235"/>
      <c r="C144" s="235"/>
      <c r="D144" s="235"/>
      <c r="E144" s="235"/>
      <c r="F144" s="235"/>
      <c r="G144" s="235"/>
      <c r="H144" s="235"/>
      <c r="I144" s="235"/>
      <c r="J144" s="235"/>
      <c r="K144" s="235"/>
      <c r="L144" s="235"/>
      <c r="M144" s="235"/>
      <c r="N144" s="235"/>
      <c r="O144" s="235"/>
      <c r="P144" s="235"/>
      <c r="Q144" s="235"/>
      <c r="R144" s="235"/>
      <c r="S144" s="235"/>
      <c r="T144" s="235"/>
      <c r="U144" s="235"/>
      <c r="V144" s="235"/>
      <c r="W144" s="235"/>
      <c r="X144" s="235"/>
      <c r="Y144" s="235"/>
      <c r="Z144" s="235"/>
    </row>
    <row r="145" spans="1:26" ht="12.75" customHeight="1">
      <c r="A145" s="235"/>
      <c r="B145" s="235"/>
      <c r="C145" s="235"/>
      <c r="D145" s="235"/>
      <c r="E145" s="235"/>
      <c r="F145" s="235"/>
      <c r="G145" s="235"/>
      <c r="H145" s="235"/>
      <c r="I145" s="235"/>
      <c r="J145" s="235"/>
      <c r="K145" s="235"/>
      <c r="L145" s="235"/>
      <c r="M145" s="235"/>
      <c r="N145" s="235"/>
      <c r="O145" s="235"/>
      <c r="P145" s="235"/>
      <c r="Q145" s="235"/>
      <c r="R145" s="235"/>
      <c r="S145" s="235"/>
      <c r="T145" s="235"/>
      <c r="U145" s="235"/>
      <c r="V145" s="235"/>
      <c r="W145" s="235"/>
      <c r="X145" s="235"/>
      <c r="Y145" s="235"/>
      <c r="Z145" s="235"/>
    </row>
    <row r="146" spans="1:26" ht="12.75" customHeight="1">
      <c r="A146" s="235"/>
      <c r="B146" s="235"/>
      <c r="C146" s="235"/>
      <c r="D146" s="235"/>
      <c r="E146" s="235"/>
      <c r="F146" s="235"/>
      <c r="G146" s="235"/>
      <c r="H146" s="235"/>
      <c r="I146" s="235"/>
      <c r="J146" s="235"/>
      <c r="K146" s="235"/>
      <c r="L146" s="235"/>
      <c r="M146" s="235"/>
      <c r="N146" s="235"/>
      <c r="O146" s="235"/>
      <c r="P146" s="235"/>
      <c r="Q146" s="235"/>
      <c r="R146" s="235"/>
      <c r="S146" s="235"/>
      <c r="T146" s="235"/>
      <c r="U146" s="235"/>
      <c r="V146" s="235"/>
      <c r="W146" s="235"/>
      <c r="X146" s="235"/>
      <c r="Y146" s="235"/>
      <c r="Z146" s="235"/>
    </row>
    <row r="147" spans="1:26" ht="12.75" customHeight="1">
      <c r="A147" s="235"/>
      <c r="B147" s="235"/>
      <c r="C147" s="235"/>
      <c r="D147" s="235"/>
      <c r="E147" s="235"/>
      <c r="F147" s="235"/>
      <c r="G147" s="235"/>
      <c r="H147" s="235"/>
      <c r="I147" s="235"/>
      <c r="J147" s="235"/>
      <c r="K147" s="235"/>
      <c r="L147" s="235"/>
      <c r="M147" s="235"/>
      <c r="N147" s="235"/>
      <c r="O147" s="235"/>
      <c r="P147" s="235"/>
      <c r="Q147" s="235"/>
      <c r="R147" s="235"/>
      <c r="S147" s="235"/>
      <c r="T147" s="235"/>
      <c r="U147" s="235"/>
      <c r="V147" s="235"/>
      <c r="W147" s="235"/>
      <c r="X147" s="235"/>
      <c r="Y147" s="235"/>
      <c r="Z147" s="235"/>
    </row>
    <row r="148" spans="1:26" ht="12.75" customHeight="1">
      <c r="A148" s="235"/>
      <c r="B148" s="235"/>
      <c r="C148" s="235"/>
      <c r="D148" s="235"/>
      <c r="E148" s="235"/>
      <c r="F148" s="235"/>
      <c r="G148" s="235"/>
      <c r="H148" s="235"/>
      <c r="I148" s="235"/>
      <c r="J148" s="235"/>
      <c r="K148" s="235"/>
      <c r="L148" s="235"/>
      <c r="M148" s="235"/>
      <c r="N148" s="235"/>
      <c r="O148" s="235"/>
      <c r="P148" s="235"/>
      <c r="Q148" s="235"/>
      <c r="R148" s="235"/>
      <c r="S148" s="235"/>
      <c r="T148" s="235"/>
      <c r="U148" s="235"/>
      <c r="V148" s="235"/>
      <c r="W148" s="235"/>
      <c r="X148" s="235"/>
      <c r="Y148" s="235"/>
      <c r="Z148" s="235"/>
    </row>
    <row r="149" spans="1:26" ht="12.75" customHeight="1">
      <c r="A149" s="235"/>
      <c r="B149" s="235"/>
      <c r="C149" s="235"/>
      <c r="D149" s="235"/>
      <c r="E149" s="235"/>
      <c r="F149" s="235"/>
      <c r="G149" s="235"/>
      <c r="H149" s="235"/>
      <c r="I149" s="235"/>
      <c r="J149" s="235"/>
      <c r="K149" s="235"/>
      <c r="L149" s="235"/>
      <c r="M149" s="235"/>
      <c r="N149" s="235"/>
      <c r="O149" s="235"/>
      <c r="P149" s="235"/>
      <c r="Q149" s="235"/>
      <c r="R149" s="235"/>
      <c r="S149" s="235"/>
      <c r="T149" s="235"/>
      <c r="U149" s="235"/>
      <c r="V149" s="235"/>
      <c r="W149" s="235"/>
      <c r="X149" s="235"/>
      <c r="Y149" s="235"/>
      <c r="Z149" s="235"/>
    </row>
    <row r="150" spans="1:26" ht="12.75" customHeight="1">
      <c r="A150" s="235"/>
      <c r="B150" s="235"/>
      <c r="C150" s="235"/>
      <c r="D150" s="235"/>
      <c r="E150" s="235"/>
      <c r="F150" s="235"/>
      <c r="G150" s="235"/>
      <c r="H150" s="235"/>
      <c r="I150" s="235"/>
      <c r="J150" s="235"/>
      <c r="K150" s="235"/>
      <c r="L150" s="235"/>
      <c r="M150" s="235"/>
      <c r="N150" s="235"/>
      <c r="O150" s="235"/>
      <c r="P150" s="235"/>
      <c r="Q150" s="235"/>
      <c r="R150" s="235"/>
      <c r="S150" s="235"/>
      <c r="T150" s="235"/>
      <c r="U150" s="235"/>
      <c r="V150" s="235"/>
      <c r="W150" s="235"/>
      <c r="X150" s="235"/>
      <c r="Y150" s="235"/>
      <c r="Z150" s="235"/>
    </row>
    <row r="151" spans="1:26" ht="12.75" customHeight="1">
      <c r="A151" s="235"/>
      <c r="B151" s="235"/>
      <c r="C151" s="235"/>
      <c r="D151" s="235"/>
      <c r="E151" s="235"/>
      <c r="F151" s="235"/>
      <c r="G151" s="235"/>
      <c r="H151" s="235"/>
      <c r="I151" s="235"/>
      <c r="J151" s="235"/>
      <c r="K151" s="235"/>
      <c r="L151" s="235"/>
      <c r="M151" s="235"/>
      <c r="N151" s="235"/>
      <c r="O151" s="235"/>
      <c r="P151" s="235"/>
      <c r="Q151" s="235"/>
      <c r="R151" s="235"/>
      <c r="S151" s="235"/>
      <c r="T151" s="235"/>
      <c r="U151" s="235"/>
      <c r="V151" s="235"/>
      <c r="W151" s="235"/>
      <c r="X151" s="235"/>
      <c r="Y151" s="235"/>
      <c r="Z151" s="235"/>
    </row>
    <row r="152" spans="1:26" ht="12.75" customHeight="1">
      <c r="A152" s="235"/>
      <c r="B152" s="235"/>
      <c r="C152" s="235"/>
      <c r="D152" s="235"/>
      <c r="E152" s="235"/>
      <c r="F152" s="235"/>
      <c r="G152" s="235"/>
      <c r="H152" s="235"/>
      <c r="I152" s="235"/>
      <c r="J152" s="235"/>
      <c r="K152" s="235"/>
      <c r="L152" s="235"/>
      <c r="M152" s="235"/>
      <c r="N152" s="235"/>
      <c r="O152" s="235"/>
      <c r="P152" s="235"/>
      <c r="Q152" s="235"/>
      <c r="R152" s="235"/>
      <c r="S152" s="235"/>
      <c r="T152" s="235"/>
      <c r="U152" s="235"/>
      <c r="V152" s="235"/>
      <c r="W152" s="235"/>
      <c r="X152" s="235"/>
      <c r="Y152" s="235"/>
      <c r="Z152" s="235"/>
    </row>
    <row r="153" spans="1:26" ht="12.75" customHeight="1">
      <c r="A153" s="235"/>
      <c r="B153" s="235"/>
      <c r="C153" s="235"/>
      <c r="D153" s="235"/>
      <c r="E153" s="235"/>
      <c r="F153" s="235"/>
      <c r="G153" s="235"/>
      <c r="H153" s="235"/>
      <c r="I153" s="235"/>
      <c r="J153" s="235"/>
      <c r="K153" s="235"/>
      <c r="L153" s="235"/>
      <c r="M153" s="235"/>
      <c r="N153" s="235"/>
      <c r="O153" s="235"/>
      <c r="P153" s="235"/>
      <c r="Q153" s="235"/>
      <c r="R153" s="235"/>
      <c r="S153" s="235"/>
      <c r="T153" s="235"/>
      <c r="U153" s="235"/>
      <c r="V153" s="235"/>
      <c r="W153" s="235"/>
      <c r="X153" s="235"/>
      <c r="Y153" s="235"/>
      <c r="Z153" s="235"/>
    </row>
    <row r="154" spans="1:26" ht="12.75" customHeight="1">
      <c r="A154" s="235"/>
      <c r="B154" s="235"/>
      <c r="C154" s="235"/>
      <c r="D154" s="235"/>
      <c r="E154" s="235"/>
      <c r="F154" s="235"/>
      <c r="G154" s="235"/>
      <c r="H154" s="235"/>
      <c r="I154" s="235"/>
      <c r="J154" s="235"/>
      <c r="K154" s="235"/>
      <c r="L154" s="235"/>
      <c r="M154" s="235"/>
      <c r="N154" s="235"/>
      <c r="O154" s="235"/>
      <c r="P154" s="235"/>
      <c r="Q154" s="235"/>
      <c r="R154" s="235"/>
      <c r="S154" s="235"/>
      <c r="T154" s="235"/>
      <c r="U154" s="235"/>
      <c r="V154" s="235"/>
      <c r="W154" s="235"/>
      <c r="X154" s="235"/>
      <c r="Y154" s="235"/>
      <c r="Z154" s="235"/>
    </row>
    <row r="155" spans="1:26" ht="12.75" customHeight="1">
      <c r="A155" s="235"/>
      <c r="B155" s="235"/>
      <c r="C155" s="235"/>
      <c r="D155" s="235"/>
      <c r="E155" s="235"/>
      <c r="F155" s="235"/>
      <c r="G155" s="235"/>
      <c r="H155" s="235"/>
      <c r="I155" s="235"/>
      <c r="J155" s="235"/>
      <c r="K155" s="235"/>
      <c r="L155" s="235"/>
      <c r="M155" s="235"/>
      <c r="N155" s="235"/>
      <c r="O155" s="235"/>
      <c r="P155" s="235"/>
      <c r="Q155" s="235"/>
      <c r="R155" s="235"/>
      <c r="S155" s="235"/>
      <c r="T155" s="235"/>
      <c r="U155" s="235"/>
      <c r="V155" s="235"/>
      <c r="W155" s="235"/>
      <c r="X155" s="235"/>
      <c r="Y155" s="235"/>
      <c r="Z155" s="235"/>
    </row>
    <row r="156" spans="1:26" ht="12.75" customHeight="1">
      <c r="A156" s="235"/>
      <c r="B156" s="235"/>
      <c r="C156" s="235"/>
      <c r="D156" s="235"/>
      <c r="E156" s="235"/>
      <c r="F156" s="235"/>
      <c r="G156" s="235"/>
      <c r="H156" s="235"/>
      <c r="I156" s="235"/>
      <c r="J156" s="235"/>
      <c r="K156" s="235"/>
      <c r="L156" s="235"/>
      <c r="M156" s="235"/>
      <c r="N156" s="235"/>
      <c r="O156" s="235"/>
      <c r="P156" s="235"/>
      <c r="Q156" s="235"/>
      <c r="R156" s="235"/>
      <c r="S156" s="235"/>
      <c r="T156" s="235"/>
      <c r="U156" s="235"/>
      <c r="V156" s="235"/>
      <c r="W156" s="235"/>
      <c r="X156" s="235"/>
      <c r="Y156" s="235"/>
      <c r="Z156" s="235"/>
    </row>
    <row r="157" spans="1:26" ht="12.75" customHeight="1">
      <c r="A157" s="235"/>
      <c r="B157" s="235"/>
      <c r="C157" s="235"/>
      <c r="D157" s="235"/>
      <c r="E157" s="235"/>
      <c r="F157" s="235"/>
      <c r="G157" s="235"/>
      <c r="H157" s="235"/>
      <c r="I157" s="235"/>
      <c r="J157" s="235"/>
      <c r="K157" s="235"/>
      <c r="L157" s="235"/>
      <c r="M157" s="235"/>
      <c r="N157" s="235"/>
      <c r="O157" s="235"/>
      <c r="P157" s="235"/>
      <c r="Q157" s="235"/>
      <c r="R157" s="235"/>
      <c r="S157" s="235"/>
      <c r="T157" s="235"/>
      <c r="U157" s="235"/>
      <c r="V157" s="235"/>
      <c r="W157" s="235"/>
      <c r="X157" s="235"/>
      <c r="Y157" s="235"/>
      <c r="Z157" s="235"/>
    </row>
    <row r="158" spans="1:26" ht="12.75" customHeight="1">
      <c r="A158" s="235"/>
      <c r="B158" s="235"/>
      <c r="C158" s="235"/>
      <c r="D158" s="235"/>
      <c r="E158" s="235"/>
      <c r="F158" s="235"/>
      <c r="G158" s="235"/>
      <c r="H158" s="235"/>
      <c r="I158" s="235"/>
      <c r="J158" s="235"/>
      <c r="K158" s="235"/>
      <c r="L158" s="235"/>
      <c r="M158" s="235"/>
      <c r="N158" s="235"/>
      <c r="O158" s="235"/>
      <c r="P158" s="235"/>
      <c r="Q158" s="235"/>
      <c r="R158" s="235"/>
      <c r="S158" s="235"/>
      <c r="T158" s="235"/>
      <c r="U158" s="235"/>
      <c r="V158" s="235"/>
      <c r="W158" s="235"/>
      <c r="X158" s="235"/>
      <c r="Y158" s="235"/>
      <c r="Z158" s="235"/>
    </row>
    <row r="159" spans="1:26" ht="12.75" customHeight="1">
      <c r="A159" s="235"/>
      <c r="B159" s="235"/>
      <c r="C159" s="235"/>
      <c r="D159" s="235"/>
      <c r="E159" s="235"/>
      <c r="F159" s="235"/>
      <c r="G159" s="235"/>
      <c r="H159" s="235"/>
      <c r="I159" s="235"/>
      <c r="J159" s="235"/>
      <c r="K159" s="235"/>
      <c r="L159" s="235"/>
      <c r="M159" s="235"/>
      <c r="N159" s="235"/>
      <c r="O159" s="235"/>
      <c r="P159" s="235"/>
      <c r="Q159" s="235"/>
      <c r="R159" s="235"/>
      <c r="S159" s="235"/>
      <c r="T159" s="235"/>
      <c r="U159" s="235"/>
      <c r="V159" s="235"/>
      <c r="W159" s="235"/>
      <c r="X159" s="235"/>
      <c r="Y159" s="235"/>
      <c r="Z159" s="235"/>
    </row>
    <row r="160" spans="1:26" ht="12.75" customHeight="1">
      <c r="A160" s="235"/>
      <c r="B160" s="235"/>
      <c r="C160" s="235"/>
      <c r="D160" s="235"/>
      <c r="E160" s="235"/>
      <c r="F160" s="235"/>
      <c r="G160" s="235"/>
      <c r="H160" s="235"/>
      <c r="I160" s="235"/>
      <c r="J160" s="235"/>
      <c r="K160" s="235"/>
      <c r="L160" s="235"/>
      <c r="M160" s="235"/>
      <c r="N160" s="235"/>
      <c r="O160" s="235"/>
      <c r="P160" s="235"/>
      <c r="Q160" s="235"/>
      <c r="R160" s="235"/>
      <c r="S160" s="235"/>
      <c r="T160" s="235"/>
      <c r="U160" s="235"/>
      <c r="V160" s="235"/>
      <c r="W160" s="235"/>
      <c r="X160" s="235"/>
      <c r="Y160" s="235"/>
      <c r="Z160" s="235"/>
    </row>
    <row r="161" spans="1:26" ht="12.75" customHeight="1">
      <c r="A161" s="235"/>
      <c r="B161" s="235"/>
      <c r="C161" s="235"/>
      <c r="D161" s="235"/>
      <c r="E161" s="235"/>
      <c r="F161" s="235"/>
      <c r="G161" s="235"/>
      <c r="H161" s="235"/>
      <c r="I161" s="235"/>
      <c r="J161" s="235"/>
      <c r="K161" s="235"/>
      <c r="L161" s="235"/>
      <c r="M161" s="235"/>
      <c r="N161" s="235"/>
      <c r="O161" s="235"/>
      <c r="P161" s="235"/>
      <c r="Q161" s="235"/>
      <c r="R161" s="235"/>
      <c r="S161" s="235"/>
      <c r="T161" s="235"/>
      <c r="U161" s="235"/>
      <c r="V161" s="235"/>
      <c r="W161" s="235"/>
      <c r="X161" s="235"/>
      <c r="Y161" s="235"/>
      <c r="Z161" s="235"/>
    </row>
    <row r="162" spans="1:26" ht="12.75" customHeight="1">
      <c r="A162" s="235"/>
      <c r="B162" s="235"/>
      <c r="C162" s="235"/>
      <c r="D162" s="235"/>
      <c r="E162" s="235"/>
      <c r="F162" s="235"/>
      <c r="G162" s="235"/>
      <c r="H162" s="235"/>
      <c r="I162" s="235"/>
      <c r="J162" s="235"/>
      <c r="K162" s="235"/>
      <c r="L162" s="235"/>
      <c r="M162" s="235"/>
      <c r="N162" s="235"/>
      <c r="O162" s="235"/>
      <c r="P162" s="235"/>
      <c r="Q162" s="235"/>
      <c r="R162" s="235"/>
      <c r="S162" s="235"/>
      <c r="T162" s="235"/>
      <c r="U162" s="235"/>
      <c r="V162" s="235"/>
      <c r="W162" s="235"/>
      <c r="X162" s="235"/>
      <c r="Y162" s="235"/>
      <c r="Z162" s="235"/>
    </row>
    <row r="163" spans="1:26" ht="12.75" customHeight="1">
      <c r="A163" s="235"/>
      <c r="B163" s="235"/>
      <c r="C163" s="235"/>
      <c r="D163" s="235"/>
      <c r="E163" s="235"/>
      <c r="F163" s="235"/>
      <c r="G163" s="235"/>
      <c r="H163" s="235"/>
      <c r="I163" s="235"/>
      <c r="J163" s="235"/>
      <c r="K163" s="235"/>
      <c r="L163" s="235"/>
      <c r="M163" s="235"/>
      <c r="N163" s="235"/>
      <c r="O163" s="235"/>
      <c r="P163" s="235"/>
      <c r="Q163" s="235"/>
      <c r="R163" s="235"/>
      <c r="S163" s="235"/>
      <c r="T163" s="235"/>
      <c r="U163" s="235"/>
      <c r="V163" s="235"/>
      <c r="W163" s="235"/>
      <c r="X163" s="235"/>
      <c r="Y163" s="235"/>
      <c r="Z163" s="235"/>
    </row>
    <row r="164" spans="1:26" ht="12.75" customHeight="1">
      <c r="A164" s="235"/>
      <c r="B164" s="235"/>
      <c r="C164" s="235"/>
      <c r="D164" s="235"/>
      <c r="E164" s="235"/>
      <c r="F164" s="235"/>
      <c r="G164" s="235"/>
      <c r="H164" s="235"/>
      <c r="I164" s="235"/>
      <c r="J164" s="235"/>
      <c r="K164" s="235"/>
      <c r="L164" s="235"/>
      <c r="M164" s="235"/>
      <c r="N164" s="235"/>
      <c r="O164" s="235"/>
      <c r="P164" s="235"/>
      <c r="Q164" s="235"/>
      <c r="R164" s="235"/>
      <c r="S164" s="235"/>
      <c r="T164" s="235"/>
      <c r="U164" s="235"/>
      <c r="V164" s="235"/>
      <c r="W164" s="235"/>
      <c r="X164" s="235"/>
      <c r="Y164" s="235"/>
      <c r="Z164" s="235"/>
    </row>
    <row r="165" spans="1:26" ht="12.75" customHeight="1">
      <c r="A165" s="235"/>
      <c r="B165" s="235"/>
      <c r="C165" s="235"/>
      <c r="D165" s="235"/>
      <c r="E165" s="235"/>
      <c r="F165" s="235"/>
      <c r="G165" s="235"/>
      <c r="H165" s="235"/>
      <c r="I165" s="235"/>
      <c r="J165" s="235"/>
      <c r="K165" s="235"/>
      <c r="L165" s="235"/>
      <c r="M165" s="235"/>
      <c r="N165" s="235"/>
      <c r="O165" s="235"/>
      <c r="P165" s="235"/>
      <c r="Q165" s="235"/>
      <c r="R165" s="235"/>
      <c r="S165" s="235"/>
      <c r="T165" s="235"/>
      <c r="U165" s="235"/>
      <c r="V165" s="235"/>
      <c r="W165" s="235"/>
      <c r="X165" s="235"/>
      <c r="Y165" s="235"/>
      <c r="Z165" s="235"/>
    </row>
    <row r="166" spans="1:26" ht="12.75" customHeight="1">
      <c r="A166" s="235"/>
      <c r="B166" s="235"/>
      <c r="C166" s="235"/>
      <c r="D166" s="235"/>
      <c r="E166" s="235"/>
      <c r="F166" s="235"/>
      <c r="G166" s="235"/>
      <c r="H166" s="235"/>
      <c r="I166" s="235"/>
      <c r="J166" s="235"/>
      <c r="K166" s="235"/>
      <c r="L166" s="235"/>
      <c r="M166" s="235"/>
      <c r="N166" s="235"/>
      <c r="O166" s="235"/>
      <c r="P166" s="235"/>
      <c r="Q166" s="235"/>
      <c r="R166" s="235"/>
      <c r="S166" s="235"/>
      <c r="T166" s="235"/>
      <c r="U166" s="235"/>
      <c r="V166" s="235"/>
      <c r="W166" s="235"/>
      <c r="X166" s="235"/>
      <c r="Y166" s="235"/>
      <c r="Z166" s="235"/>
    </row>
    <row r="167" spans="1:26" ht="12.75" customHeight="1">
      <c r="A167" s="235"/>
      <c r="B167" s="235"/>
      <c r="C167" s="235"/>
      <c r="D167" s="235"/>
      <c r="E167" s="235"/>
      <c r="F167" s="235"/>
      <c r="G167" s="235"/>
      <c r="H167" s="235"/>
      <c r="I167" s="235"/>
      <c r="J167" s="235"/>
      <c r="K167" s="235"/>
      <c r="L167" s="235"/>
      <c r="M167" s="235"/>
      <c r="N167" s="235"/>
      <c r="O167" s="235"/>
      <c r="P167" s="235"/>
      <c r="Q167" s="235"/>
      <c r="R167" s="235"/>
      <c r="S167" s="235"/>
      <c r="T167" s="235"/>
      <c r="U167" s="235"/>
      <c r="V167" s="235"/>
      <c r="W167" s="235"/>
      <c r="X167" s="235"/>
      <c r="Y167" s="235"/>
      <c r="Z167" s="235"/>
    </row>
    <row r="168" spans="1:26" ht="12.75" customHeight="1">
      <c r="A168" s="235"/>
      <c r="B168" s="235"/>
      <c r="C168" s="235"/>
      <c r="D168" s="235"/>
      <c r="E168" s="235"/>
      <c r="F168" s="235"/>
      <c r="G168" s="235"/>
      <c r="H168" s="235"/>
      <c r="I168" s="235"/>
      <c r="J168" s="235"/>
      <c r="K168" s="235"/>
      <c r="L168" s="235"/>
      <c r="M168" s="235"/>
      <c r="N168" s="235"/>
      <c r="O168" s="235"/>
      <c r="P168" s="235"/>
      <c r="Q168" s="235"/>
      <c r="R168" s="235"/>
      <c r="S168" s="235"/>
      <c r="T168" s="235"/>
      <c r="U168" s="235"/>
      <c r="V168" s="235"/>
      <c r="W168" s="235"/>
      <c r="X168" s="235"/>
      <c r="Y168" s="235"/>
      <c r="Z168" s="235"/>
    </row>
    <row r="169" spans="1:26" ht="12.75" customHeight="1">
      <c r="A169" s="235"/>
      <c r="B169" s="235"/>
      <c r="C169" s="235"/>
      <c r="D169" s="235"/>
      <c r="E169" s="235"/>
      <c r="F169" s="235"/>
      <c r="G169" s="235"/>
      <c r="H169" s="235"/>
      <c r="I169" s="235"/>
      <c r="J169" s="235"/>
      <c r="K169" s="235"/>
      <c r="L169" s="235"/>
      <c r="M169" s="235"/>
      <c r="N169" s="235"/>
      <c r="O169" s="235"/>
      <c r="P169" s="235"/>
      <c r="Q169" s="235"/>
      <c r="R169" s="235"/>
      <c r="S169" s="235"/>
      <c r="T169" s="235"/>
      <c r="U169" s="235"/>
      <c r="V169" s="235"/>
      <c r="W169" s="235"/>
      <c r="X169" s="235"/>
      <c r="Y169" s="235"/>
      <c r="Z169" s="235"/>
    </row>
    <row r="170" spans="1:26" ht="12.75" customHeight="1">
      <c r="A170" s="235"/>
      <c r="B170" s="235"/>
      <c r="C170" s="235"/>
      <c r="D170" s="235"/>
      <c r="E170" s="235"/>
      <c r="F170" s="235"/>
      <c r="G170" s="235"/>
      <c r="H170" s="235"/>
      <c r="I170" s="235"/>
      <c r="J170" s="235"/>
      <c r="K170" s="235"/>
      <c r="L170" s="235"/>
      <c r="M170" s="235"/>
      <c r="N170" s="235"/>
      <c r="O170" s="235"/>
      <c r="P170" s="235"/>
      <c r="Q170" s="235"/>
      <c r="R170" s="235"/>
      <c r="S170" s="235"/>
      <c r="T170" s="235"/>
      <c r="U170" s="235"/>
      <c r="V170" s="235"/>
      <c r="W170" s="235"/>
      <c r="X170" s="235"/>
      <c r="Y170" s="235"/>
      <c r="Z170" s="235"/>
    </row>
    <row r="171" spans="1:26" ht="12.75" customHeight="1">
      <c r="A171" s="235"/>
      <c r="B171" s="235"/>
      <c r="C171" s="235"/>
      <c r="D171" s="235"/>
      <c r="E171" s="235"/>
      <c r="F171" s="235"/>
      <c r="G171" s="235"/>
      <c r="H171" s="235"/>
      <c r="I171" s="235"/>
      <c r="J171" s="235"/>
      <c r="K171" s="235"/>
      <c r="L171" s="235"/>
      <c r="M171" s="235"/>
      <c r="N171" s="235"/>
      <c r="O171" s="235"/>
      <c r="P171" s="235"/>
      <c r="Q171" s="235"/>
      <c r="R171" s="235"/>
      <c r="S171" s="235"/>
      <c r="T171" s="235"/>
      <c r="U171" s="235"/>
      <c r="V171" s="235"/>
      <c r="W171" s="235"/>
      <c r="X171" s="235"/>
      <c r="Y171" s="235"/>
      <c r="Z171" s="235"/>
    </row>
    <row r="172" spans="1:26" ht="12.75" customHeight="1">
      <c r="A172" s="235"/>
      <c r="B172" s="235"/>
      <c r="C172" s="235"/>
      <c r="D172" s="235"/>
      <c r="E172" s="235"/>
      <c r="F172" s="235"/>
      <c r="G172" s="235"/>
      <c r="H172" s="235"/>
      <c r="I172" s="235"/>
      <c r="J172" s="235"/>
      <c r="K172" s="235"/>
      <c r="L172" s="235"/>
      <c r="M172" s="235"/>
      <c r="N172" s="235"/>
      <c r="O172" s="235"/>
      <c r="P172" s="235"/>
      <c r="Q172" s="235"/>
      <c r="R172" s="235"/>
      <c r="S172" s="235"/>
      <c r="T172" s="235"/>
      <c r="U172" s="235"/>
      <c r="V172" s="235"/>
      <c r="W172" s="235"/>
      <c r="X172" s="235"/>
      <c r="Y172" s="235"/>
      <c r="Z172" s="235"/>
    </row>
    <row r="173" spans="1:26" ht="12.75" customHeight="1">
      <c r="A173" s="235"/>
      <c r="B173" s="235"/>
      <c r="C173" s="235"/>
      <c r="D173" s="235"/>
      <c r="E173" s="235"/>
      <c r="F173" s="235"/>
      <c r="G173" s="235"/>
      <c r="H173" s="235"/>
      <c r="I173" s="235"/>
      <c r="J173" s="235"/>
      <c r="K173" s="235"/>
      <c r="L173" s="235"/>
      <c r="M173" s="235"/>
      <c r="N173" s="235"/>
      <c r="O173" s="235"/>
      <c r="P173" s="235"/>
      <c r="Q173" s="235"/>
      <c r="R173" s="235"/>
      <c r="S173" s="235"/>
      <c r="T173" s="235"/>
      <c r="U173" s="235"/>
      <c r="V173" s="235"/>
      <c r="W173" s="235"/>
      <c r="X173" s="235"/>
      <c r="Y173" s="235"/>
      <c r="Z173" s="235"/>
    </row>
    <row r="174" spans="1:26" ht="12.75" customHeight="1">
      <c r="A174" s="235"/>
      <c r="B174" s="235"/>
      <c r="C174" s="235"/>
      <c r="D174" s="235"/>
      <c r="E174" s="235"/>
      <c r="F174" s="235"/>
      <c r="G174" s="235"/>
      <c r="H174" s="235"/>
      <c r="I174" s="235"/>
      <c r="J174" s="235"/>
      <c r="K174" s="235"/>
      <c r="L174" s="235"/>
      <c r="M174" s="235"/>
      <c r="N174" s="235"/>
      <c r="O174" s="235"/>
      <c r="P174" s="235"/>
      <c r="Q174" s="235"/>
      <c r="R174" s="235"/>
      <c r="S174" s="235"/>
      <c r="T174" s="235"/>
      <c r="U174" s="235"/>
      <c r="V174" s="235"/>
      <c r="W174" s="235"/>
      <c r="X174" s="235"/>
      <c r="Y174" s="235"/>
      <c r="Z174" s="235"/>
    </row>
    <row r="175" spans="1:26" ht="12.75" customHeight="1">
      <c r="A175" s="235"/>
      <c r="B175" s="235"/>
      <c r="C175" s="235"/>
      <c r="D175" s="235"/>
      <c r="E175" s="235"/>
      <c r="F175" s="235"/>
      <c r="G175" s="235"/>
      <c r="H175" s="235"/>
      <c r="I175" s="235"/>
      <c r="J175" s="235"/>
      <c r="K175" s="235"/>
      <c r="L175" s="235"/>
      <c r="M175" s="235"/>
      <c r="N175" s="235"/>
      <c r="O175" s="235"/>
      <c r="P175" s="235"/>
      <c r="Q175" s="235"/>
      <c r="R175" s="235"/>
      <c r="S175" s="235"/>
      <c r="T175" s="235"/>
      <c r="U175" s="235"/>
      <c r="V175" s="235"/>
      <c r="W175" s="235"/>
      <c r="X175" s="235"/>
      <c r="Y175" s="235"/>
      <c r="Z175" s="235"/>
    </row>
    <row r="176" spans="1:26" ht="12.75" customHeight="1">
      <c r="A176" s="235"/>
      <c r="B176" s="235"/>
      <c r="C176" s="235"/>
      <c r="D176" s="235"/>
      <c r="E176" s="235"/>
      <c r="F176" s="235"/>
      <c r="G176" s="235"/>
      <c r="H176" s="235"/>
      <c r="I176" s="235"/>
      <c r="J176" s="235"/>
      <c r="K176" s="235"/>
      <c r="L176" s="235"/>
      <c r="M176" s="235"/>
      <c r="N176" s="235"/>
      <c r="O176" s="235"/>
      <c r="P176" s="235"/>
      <c r="Q176" s="235"/>
      <c r="R176" s="235"/>
      <c r="S176" s="235"/>
      <c r="T176" s="235"/>
      <c r="U176" s="235"/>
      <c r="V176" s="235"/>
      <c r="W176" s="235"/>
      <c r="X176" s="235"/>
      <c r="Y176" s="235"/>
      <c r="Z176" s="235"/>
    </row>
    <row r="177" spans="1:26" ht="12.75" customHeight="1">
      <c r="A177" s="235"/>
      <c r="B177" s="235"/>
      <c r="C177" s="235"/>
      <c r="D177" s="235"/>
      <c r="E177" s="235"/>
      <c r="F177" s="235"/>
      <c r="G177" s="235"/>
      <c r="H177" s="235"/>
      <c r="I177" s="235"/>
      <c r="J177" s="235"/>
      <c r="K177" s="235"/>
      <c r="L177" s="235"/>
      <c r="M177" s="235"/>
      <c r="N177" s="235"/>
      <c r="O177" s="235"/>
      <c r="P177" s="235"/>
      <c r="Q177" s="235"/>
      <c r="R177" s="235"/>
      <c r="S177" s="235"/>
      <c r="T177" s="235"/>
      <c r="U177" s="235"/>
      <c r="V177" s="235"/>
      <c r="W177" s="235"/>
      <c r="X177" s="235"/>
      <c r="Y177" s="235"/>
      <c r="Z177" s="235"/>
    </row>
    <row r="178" spans="1:26" ht="12.75" customHeight="1">
      <c r="A178" s="235"/>
      <c r="B178" s="235"/>
      <c r="C178" s="235"/>
      <c r="D178" s="235"/>
      <c r="E178" s="235"/>
      <c r="F178" s="235"/>
      <c r="G178" s="235"/>
      <c r="H178" s="235"/>
      <c r="I178" s="235"/>
      <c r="J178" s="235"/>
      <c r="K178" s="235"/>
      <c r="L178" s="235"/>
      <c r="M178" s="235"/>
      <c r="N178" s="235"/>
      <c r="O178" s="235"/>
      <c r="P178" s="235"/>
      <c r="Q178" s="235"/>
      <c r="R178" s="235"/>
      <c r="S178" s="235"/>
      <c r="T178" s="235"/>
      <c r="U178" s="235"/>
      <c r="V178" s="235"/>
      <c r="W178" s="235"/>
      <c r="X178" s="235"/>
      <c r="Y178" s="235"/>
      <c r="Z178" s="235"/>
    </row>
    <row r="179" spans="1:26" ht="12.75" customHeight="1">
      <c r="A179" s="235"/>
      <c r="B179" s="235"/>
      <c r="C179" s="235"/>
      <c r="D179" s="235"/>
      <c r="E179" s="235"/>
      <c r="F179" s="235"/>
      <c r="G179" s="235"/>
      <c r="H179" s="235"/>
      <c r="I179" s="235"/>
      <c r="J179" s="235"/>
      <c r="K179" s="235"/>
      <c r="L179" s="235"/>
      <c r="M179" s="235"/>
      <c r="N179" s="235"/>
      <c r="O179" s="235"/>
      <c r="P179" s="235"/>
      <c r="Q179" s="235"/>
      <c r="R179" s="235"/>
      <c r="S179" s="235"/>
      <c r="T179" s="235"/>
      <c r="U179" s="235"/>
      <c r="V179" s="235"/>
      <c r="W179" s="235"/>
      <c r="X179" s="235"/>
      <c r="Y179" s="235"/>
      <c r="Z179" s="235"/>
    </row>
    <row r="180" spans="1:26" ht="12.75" customHeight="1">
      <c r="A180" s="235"/>
      <c r="B180" s="235"/>
      <c r="C180" s="235"/>
      <c r="D180" s="235"/>
      <c r="E180" s="235"/>
      <c r="F180" s="235"/>
      <c r="G180" s="235"/>
      <c r="H180" s="235"/>
      <c r="I180" s="235"/>
      <c r="J180" s="235"/>
      <c r="K180" s="235"/>
      <c r="L180" s="235"/>
      <c r="M180" s="235"/>
      <c r="N180" s="235"/>
      <c r="O180" s="235"/>
      <c r="P180" s="235"/>
      <c r="Q180" s="235"/>
      <c r="R180" s="235"/>
      <c r="S180" s="235"/>
      <c r="T180" s="235"/>
      <c r="U180" s="235"/>
      <c r="V180" s="235"/>
      <c r="W180" s="235"/>
      <c r="X180" s="235"/>
      <c r="Y180" s="235"/>
      <c r="Z180" s="235"/>
    </row>
    <row r="181" spans="1:26" ht="12.75" customHeight="1">
      <c r="A181" s="235"/>
      <c r="B181" s="235"/>
      <c r="C181" s="235"/>
      <c r="D181" s="235"/>
      <c r="E181" s="235"/>
      <c r="F181" s="235"/>
      <c r="G181" s="235"/>
      <c r="H181" s="235"/>
      <c r="I181" s="235"/>
      <c r="J181" s="235"/>
      <c r="K181" s="235"/>
      <c r="L181" s="235"/>
      <c r="M181" s="235"/>
      <c r="N181" s="235"/>
      <c r="O181" s="235"/>
      <c r="P181" s="235"/>
      <c r="Q181" s="235"/>
      <c r="R181" s="235"/>
      <c r="S181" s="235"/>
      <c r="T181" s="235"/>
      <c r="U181" s="235"/>
      <c r="V181" s="235"/>
      <c r="W181" s="235"/>
      <c r="X181" s="235"/>
      <c r="Y181" s="235"/>
      <c r="Z181" s="235"/>
    </row>
    <row r="182" spans="1:26" ht="12.75" customHeight="1">
      <c r="A182" s="235"/>
      <c r="B182" s="235"/>
      <c r="C182" s="235"/>
      <c r="D182" s="235"/>
      <c r="E182" s="235"/>
      <c r="F182" s="235"/>
      <c r="G182" s="235"/>
      <c r="H182" s="235"/>
      <c r="I182" s="235"/>
      <c r="J182" s="235"/>
      <c r="K182" s="235"/>
      <c r="L182" s="235"/>
      <c r="M182" s="235"/>
      <c r="N182" s="235"/>
      <c r="O182" s="235"/>
      <c r="P182" s="235"/>
      <c r="Q182" s="235"/>
      <c r="R182" s="235"/>
      <c r="S182" s="235"/>
      <c r="T182" s="235"/>
      <c r="U182" s="235"/>
      <c r="V182" s="235"/>
      <c r="W182" s="235"/>
      <c r="X182" s="235"/>
      <c r="Y182" s="235"/>
      <c r="Z182" s="235"/>
    </row>
    <row r="183" spans="1:26" ht="12.75" customHeight="1">
      <c r="A183" s="235"/>
      <c r="B183" s="235"/>
      <c r="C183" s="235"/>
      <c r="D183" s="235"/>
      <c r="E183" s="235"/>
      <c r="F183" s="235"/>
      <c r="G183" s="235"/>
      <c r="H183" s="235"/>
      <c r="I183" s="235"/>
      <c r="J183" s="235"/>
      <c r="K183" s="235"/>
      <c r="L183" s="235"/>
      <c r="M183" s="235"/>
      <c r="N183" s="235"/>
      <c r="O183" s="235"/>
      <c r="P183" s="235"/>
      <c r="Q183" s="235"/>
      <c r="R183" s="235"/>
      <c r="S183" s="235"/>
      <c r="T183" s="235"/>
      <c r="U183" s="235"/>
      <c r="V183" s="235"/>
      <c r="W183" s="235"/>
      <c r="X183" s="235"/>
      <c r="Y183" s="235"/>
      <c r="Z183" s="235"/>
    </row>
    <row r="184" spans="1:26" ht="12.75" customHeight="1">
      <c r="A184" s="235"/>
      <c r="B184" s="235"/>
      <c r="C184" s="235"/>
      <c r="D184" s="235"/>
      <c r="E184" s="235"/>
      <c r="F184" s="235"/>
      <c r="G184" s="235"/>
      <c r="H184" s="235"/>
      <c r="I184" s="235"/>
      <c r="J184" s="235"/>
      <c r="K184" s="235"/>
      <c r="L184" s="235"/>
      <c r="M184" s="235"/>
      <c r="N184" s="235"/>
      <c r="O184" s="235"/>
      <c r="P184" s="235"/>
      <c r="Q184" s="235"/>
      <c r="R184" s="235"/>
      <c r="S184" s="235"/>
      <c r="T184" s="235"/>
      <c r="U184" s="235"/>
      <c r="V184" s="235"/>
      <c r="W184" s="235"/>
      <c r="X184" s="235"/>
      <c r="Y184" s="235"/>
      <c r="Z184" s="235"/>
    </row>
    <row r="185" spans="1:26" ht="12.75" customHeight="1">
      <c r="A185" s="235"/>
      <c r="B185" s="235"/>
      <c r="C185" s="235"/>
      <c r="D185" s="235"/>
      <c r="E185" s="235"/>
      <c r="F185" s="235"/>
      <c r="G185" s="235"/>
      <c r="H185" s="235"/>
      <c r="I185" s="235"/>
      <c r="J185" s="235"/>
      <c r="K185" s="235"/>
      <c r="L185" s="235"/>
      <c r="M185" s="235"/>
      <c r="N185" s="235"/>
      <c r="O185" s="235"/>
      <c r="P185" s="235"/>
      <c r="Q185" s="235"/>
      <c r="R185" s="235"/>
      <c r="S185" s="235"/>
      <c r="T185" s="235"/>
      <c r="U185" s="235"/>
      <c r="V185" s="235"/>
      <c r="W185" s="235"/>
      <c r="X185" s="235"/>
      <c r="Y185" s="235"/>
      <c r="Z185" s="235"/>
    </row>
    <row r="186" spans="1:26" ht="12.75" customHeight="1">
      <c r="A186" s="235"/>
      <c r="B186" s="235"/>
      <c r="C186" s="235"/>
      <c r="D186" s="235"/>
      <c r="E186" s="235"/>
      <c r="F186" s="235"/>
      <c r="G186" s="235"/>
      <c r="H186" s="235"/>
      <c r="I186" s="235"/>
      <c r="J186" s="235"/>
      <c r="K186" s="235"/>
      <c r="L186" s="235"/>
      <c r="M186" s="235"/>
      <c r="N186" s="235"/>
      <c r="O186" s="235"/>
      <c r="P186" s="235"/>
      <c r="Q186" s="235"/>
      <c r="R186" s="235"/>
      <c r="S186" s="235"/>
      <c r="T186" s="235"/>
      <c r="U186" s="235"/>
      <c r="V186" s="235"/>
      <c r="W186" s="235"/>
      <c r="X186" s="235"/>
      <c r="Y186" s="235"/>
      <c r="Z186" s="235"/>
    </row>
    <row r="187" spans="1:26" ht="12.75" customHeight="1">
      <c r="A187" s="235"/>
      <c r="B187" s="235"/>
      <c r="C187" s="235"/>
      <c r="D187" s="235"/>
      <c r="E187" s="235"/>
      <c r="F187" s="235"/>
      <c r="G187" s="235"/>
      <c r="H187" s="235"/>
      <c r="I187" s="235"/>
      <c r="J187" s="235"/>
      <c r="K187" s="235"/>
      <c r="L187" s="235"/>
      <c r="M187" s="235"/>
      <c r="N187" s="235"/>
      <c r="O187" s="235"/>
      <c r="P187" s="235"/>
      <c r="Q187" s="235"/>
      <c r="R187" s="235"/>
      <c r="S187" s="235"/>
      <c r="T187" s="235"/>
      <c r="U187" s="235"/>
      <c r="V187" s="235"/>
      <c r="W187" s="235"/>
      <c r="X187" s="235"/>
      <c r="Y187" s="235"/>
      <c r="Z187" s="235"/>
    </row>
    <row r="188" spans="1:26" ht="12.75" customHeight="1">
      <c r="A188" s="235"/>
      <c r="B188" s="235"/>
      <c r="C188" s="235"/>
      <c r="D188" s="235"/>
      <c r="E188" s="235"/>
      <c r="F188" s="235"/>
      <c r="G188" s="235"/>
      <c r="H188" s="235"/>
      <c r="I188" s="235"/>
      <c r="J188" s="235"/>
      <c r="K188" s="235"/>
      <c r="L188" s="235"/>
      <c r="M188" s="235"/>
      <c r="N188" s="235"/>
      <c r="O188" s="235"/>
      <c r="P188" s="235"/>
      <c r="Q188" s="235"/>
      <c r="R188" s="235"/>
      <c r="S188" s="235"/>
      <c r="T188" s="235"/>
      <c r="U188" s="235"/>
      <c r="V188" s="235"/>
      <c r="W188" s="235"/>
      <c r="X188" s="235"/>
      <c r="Y188" s="235"/>
      <c r="Z188" s="235"/>
    </row>
    <row r="189" spans="1:26" ht="12.75" customHeight="1">
      <c r="A189" s="235"/>
      <c r="B189" s="235"/>
      <c r="C189" s="235"/>
      <c r="D189" s="235"/>
      <c r="E189" s="235"/>
      <c r="F189" s="235"/>
      <c r="G189" s="235"/>
      <c r="H189" s="235"/>
      <c r="I189" s="235"/>
      <c r="J189" s="235"/>
      <c r="K189" s="235"/>
      <c r="L189" s="235"/>
      <c r="M189" s="235"/>
      <c r="N189" s="235"/>
      <c r="O189" s="235"/>
      <c r="P189" s="235"/>
      <c r="Q189" s="235"/>
      <c r="R189" s="235"/>
      <c r="S189" s="235"/>
      <c r="T189" s="235"/>
      <c r="U189" s="235"/>
      <c r="V189" s="235"/>
      <c r="W189" s="235"/>
      <c r="X189" s="235"/>
      <c r="Y189" s="235"/>
      <c r="Z189" s="235"/>
    </row>
    <row r="190" spans="1:26" ht="12.75" customHeight="1">
      <c r="A190" s="235"/>
      <c r="B190" s="235"/>
      <c r="C190" s="235"/>
      <c r="D190" s="235"/>
      <c r="E190" s="235"/>
      <c r="F190" s="235"/>
      <c r="G190" s="235"/>
      <c r="H190" s="235"/>
      <c r="I190" s="235"/>
      <c r="J190" s="235"/>
      <c r="K190" s="235"/>
      <c r="L190" s="235"/>
      <c r="M190" s="235"/>
      <c r="N190" s="235"/>
      <c r="O190" s="235"/>
      <c r="P190" s="235"/>
      <c r="Q190" s="235"/>
      <c r="R190" s="235"/>
      <c r="S190" s="235"/>
      <c r="T190" s="235"/>
      <c r="U190" s="235"/>
      <c r="V190" s="235"/>
      <c r="W190" s="235"/>
      <c r="X190" s="235"/>
      <c r="Y190" s="235"/>
      <c r="Z190" s="235"/>
    </row>
    <row r="191" spans="1:26" ht="12.75" customHeight="1">
      <c r="A191" s="235"/>
      <c r="B191" s="235"/>
      <c r="C191" s="235"/>
      <c r="D191" s="235"/>
      <c r="E191" s="235"/>
      <c r="F191" s="235"/>
      <c r="G191" s="235"/>
      <c r="H191" s="235"/>
      <c r="I191" s="235"/>
      <c r="J191" s="235"/>
      <c r="K191" s="235"/>
      <c r="L191" s="235"/>
      <c r="M191" s="235"/>
      <c r="N191" s="235"/>
      <c r="O191" s="235"/>
      <c r="P191" s="235"/>
      <c r="Q191" s="235"/>
      <c r="R191" s="235"/>
      <c r="S191" s="235"/>
      <c r="T191" s="235"/>
      <c r="U191" s="235"/>
      <c r="V191" s="235"/>
      <c r="W191" s="235"/>
      <c r="X191" s="235"/>
      <c r="Y191" s="235"/>
      <c r="Z191" s="235"/>
    </row>
    <row r="192" spans="1:26" ht="12.75" customHeight="1">
      <c r="A192" s="235"/>
      <c r="B192" s="235"/>
      <c r="C192" s="235"/>
      <c r="D192" s="235"/>
      <c r="E192" s="235"/>
      <c r="F192" s="235"/>
      <c r="G192" s="235"/>
      <c r="H192" s="235"/>
      <c r="I192" s="235"/>
      <c r="J192" s="235"/>
      <c r="K192" s="235"/>
      <c r="L192" s="235"/>
      <c r="M192" s="235"/>
      <c r="N192" s="235"/>
      <c r="O192" s="235"/>
      <c r="P192" s="235"/>
      <c r="Q192" s="235"/>
      <c r="R192" s="235"/>
      <c r="S192" s="235"/>
      <c r="T192" s="235"/>
      <c r="U192" s="235"/>
      <c r="V192" s="235"/>
      <c r="W192" s="235"/>
      <c r="X192" s="235"/>
      <c r="Y192" s="235"/>
      <c r="Z192" s="235"/>
    </row>
    <row r="193" spans="1:26" ht="12.75" customHeight="1">
      <c r="A193" s="235"/>
      <c r="B193" s="235"/>
      <c r="C193" s="235"/>
      <c r="D193" s="235"/>
      <c r="E193" s="235"/>
      <c r="F193" s="235"/>
      <c r="G193" s="235"/>
      <c r="H193" s="235"/>
      <c r="I193" s="235"/>
      <c r="J193" s="235"/>
      <c r="K193" s="235"/>
      <c r="L193" s="235"/>
      <c r="M193" s="235"/>
      <c r="N193" s="235"/>
      <c r="O193" s="235"/>
      <c r="P193" s="235"/>
      <c r="Q193" s="235"/>
      <c r="R193" s="235"/>
      <c r="S193" s="235"/>
      <c r="T193" s="235"/>
      <c r="U193" s="235"/>
      <c r="V193" s="235"/>
      <c r="W193" s="235"/>
      <c r="X193" s="235"/>
      <c r="Y193" s="235"/>
      <c r="Z193" s="235"/>
    </row>
    <row r="194" spans="1:26" ht="12.75" customHeight="1">
      <c r="A194" s="235"/>
      <c r="B194" s="235"/>
      <c r="C194" s="235"/>
      <c r="D194" s="235"/>
      <c r="E194" s="235"/>
      <c r="F194" s="235"/>
      <c r="G194" s="235"/>
      <c r="H194" s="235"/>
      <c r="I194" s="235"/>
      <c r="J194" s="235"/>
      <c r="K194" s="235"/>
      <c r="L194" s="235"/>
      <c r="M194" s="235"/>
      <c r="N194" s="235"/>
      <c r="O194" s="235"/>
      <c r="P194" s="235"/>
      <c r="Q194" s="235"/>
      <c r="R194" s="235"/>
      <c r="S194" s="235"/>
      <c r="T194" s="235"/>
      <c r="U194" s="235"/>
      <c r="V194" s="235"/>
      <c r="W194" s="235"/>
      <c r="X194" s="235"/>
      <c r="Y194" s="235"/>
      <c r="Z194" s="235"/>
    </row>
    <row r="195" spans="1:26" ht="12.75" customHeight="1">
      <c r="A195" s="235"/>
      <c r="B195" s="235"/>
      <c r="C195" s="235"/>
      <c r="D195" s="235"/>
      <c r="E195" s="235"/>
      <c r="F195" s="235"/>
      <c r="G195" s="235"/>
      <c r="H195" s="235"/>
      <c r="I195" s="235"/>
      <c r="J195" s="235"/>
      <c r="K195" s="235"/>
      <c r="L195" s="235"/>
      <c r="M195" s="235"/>
      <c r="N195" s="235"/>
      <c r="O195" s="235"/>
      <c r="P195" s="235"/>
      <c r="Q195" s="235"/>
      <c r="R195" s="235"/>
      <c r="S195" s="235"/>
      <c r="T195" s="235"/>
      <c r="U195" s="235"/>
      <c r="V195" s="235"/>
      <c r="W195" s="235"/>
      <c r="X195" s="235"/>
      <c r="Y195" s="235"/>
      <c r="Z195" s="235"/>
    </row>
    <row r="196" spans="1:26" ht="12.75" customHeight="1">
      <c r="A196" s="235"/>
      <c r="B196" s="235"/>
      <c r="C196" s="235"/>
      <c r="D196" s="235"/>
      <c r="E196" s="235"/>
      <c r="F196" s="235"/>
      <c r="G196" s="235"/>
      <c r="H196" s="235"/>
      <c r="I196" s="235"/>
      <c r="J196" s="235"/>
      <c r="K196" s="235"/>
      <c r="L196" s="235"/>
      <c r="M196" s="235"/>
      <c r="N196" s="235"/>
      <c r="O196" s="235"/>
      <c r="P196" s="235"/>
      <c r="Q196" s="235"/>
      <c r="R196" s="235"/>
      <c r="S196" s="235"/>
      <c r="T196" s="235"/>
      <c r="U196" s="235"/>
      <c r="V196" s="235"/>
      <c r="W196" s="235"/>
      <c r="X196" s="235"/>
      <c r="Y196" s="235"/>
      <c r="Z196" s="235"/>
    </row>
    <row r="197" spans="1:26" ht="12.75" customHeight="1">
      <c r="A197" s="235"/>
      <c r="B197" s="235"/>
      <c r="C197" s="235"/>
      <c r="D197" s="235"/>
      <c r="E197" s="235"/>
      <c r="F197" s="235"/>
      <c r="G197" s="235"/>
      <c r="H197" s="235"/>
      <c r="I197" s="235"/>
      <c r="J197" s="235"/>
      <c r="K197" s="235"/>
      <c r="L197" s="235"/>
      <c r="M197" s="235"/>
      <c r="N197" s="235"/>
      <c r="O197" s="235"/>
      <c r="P197" s="235"/>
      <c r="Q197" s="235"/>
      <c r="R197" s="235"/>
      <c r="S197" s="235"/>
      <c r="T197" s="235"/>
      <c r="U197" s="235"/>
      <c r="V197" s="235"/>
      <c r="W197" s="235"/>
      <c r="X197" s="235"/>
      <c r="Y197" s="235"/>
      <c r="Z197" s="235"/>
    </row>
    <row r="198" spans="1:26" ht="12.75" customHeight="1">
      <c r="A198" s="235"/>
      <c r="B198" s="235"/>
      <c r="C198" s="235"/>
      <c r="D198" s="235"/>
      <c r="E198" s="235"/>
      <c r="F198" s="235"/>
      <c r="G198" s="235"/>
      <c r="H198" s="235"/>
      <c r="I198" s="235"/>
      <c r="J198" s="235"/>
      <c r="K198" s="235"/>
      <c r="L198" s="235"/>
      <c r="M198" s="235"/>
      <c r="N198" s="235"/>
      <c r="O198" s="235"/>
      <c r="P198" s="235"/>
      <c r="Q198" s="235"/>
      <c r="R198" s="235"/>
      <c r="S198" s="235"/>
      <c r="T198" s="235"/>
      <c r="U198" s="235"/>
      <c r="V198" s="235"/>
      <c r="W198" s="235"/>
      <c r="X198" s="235"/>
      <c r="Y198" s="235"/>
      <c r="Z198" s="235"/>
    </row>
    <row r="199" spans="1:26" ht="12.75" customHeight="1">
      <c r="A199" s="235"/>
      <c r="B199" s="235"/>
      <c r="C199" s="235"/>
      <c r="D199" s="235"/>
      <c r="E199" s="235"/>
      <c r="F199" s="235"/>
      <c r="G199" s="235"/>
      <c r="H199" s="235"/>
      <c r="I199" s="235"/>
      <c r="J199" s="235"/>
      <c r="K199" s="235"/>
      <c r="L199" s="235"/>
      <c r="M199" s="235"/>
      <c r="N199" s="235"/>
      <c r="O199" s="235"/>
      <c r="P199" s="235"/>
      <c r="Q199" s="235"/>
      <c r="R199" s="235"/>
      <c r="S199" s="235"/>
      <c r="T199" s="235"/>
      <c r="U199" s="235"/>
      <c r="V199" s="235"/>
      <c r="W199" s="235"/>
      <c r="X199" s="235"/>
      <c r="Y199" s="235"/>
      <c r="Z199" s="235"/>
    </row>
    <row r="200" spans="1:26" ht="12.75" customHeight="1">
      <c r="A200" s="235"/>
      <c r="B200" s="235"/>
      <c r="C200" s="235"/>
      <c r="D200" s="235"/>
      <c r="E200" s="235"/>
      <c r="F200" s="235"/>
      <c r="G200" s="235"/>
      <c r="H200" s="235"/>
      <c r="I200" s="235"/>
      <c r="J200" s="235"/>
      <c r="K200" s="235"/>
      <c r="L200" s="235"/>
      <c r="M200" s="235"/>
      <c r="N200" s="235"/>
      <c r="O200" s="235"/>
      <c r="P200" s="235"/>
      <c r="Q200" s="235"/>
      <c r="R200" s="235"/>
      <c r="S200" s="235"/>
      <c r="T200" s="235"/>
      <c r="U200" s="235"/>
      <c r="V200" s="235"/>
      <c r="W200" s="235"/>
      <c r="X200" s="235"/>
      <c r="Y200" s="235"/>
      <c r="Z200" s="235"/>
    </row>
    <row r="201" spans="1:26" ht="12.75" customHeight="1">
      <c r="A201" s="235"/>
      <c r="B201" s="235"/>
      <c r="C201" s="235"/>
      <c r="D201" s="235"/>
      <c r="E201" s="235"/>
      <c r="F201" s="235"/>
      <c r="G201" s="235"/>
      <c r="H201" s="235"/>
      <c r="I201" s="235"/>
      <c r="J201" s="235"/>
      <c r="K201" s="235"/>
      <c r="L201" s="235"/>
      <c r="M201" s="235"/>
      <c r="N201" s="235"/>
      <c r="O201" s="235"/>
      <c r="P201" s="235"/>
      <c r="Q201" s="235"/>
      <c r="R201" s="235"/>
      <c r="S201" s="235"/>
      <c r="T201" s="235"/>
      <c r="U201" s="235"/>
      <c r="V201" s="235"/>
      <c r="W201" s="235"/>
      <c r="X201" s="235"/>
      <c r="Y201" s="235"/>
      <c r="Z201" s="235"/>
    </row>
    <row r="202" spans="1:26" ht="12.75" customHeight="1">
      <c r="A202" s="235"/>
      <c r="B202" s="235"/>
      <c r="C202" s="235"/>
      <c r="D202" s="235"/>
      <c r="E202" s="235"/>
      <c r="F202" s="235"/>
      <c r="G202" s="235"/>
      <c r="H202" s="235"/>
      <c r="I202" s="235"/>
      <c r="J202" s="235"/>
      <c r="K202" s="235"/>
      <c r="L202" s="235"/>
      <c r="M202" s="235"/>
      <c r="N202" s="235"/>
      <c r="O202" s="235"/>
      <c r="P202" s="235"/>
      <c r="Q202" s="235"/>
      <c r="R202" s="235"/>
      <c r="S202" s="235"/>
      <c r="T202" s="235"/>
      <c r="U202" s="235"/>
      <c r="V202" s="235"/>
      <c r="W202" s="235"/>
      <c r="X202" s="235"/>
      <c r="Y202" s="235"/>
      <c r="Z202" s="235"/>
    </row>
    <row r="203" spans="1:26" ht="12.75" customHeight="1">
      <c r="A203" s="235"/>
      <c r="B203" s="235"/>
      <c r="C203" s="235"/>
      <c r="D203" s="235"/>
      <c r="E203" s="235"/>
      <c r="F203" s="235"/>
      <c r="G203" s="235"/>
      <c r="H203" s="235"/>
      <c r="I203" s="235"/>
      <c r="J203" s="235"/>
      <c r="K203" s="235"/>
      <c r="L203" s="235"/>
      <c r="M203" s="235"/>
      <c r="N203" s="235"/>
      <c r="O203" s="235"/>
      <c r="P203" s="235"/>
      <c r="Q203" s="235"/>
      <c r="R203" s="235"/>
      <c r="S203" s="235"/>
      <c r="T203" s="235"/>
      <c r="U203" s="235"/>
      <c r="V203" s="235"/>
      <c r="W203" s="235"/>
      <c r="X203" s="235"/>
      <c r="Y203" s="235"/>
      <c r="Z203" s="235"/>
    </row>
    <row r="204" spans="1:26" ht="12.75" customHeight="1">
      <c r="A204" s="235"/>
      <c r="B204" s="235"/>
      <c r="C204" s="235"/>
      <c r="D204" s="235"/>
      <c r="E204" s="235"/>
      <c r="F204" s="235"/>
      <c r="G204" s="235"/>
      <c r="H204" s="235"/>
      <c r="I204" s="235"/>
      <c r="J204" s="235"/>
      <c r="K204" s="235"/>
      <c r="L204" s="235"/>
      <c r="M204" s="235"/>
      <c r="N204" s="235"/>
      <c r="O204" s="235"/>
      <c r="P204" s="235"/>
      <c r="Q204" s="235"/>
      <c r="R204" s="235"/>
      <c r="S204" s="235"/>
      <c r="T204" s="235"/>
      <c r="U204" s="235"/>
      <c r="V204" s="235"/>
      <c r="W204" s="235"/>
      <c r="X204" s="235"/>
      <c r="Y204" s="235"/>
      <c r="Z204" s="235"/>
    </row>
    <row r="205" spans="1:26" ht="12.75" customHeight="1">
      <c r="A205" s="235"/>
      <c r="B205" s="235"/>
      <c r="C205" s="235"/>
      <c r="D205" s="235"/>
      <c r="E205" s="235"/>
      <c r="F205" s="235"/>
      <c r="G205" s="235"/>
      <c r="H205" s="235"/>
      <c r="I205" s="235"/>
      <c r="J205" s="235"/>
      <c r="K205" s="235"/>
      <c r="L205" s="235"/>
      <c r="M205" s="235"/>
      <c r="N205" s="235"/>
      <c r="O205" s="235"/>
      <c r="P205" s="235"/>
      <c r="Q205" s="235"/>
      <c r="R205" s="235"/>
      <c r="S205" s="235"/>
      <c r="T205" s="235"/>
      <c r="U205" s="235"/>
      <c r="V205" s="235"/>
      <c r="W205" s="235"/>
      <c r="X205" s="235"/>
      <c r="Y205" s="235"/>
      <c r="Z205" s="235"/>
    </row>
    <row r="206" spans="1:26" ht="12.75" customHeight="1">
      <c r="A206" s="235"/>
      <c r="B206" s="235"/>
      <c r="C206" s="235"/>
      <c r="D206" s="235"/>
      <c r="E206" s="235"/>
      <c r="F206" s="235"/>
      <c r="G206" s="235"/>
      <c r="H206" s="235"/>
      <c r="I206" s="235"/>
      <c r="J206" s="235"/>
      <c r="K206" s="235"/>
      <c r="L206" s="235"/>
      <c r="M206" s="235"/>
      <c r="N206" s="235"/>
      <c r="O206" s="235"/>
      <c r="P206" s="235"/>
      <c r="Q206" s="235"/>
      <c r="R206" s="235"/>
      <c r="S206" s="235"/>
      <c r="T206" s="235"/>
      <c r="U206" s="235"/>
      <c r="V206" s="235"/>
      <c r="W206" s="235"/>
      <c r="X206" s="235"/>
      <c r="Y206" s="235"/>
      <c r="Z206" s="235"/>
    </row>
    <row r="207" spans="1:26" ht="12.75" customHeight="1">
      <c r="A207" s="235"/>
      <c r="B207" s="235"/>
      <c r="C207" s="235"/>
      <c r="D207" s="235"/>
      <c r="E207" s="235"/>
      <c r="F207" s="235"/>
      <c r="G207" s="235"/>
      <c r="H207" s="235"/>
      <c r="I207" s="235"/>
      <c r="J207" s="235"/>
      <c r="K207" s="235"/>
      <c r="L207" s="235"/>
      <c r="M207" s="235"/>
      <c r="N207" s="235"/>
      <c r="O207" s="235"/>
      <c r="P207" s="235"/>
      <c r="Q207" s="235"/>
      <c r="R207" s="235"/>
      <c r="S207" s="235"/>
      <c r="T207" s="235"/>
      <c r="U207" s="235"/>
      <c r="V207" s="235"/>
      <c r="W207" s="235"/>
      <c r="X207" s="235"/>
      <c r="Y207" s="235"/>
      <c r="Z207" s="235"/>
    </row>
    <row r="208" spans="1:26" ht="12.75" customHeight="1">
      <c r="A208" s="235"/>
      <c r="B208" s="235"/>
      <c r="C208" s="235"/>
      <c r="D208" s="235"/>
      <c r="E208" s="235"/>
      <c r="F208" s="235"/>
      <c r="G208" s="235"/>
      <c r="H208" s="235"/>
      <c r="I208" s="235"/>
      <c r="J208" s="235"/>
      <c r="K208" s="235"/>
      <c r="L208" s="235"/>
      <c r="M208" s="235"/>
      <c r="N208" s="235"/>
      <c r="O208" s="235"/>
      <c r="P208" s="235"/>
      <c r="Q208" s="235"/>
      <c r="R208" s="235"/>
      <c r="S208" s="235"/>
      <c r="T208" s="235"/>
      <c r="U208" s="235"/>
      <c r="V208" s="235"/>
      <c r="W208" s="235"/>
      <c r="X208" s="235"/>
      <c r="Y208" s="235"/>
      <c r="Z208" s="235"/>
    </row>
    <row r="209" spans="1:26" ht="12.75" customHeight="1">
      <c r="A209" s="235"/>
      <c r="B209" s="235"/>
      <c r="C209" s="235"/>
      <c r="D209" s="235"/>
      <c r="E209" s="235"/>
      <c r="F209" s="235"/>
      <c r="G209" s="235"/>
      <c r="H209" s="235"/>
      <c r="I209" s="235"/>
      <c r="J209" s="235"/>
      <c r="K209" s="235"/>
      <c r="L209" s="235"/>
      <c r="M209" s="235"/>
      <c r="N209" s="235"/>
      <c r="O209" s="235"/>
      <c r="P209" s="235"/>
      <c r="Q209" s="235"/>
      <c r="R209" s="235"/>
      <c r="S209" s="235"/>
      <c r="T209" s="235"/>
      <c r="U209" s="235"/>
      <c r="V209" s="235"/>
      <c r="W209" s="235"/>
      <c r="X209" s="235"/>
      <c r="Y209" s="235"/>
      <c r="Z209" s="235"/>
    </row>
    <row r="210" spans="1:26" ht="12.75" customHeight="1">
      <c r="A210" s="235"/>
      <c r="B210" s="235"/>
      <c r="C210" s="235"/>
      <c r="D210" s="235"/>
      <c r="E210" s="235"/>
      <c r="F210" s="235"/>
      <c r="G210" s="235"/>
      <c r="H210" s="235"/>
      <c r="I210" s="235"/>
      <c r="J210" s="235"/>
      <c r="K210" s="235"/>
      <c r="L210" s="235"/>
      <c r="M210" s="235"/>
      <c r="N210" s="235"/>
      <c r="O210" s="235"/>
      <c r="P210" s="235"/>
      <c r="Q210" s="235"/>
      <c r="R210" s="235"/>
      <c r="S210" s="235"/>
      <c r="T210" s="235"/>
      <c r="U210" s="235"/>
      <c r="V210" s="235"/>
      <c r="W210" s="235"/>
      <c r="X210" s="235"/>
      <c r="Y210" s="235"/>
      <c r="Z210" s="235"/>
    </row>
    <row r="211" spans="1:26" ht="12.75" customHeight="1">
      <c r="A211" s="235"/>
      <c r="B211" s="235"/>
      <c r="C211" s="235"/>
      <c r="D211" s="235"/>
      <c r="E211" s="235"/>
      <c r="F211" s="235"/>
      <c r="G211" s="235"/>
      <c r="H211" s="235"/>
      <c r="I211" s="235"/>
      <c r="J211" s="235"/>
      <c r="K211" s="235"/>
      <c r="L211" s="235"/>
      <c r="M211" s="235"/>
      <c r="N211" s="235"/>
      <c r="O211" s="235"/>
      <c r="P211" s="235"/>
      <c r="Q211" s="235"/>
      <c r="R211" s="235"/>
      <c r="S211" s="235"/>
      <c r="T211" s="235"/>
      <c r="U211" s="235"/>
      <c r="V211" s="235"/>
      <c r="W211" s="235"/>
      <c r="X211" s="235"/>
      <c r="Y211" s="235"/>
      <c r="Z211" s="235"/>
    </row>
    <row r="212" spans="1:26" ht="12.75" customHeight="1">
      <c r="A212" s="235"/>
      <c r="B212" s="235"/>
      <c r="C212" s="235"/>
      <c r="D212" s="235"/>
      <c r="E212" s="235"/>
      <c r="F212" s="235"/>
      <c r="G212" s="235"/>
      <c r="H212" s="235"/>
      <c r="I212" s="235"/>
      <c r="J212" s="235"/>
      <c r="K212" s="235"/>
      <c r="L212" s="235"/>
      <c r="M212" s="235"/>
      <c r="N212" s="235"/>
      <c r="O212" s="235"/>
      <c r="P212" s="235"/>
      <c r="Q212" s="235"/>
      <c r="R212" s="235"/>
      <c r="S212" s="235"/>
      <c r="T212" s="235"/>
      <c r="U212" s="235"/>
      <c r="V212" s="235"/>
      <c r="W212" s="235"/>
      <c r="X212" s="235"/>
      <c r="Y212" s="235"/>
      <c r="Z212" s="235"/>
    </row>
    <row r="213" spans="1:26" ht="12.75" customHeight="1">
      <c r="A213" s="235"/>
      <c r="B213" s="235"/>
      <c r="C213" s="235"/>
      <c r="D213" s="235"/>
      <c r="E213" s="235"/>
      <c r="F213" s="235"/>
      <c r="G213" s="235"/>
      <c r="H213" s="235"/>
      <c r="I213" s="235"/>
      <c r="J213" s="235"/>
      <c r="K213" s="235"/>
      <c r="L213" s="235"/>
      <c r="M213" s="235"/>
      <c r="N213" s="235"/>
      <c r="O213" s="235"/>
      <c r="P213" s="235"/>
      <c r="Q213" s="235"/>
      <c r="R213" s="235"/>
      <c r="S213" s="235"/>
      <c r="T213" s="235"/>
      <c r="U213" s="235"/>
      <c r="V213" s="235"/>
      <c r="W213" s="235"/>
      <c r="X213" s="235"/>
      <c r="Y213" s="235"/>
      <c r="Z213" s="235"/>
    </row>
    <row r="214" spans="1:26" ht="12.75" customHeight="1">
      <c r="A214" s="235"/>
      <c r="B214" s="235"/>
      <c r="C214" s="235"/>
      <c r="D214" s="235"/>
      <c r="E214" s="235"/>
      <c r="F214" s="235"/>
      <c r="G214" s="235"/>
      <c r="H214" s="235"/>
      <c r="I214" s="235"/>
      <c r="J214" s="235"/>
      <c r="K214" s="235"/>
      <c r="L214" s="235"/>
      <c r="M214" s="235"/>
      <c r="N214" s="235"/>
      <c r="O214" s="235"/>
      <c r="P214" s="235"/>
      <c r="Q214" s="235"/>
      <c r="R214" s="235"/>
      <c r="S214" s="235"/>
      <c r="T214" s="235"/>
      <c r="U214" s="235"/>
      <c r="V214" s="235"/>
      <c r="W214" s="235"/>
      <c r="X214" s="235"/>
      <c r="Y214" s="235"/>
      <c r="Z214" s="235"/>
    </row>
    <row r="215" spans="1:26" ht="12.75" customHeight="1">
      <c r="A215" s="235"/>
      <c r="B215" s="235"/>
      <c r="C215" s="235"/>
      <c r="D215" s="235"/>
      <c r="E215" s="235"/>
      <c r="F215" s="235"/>
      <c r="G215" s="235"/>
      <c r="H215" s="235"/>
      <c r="I215" s="235"/>
      <c r="J215" s="235"/>
      <c r="K215" s="235"/>
      <c r="L215" s="235"/>
      <c r="M215" s="235"/>
      <c r="N215" s="235"/>
      <c r="O215" s="235"/>
      <c r="P215" s="235"/>
      <c r="Q215" s="235"/>
      <c r="R215" s="235"/>
      <c r="S215" s="235"/>
      <c r="T215" s="235"/>
      <c r="U215" s="235"/>
      <c r="V215" s="235"/>
      <c r="W215" s="235"/>
      <c r="X215" s="235"/>
      <c r="Y215" s="235"/>
      <c r="Z215" s="235"/>
    </row>
    <row r="216" spans="1:26" ht="12.75" customHeight="1">
      <c r="A216" s="235"/>
      <c r="B216" s="235"/>
      <c r="C216" s="235"/>
      <c r="D216" s="235"/>
      <c r="E216" s="235"/>
      <c r="F216" s="235"/>
      <c r="G216" s="235"/>
      <c r="H216" s="235"/>
      <c r="I216" s="235"/>
      <c r="J216" s="235"/>
      <c r="K216" s="235"/>
      <c r="L216" s="235"/>
      <c r="M216" s="235"/>
      <c r="N216" s="235"/>
      <c r="O216" s="235"/>
      <c r="P216" s="235"/>
      <c r="Q216" s="235"/>
      <c r="R216" s="235"/>
      <c r="S216" s="235"/>
      <c r="T216" s="235"/>
      <c r="U216" s="235"/>
      <c r="V216" s="235"/>
      <c r="W216" s="235"/>
      <c r="X216" s="235"/>
      <c r="Y216" s="235"/>
      <c r="Z216" s="235"/>
    </row>
    <row r="217" spans="1:26" ht="12.75" customHeight="1">
      <c r="A217" s="235"/>
      <c r="B217" s="235"/>
      <c r="C217" s="235"/>
      <c r="D217" s="235"/>
      <c r="E217" s="235"/>
      <c r="F217" s="235"/>
      <c r="G217" s="235"/>
      <c r="H217" s="235"/>
      <c r="I217" s="235"/>
      <c r="J217" s="235"/>
      <c r="K217" s="235"/>
      <c r="L217" s="235"/>
      <c r="M217" s="235"/>
      <c r="N217" s="235"/>
      <c r="O217" s="235"/>
      <c r="P217" s="235"/>
      <c r="Q217" s="235"/>
      <c r="R217" s="235"/>
      <c r="S217" s="235"/>
      <c r="T217" s="235"/>
      <c r="U217" s="235"/>
      <c r="V217" s="235"/>
      <c r="W217" s="235"/>
      <c r="X217" s="235"/>
      <c r="Y217" s="235"/>
      <c r="Z217" s="235"/>
    </row>
    <row r="218" spans="1:26" ht="12.75" customHeight="1">
      <c r="A218" s="235"/>
      <c r="B218" s="235"/>
      <c r="C218" s="235"/>
      <c r="D218" s="235"/>
      <c r="E218" s="235"/>
      <c r="F218" s="235"/>
      <c r="G218" s="235"/>
      <c r="H218" s="235"/>
      <c r="I218" s="235"/>
      <c r="J218" s="235"/>
      <c r="K218" s="235"/>
      <c r="L218" s="235"/>
      <c r="M218" s="235"/>
      <c r="N218" s="235"/>
      <c r="O218" s="235"/>
      <c r="P218" s="235"/>
      <c r="Q218" s="235"/>
      <c r="R218" s="235"/>
      <c r="S218" s="235"/>
      <c r="T218" s="235"/>
      <c r="U218" s="235"/>
      <c r="V218" s="235"/>
      <c r="W218" s="235"/>
      <c r="X218" s="235"/>
      <c r="Y218" s="235"/>
      <c r="Z218" s="235"/>
    </row>
    <row r="219" spans="1:26" ht="12.75" customHeight="1">
      <c r="A219" s="235"/>
      <c r="B219" s="235"/>
      <c r="C219" s="235"/>
      <c r="D219" s="235"/>
      <c r="E219" s="235"/>
      <c r="F219" s="235"/>
      <c r="G219" s="235"/>
      <c r="H219" s="235"/>
      <c r="I219" s="235"/>
      <c r="J219" s="235"/>
      <c r="K219" s="235"/>
      <c r="L219" s="235"/>
      <c r="M219" s="235"/>
      <c r="N219" s="235"/>
      <c r="O219" s="235"/>
      <c r="P219" s="235"/>
      <c r="Q219" s="235"/>
      <c r="R219" s="235"/>
      <c r="S219" s="235"/>
      <c r="T219" s="235"/>
      <c r="U219" s="235"/>
      <c r="V219" s="235"/>
      <c r="W219" s="235"/>
      <c r="X219" s="235"/>
      <c r="Y219" s="235"/>
      <c r="Z219" s="235"/>
    </row>
    <row r="220" spans="1:26" ht="12.75" customHeight="1">
      <c r="A220" s="235"/>
      <c r="B220" s="235"/>
      <c r="C220" s="235"/>
      <c r="D220" s="235"/>
      <c r="E220" s="235"/>
      <c r="F220" s="235"/>
      <c r="G220" s="235"/>
      <c r="H220" s="235"/>
      <c r="I220" s="235"/>
      <c r="J220" s="235"/>
      <c r="K220" s="235"/>
      <c r="L220" s="235"/>
      <c r="M220" s="235"/>
      <c r="N220" s="235"/>
      <c r="O220" s="235"/>
      <c r="P220" s="235"/>
      <c r="Q220" s="235"/>
      <c r="R220" s="235"/>
      <c r="S220" s="235"/>
      <c r="T220" s="235"/>
      <c r="U220" s="235"/>
      <c r="V220" s="235"/>
      <c r="W220" s="235"/>
      <c r="X220" s="235"/>
      <c r="Y220" s="235"/>
      <c r="Z220" s="235"/>
    </row>
    <row r="221" spans="1:26" ht="12.75" customHeight="1">
      <c r="A221" s="235"/>
      <c r="B221" s="235"/>
      <c r="C221" s="235"/>
      <c r="D221" s="235"/>
      <c r="E221" s="235"/>
      <c r="F221" s="235"/>
      <c r="G221" s="235"/>
      <c r="H221" s="235"/>
      <c r="I221" s="235"/>
      <c r="J221" s="235"/>
      <c r="K221" s="235"/>
      <c r="L221" s="235"/>
      <c r="M221" s="235"/>
      <c r="N221" s="235"/>
      <c r="O221" s="235"/>
      <c r="P221" s="235"/>
      <c r="Q221" s="235"/>
      <c r="R221" s="235"/>
      <c r="S221" s="235"/>
      <c r="T221" s="235"/>
      <c r="U221" s="235"/>
      <c r="V221" s="235"/>
      <c r="W221" s="235"/>
      <c r="X221" s="235"/>
      <c r="Y221" s="235"/>
      <c r="Z221" s="235"/>
    </row>
    <row r="222" spans="1:26" ht="12.75" customHeight="1">
      <c r="A222" s="235"/>
      <c r="B222" s="235"/>
      <c r="C222" s="235"/>
      <c r="D222" s="235"/>
      <c r="E222" s="235"/>
      <c r="F222" s="235"/>
      <c r="G222" s="235"/>
      <c r="H222" s="235"/>
      <c r="I222" s="235"/>
      <c r="J222" s="235"/>
      <c r="K222" s="235"/>
      <c r="L222" s="235"/>
      <c r="M222" s="235"/>
      <c r="N222" s="235"/>
      <c r="O222" s="235"/>
      <c r="P222" s="235"/>
      <c r="Q222" s="235"/>
      <c r="R222" s="235"/>
      <c r="S222" s="235"/>
      <c r="T222" s="235"/>
      <c r="U222" s="235"/>
      <c r="V222" s="235"/>
      <c r="W222" s="235"/>
      <c r="X222" s="235"/>
      <c r="Y222" s="235"/>
      <c r="Z222" s="235"/>
    </row>
    <row r="223" spans="1:26" ht="12.75" customHeight="1">
      <c r="A223" s="235"/>
      <c r="B223" s="235"/>
      <c r="C223" s="235"/>
      <c r="D223" s="235"/>
      <c r="E223" s="235"/>
      <c r="F223" s="235"/>
      <c r="G223" s="235"/>
      <c r="H223" s="235"/>
      <c r="I223" s="235"/>
      <c r="J223" s="235"/>
      <c r="K223" s="235"/>
      <c r="L223" s="235"/>
      <c r="M223" s="235"/>
      <c r="N223" s="235"/>
      <c r="O223" s="235"/>
      <c r="P223" s="235"/>
      <c r="Q223" s="235"/>
      <c r="R223" s="235"/>
      <c r="S223" s="235"/>
      <c r="T223" s="235"/>
      <c r="U223" s="235"/>
      <c r="V223" s="235"/>
      <c r="W223" s="235"/>
      <c r="X223" s="235"/>
      <c r="Y223" s="235"/>
      <c r="Z223" s="235"/>
    </row>
    <row r="224" spans="1:26" ht="12.75" customHeight="1">
      <c r="A224" s="235"/>
      <c r="B224" s="235"/>
      <c r="C224" s="235"/>
      <c r="D224" s="235"/>
      <c r="E224" s="235"/>
      <c r="F224" s="235"/>
      <c r="G224" s="235"/>
      <c r="H224" s="235"/>
      <c r="I224" s="235"/>
      <c r="J224" s="235"/>
      <c r="K224" s="235"/>
      <c r="L224" s="235"/>
      <c r="M224" s="235"/>
      <c r="N224" s="235"/>
      <c r="O224" s="235"/>
      <c r="P224" s="235"/>
      <c r="Q224" s="235"/>
      <c r="R224" s="235"/>
      <c r="S224" s="235"/>
      <c r="T224" s="235"/>
      <c r="U224" s="235"/>
      <c r="V224" s="235"/>
      <c r="W224" s="235"/>
      <c r="X224" s="235"/>
      <c r="Y224" s="235"/>
      <c r="Z224" s="235"/>
    </row>
    <row r="225" spans="1:26" ht="12.75" customHeight="1">
      <c r="A225" s="235"/>
      <c r="B225" s="235"/>
      <c r="C225" s="235"/>
      <c r="D225" s="235"/>
      <c r="E225" s="235"/>
      <c r="F225" s="235"/>
      <c r="G225" s="235"/>
      <c r="H225" s="235"/>
      <c r="I225" s="235"/>
      <c r="J225" s="235"/>
      <c r="K225" s="235"/>
      <c r="L225" s="235"/>
      <c r="M225" s="235"/>
      <c r="N225" s="235"/>
      <c r="O225" s="235"/>
      <c r="P225" s="235"/>
      <c r="Q225" s="235"/>
      <c r="R225" s="235"/>
      <c r="S225" s="235"/>
      <c r="T225" s="235"/>
      <c r="U225" s="235"/>
      <c r="V225" s="235"/>
      <c r="W225" s="235"/>
      <c r="X225" s="235"/>
      <c r="Y225" s="235"/>
      <c r="Z225" s="235"/>
    </row>
    <row r="226" spans="1:26" ht="12.75" customHeight="1">
      <c r="A226" s="235"/>
      <c r="B226" s="235"/>
      <c r="C226" s="235"/>
      <c r="D226" s="235"/>
      <c r="E226" s="235"/>
      <c r="F226" s="235"/>
      <c r="G226" s="235"/>
      <c r="H226" s="235"/>
      <c r="I226" s="235"/>
      <c r="J226" s="235"/>
      <c r="K226" s="235"/>
      <c r="L226" s="235"/>
      <c r="M226" s="235"/>
      <c r="N226" s="235"/>
      <c r="O226" s="235"/>
      <c r="P226" s="235"/>
      <c r="Q226" s="235"/>
      <c r="R226" s="235"/>
      <c r="S226" s="235"/>
      <c r="T226" s="235"/>
      <c r="U226" s="235"/>
      <c r="V226" s="235"/>
      <c r="W226" s="235"/>
      <c r="X226" s="235"/>
      <c r="Y226" s="235"/>
      <c r="Z226" s="235"/>
    </row>
    <row r="227" spans="1:26" ht="12.75" customHeight="1">
      <c r="A227" s="235"/>
      <c r="B227" s="235"/>
      <c r="C227" s="235"/>
      <c r="D227" s="235"/>
      <c r="E227" s="235"/>
      <c r="F227" s="235"/>
      <c r="G227" s="235"/>
      <c r="H227" s="235"/>
      <c r="I227" s="235"/>
      <c r="J227" s="235"/>
      <c r="K227" s="235"/>
      <c r="L227" s="235"/>
      <c r="M227" s="235"/>
      <c r="N227" s="235"/>
      <c r="O227" s="235"/>
      <c r="P227" s="235"/>
      <c r="Q227" s="235"/>
      <c r="R227" s="235"/>
      <c r="S227" s="235"/>
      <c r="T227" s="235"/>
      <c r="U227" s="235"/>
      <c r="V227" s="235"/>
      <c r="W227" s="235"/>
      <c r="X227" s="235"/>
      <c r="Y227" s="235"/>
      <c r="Z227" s="235"/>
    </row>
    <row r="228" spans="1:26" ht="12.75" customHeight="1">
      <c r="A228" s="235"/>
      <c r="B228" s="235"/>
      <c r="C228" s="235"/>
      <c r="D228" s="235"/>
      <c r="E228" s="235"/>
      <c r="F228" s="235"/>
      <c r="G228" s="235"/>
      <c r="H228" s="235"/>
      <c r="I228" s="235"/>
      <c r="J228" s="235"/>
      <c r="K228" s="235"/>
      <c r="L228" s="235"/>
      <c r="M228" s="235"/>
      <c r="N228" s="235"/>
      <c r="O228" s="235"/>
      <c r="P228" s="235"/>
      <c r="Q228" s="235"/>
      <c r="R228" s="235"/>
      <c r="S228" s="235"/>
      <c r="T228" s="235"/>
      <c r="U228" s="235"/>
      <c r="V228" s="235"/>
      <c r="W228" s="235"/>
      <c r="X228" s="235"/>
      <c r="Y228" s="235"/>
      <c r="Z228" s="235"/>
    </row>
    <row r="229" spans="1:26" ht="12.75" customHeight="1">
      <c r="A229" s="235"/>
      <c r="B229" s="235"/>
      <c r="C229" s="235"/>
      <c r="D229" s="235"/>
      <c r="E229" s="235"/>
      <c r="F229" s="235"/>
      <c r="G229" s="235"/>
      <c r="H229" s="235"/>
      <c r="I229" s="235"/>
      <c r="J229" s="235"/>
      <c r="K229" s="235"/>
      <c r="L229" s="235"/>
      <c r="M229" s="235"/>
      <c r="N229" s="235"/>
      <c r="O229" s="235"/>
      <c r="P229" s="235"/>
      <c r="Q229" s="235"/>
      <c r="R229" s="235"/>
      <c r="S229" s="235"/>
      <c r="T229" s="235"/>
      <c r="U229" s="235"/>
      <c r="V229" s="235"/>
      <c r="W229" s="235"/>
      <c r="X229" s="235"/>
      <c r="Y229" s="235"/>
      <c r="Z229" s="235"/>
    </row>
    <row r="230" spans="1:26" ht="12.75" customHeight="1">
      <c r="A230" s="235"/>
      <c r="B230" s="235"/>
      <c r="C230" s="235"/>
      <c r="D230" s="235"/>
      <c r="E230" s="235"/>
      <c r="F230" s="235"/>
      <c r="G230" s="235"/>
      <c r="H230" s="235"/>
      <c r="I230" s="235"/>
      <c r="J230" s="235"/>
      <c r="K230" s="235"/>
      <c r="L230" s="235"/>
      <c r="M230" s="235"/>
      <c r="N230" s="235"/>
      <c r="O230" s="235"/>
      <c r="P230" s="235"/>
      <c r="Q230" s="235"/>
      <c r="R230" s="235"/>
      <c r="S230" s="235"/>
      <c r="T230" s="235"/>
      <c r="U230" s="235"/>
      <c r="V230" s="235"/>
      <c r="W230" s="235"/>
      <c r="X230" s="235"/>
      <c r="Y230" s="235"/>
      <c r="Z230" s="235"/>
    </row>
    <row r="231" spans="1:26" ht="12.75" customHeight="1">
      <c r="A231" s="235"/>
      <c r="B231" s="235"/>
      <c r="C231" s="235"/>
      <c r="D231" s="235"/>
      <c r="E231" s="235"/>
      <c r="F231" s="235"/>
      <c r="G231" s="235"/>
      <c r="H231" s="235"/>
      <c r="I231" s="235"/>
      <c r="J231" s="235"/>
      <c r="K231" s="235"/>
      <c r="L231" s="235"/>
      <c r="M231" s="235"/>
      <c r="N231" s="235"/>
      <c r="O231" s="235"/>
      <c r="P231" s="235"/>
      <c r="Q231" s="235"/>
      <c r="R231" s="235"/>
      <c r="S231" s="235"/>
      <c r="T231" s="235"/>
      <c r="U231" s="235"/>
      <c r="V231" s="235"/>
      <c r="W231" s="235"/>
      <c r="X231" s="235"/>
      <c r="Y231" s="235"/>
      <c r="Z231" s="235"/>
    </row>
    <row r="232" spans="1:26" ht="12.75" customHeight="1">
      <c r="A232" s="235"/>
      <c r="B232" s="235"/>
      <c r="C232" s="235"/>
      <c r="D232" s="235"/>
      <c r="E232" s="235"/>
      <c r="F232" s="235"/>
      <c r="G232" s="235"/>
      <c r="H232" s="235"/>
      <c r="I232" s="235"/>
      <c r="J232" s="235"/>
      <c r="K232" s="235"/>
      <c r="L232" s="235"/>
      <c r="M232" s="235"/>
      <c r="N232" s="235"/>
      <c r="O232" s="235"/>
      <c r="P232" s="235"/>
      <c r="Q232" s="235"/>
      <c r="R232" s="235"/>
      <c r="S232" s="235"/>
      <c r="T232" s="235"/>
      <c r="U232" s="235"/>
      <c r="V232" s="235"/>
      <c r="W232" s="235"/>
      <c r="X232" s="235"/>
      <c r="Y232" s="235"/>
      <c r="Z232" s="235"/>
    </row>
    <row r="233" spans="1:26" ht="12.75" customHeight="1">
      <c r="A233" s="235"/>
      <c r="B233" s="235"/>
      <c r="C233" s="235"/>
      <c r="D233" s="235"/>
      <c r="E233" s="235"/>
      <c r="F233" s="235"/>
      <c r="G233" s="235"/>
      <c r="H233" s="235"/>
      <c r="I233" s="235"/>
      <c r="J233" s="235"/>
      <c r="K233" s="235"/>
      <c r="L233" s="235"/>
      <c r="M233" s="235"/>
      <c r="N233" s="235"/>
      <c r="O233" s="235"/>
      <c r="P233" s="235"/>
      <c r="Q233" s="235"/>
      <c r="R233" s="235"/>
      <c r="S233" s="235"/>
      <c r="T233" s="235"/>
      <c r="U233" s="235"/>
      <c r="V233" s="235"/>
      <c r="W233" s="235"/>
      <c r="X233" s="235"/>
      <c r="Y233" s="235"/>
      <c r="Z233" s="235"/>
    </row>
    <row r="234" spans="1:26" ht="12.75" customHeight="1">
      <c r="A234" s="235"/>
      <c r="B234" s="235"/>
      <c r="C234" s="235"/>
      <c r="D234" s="235"/>
      <c r="E234" s="235"/>
      <c r="F234" s="235"/>
      <c r="G234" s="235"/>
      <c r="H234" s="235"/>
      <c r="I234" s="235"/>
      <c r="J234" s="235"/>
      <c r="K234" s="235"/>
      <c r="L234" s="235"/>
      <c r="M234" s="235"/>
      <c r="N234" s="235"/>
      <c r="O234" s="235"/>
      <c r="P234" s="235"/>
      <c r="Q234" s="235"/>
      <c r="R234" s="235"/>
      <c r="S234" s="235"/>
      <c r="T234" s="235"/>
      <c r="U234" s="235"/>
      <c r="V234" s="235"/>
      <c r="W234" s="235"/>
      <c r="X234" s="235"/>
      <c r="Y234" s="235"/>
      <c r="Z234" s="235"/>
    </row>
    <row r="235" spans="1:26" ht="12.75" customHeight="1">
      <c r="A235" s="235"/>
      <c r="B235" s="235"/>
      <c r="C235" s="235"/>
      <c r="D235" s="235"/>
      <c r="E235" s="235"/>
      <c r="F235" s="235"/>
      <c r="G235" s="235"/>
      <c r="H235" s="235"/>
      <c r="I235" s="235"/>
      <c r="J235" s="235"/>
      <c r="K235" s="235"/>
      <c r="L235" s="235"/>
      <c r="M235" s="235"/>
      <c r="N235" s="235"/>
      <c r="O235" s="235"/>
      <c r="P235" s="235"/>
      <c r="Q235" s="235"/>
      <c r="R235" s="235"/>
      <c r="S235" s="235"/>
      <c r="T235" s="235"/>
      <c r="U235" s="235"/>
      <c r="V235" s="235"/>
      <c r="W235" s="235"/>
      <c r="X235" s="235"/>
      <c r="Y235" s="235"/>
      <c r="Z235" s="235"/>
    </row>
    <row r="236" spans="1:26" ht="12.75" customHeight="1">
      <c r="A236" s="235"/>
      <c r="B236" s="235"/>
      <c r="C236" s="235"/>
      <c r="D236" s="235"/>
      <c r="E236" s="235"/>
      <c r="F236" s="235"/>
      <c r="G236" s="235"/>
      <c r="H236" s="235"/>
      <c r="I236" s="235"/>
      <c r="J236" s="235"/>
      <c r="K236" s="235"/>
      <c r="L236" s="235"/>
      <c r="M236" s="235"/>
      <c r="N236" s="235"/>
      <c r="O236" s="235"/>
      <c r="P236" s="235"/>
      <c r="Q236" s="235"/>
      <c r="R236" s="235"/>
      <c r="S236" s="235"/>
      <c r="T236" s="235"/>
      <c r="U236" s="235"/>
      <c r="V236" s="235"/>
      <c r="W236" s="235"/>
      <c r="X236" s="235"/>
      <c r="Y236" s="235"/>
      <c r="Z236" s="235"/>
    </row>
    <row r="237" spans="1:26" ht="12.75" customHeight="1">
      <c r="A237" s="235"/>
      <c r="B237" s="235"/>
      <c r="C237" s="235"/>
      <c r="D237" s="235"/>
      <c r="E237" s="235"/>
      <c r="F237" s="235"/>
      <c r="G237" s="235"/>
      <c r="H237" s="235"/>
      <c r="I237" s="235"/>
      <c r="J237" s="235"/>
      <c r="K237" s="235"/>
      <c r="L237" s="235"/>
      <c r="M237" s="235"/>
      <c r="N237" s="235"/>
      <c r="O237" s="235"/>
      <c r="P237" s="235"/>
      <c r="Q237" s="235"/>
      <c r="R237" s="235"/>
      <c r="S237" s="235"/>
      <c r="T237" s="235"/>
      <c r="U237" s="235"/>
      <c r="V237" s="235"/>
      <c r="W237" s="235"/>
      <c r="X237" s="235"/>
      <c r="Y237" s="235"/>
      <c r="Z237" s="235"/>
    </row>
    <row r="238" spans="1:26" ht="12.75" customHeight="1">
      <c r="A238" s="235"/>
      <c r="B238" s="235"/>
      <c r="C238" s="235"/>
      <c r="D238" s="235"/>
      <c r="E238" s="235"/>
      <c r="F238" s="235"/>
      <c r="G238" s="235"/>
      <c r="H238" s="235"/>
      <c r="I238" s="235"/>
      <c r="J238" s="235"/>
      <c r="K238" s="235"/>
      <c r="L238" s="235"/>
      <c r="M238" s="235"/>
      <c r="N238" s="235"/>
      <c r="O238" s="235"/>
      <c r="P238" s="235"/>
      <c r="Q238" s="235"/>
      <c r="R238" s="235"/>
      <c r="S238" s="235"/>
      <c r="T238" s="235"/>
      <c r="U238" s="235"/>
      <c r="V238" s="235"/>
      <c r="W238" s="235"/>
      <c r="X238" s="235"/>
      <c r="Y238" s="235"/>
      <c r="Z238" s="235"/>
    </row>
    <row r="239" spans="1:26" ht="12.75" customHeight="1">
      <c r="A239" s="235"/>
      <c r="B239" s="235"/>
      <c r="C239" s="235"/>
      <c r="D239" s="235"/>
      <c r="E239" s="235"/>
      <c r="F239" s="235"/>
      <c r="G239" s="235"/>
      <c r="H239" s="235"/>
      <c r="I239" s="235"/>
      <c r="J239" s="235"/>
      <c r="K239" s="235"/>
      <c r="L239" s="235"/>
      <c r="M239" s="235"/>
      <c r="N239" s="235"/>
      <c r="O239" s="235"/>
      <c r="P239" s="235"/>
      <c r="Q239" s="235"/>
      <c r="R239" s="235"/>
      <c r="S239" s="235"/>
      <c r="T239" s="235"/>
      <c r="U239" s="235"/>
      <c r="V239" s="235"/>
      <c r="W239" s="235"/>
      <c r="X239" s="235"/>
      <c r="Y239" s="235"/>
      <c r="Z239" s="235"/>
    </row>
    <row r="240" spans="1:26" ht="12.75" customHeight="1">
      <c r="A240" s="235"/>
      <c r="B240" s="235"/>
      <c r="C240" s="235"/>
      <c r="D240" s="235"/>
      <c r="E240" s="235"/>
      <c r="F240" s="235"/>
      <c r="G240" s="235"/>
      <c r="H240" s="235"/>
      <c r="I240" s="235"/>
      <c r="J240" s="235"/>
      <c r="K240" s="235"/>
      <c r="L240" s="235"/>
      <c r="M240" s="235"/>
      <c r="N240" s="235"/>
      <c r="O240" s="235"/>
      <c r="P240" s="235"/>
      <c r="Q240" s="235"/>
      <c r="R240" s="235"/>
      <c r="S240" s="235"/>
      <c r="T240" s="235"/>
      <c r="U240" s="235"/>
      <c r="V240" s="235"/>
      <c r="W240" s="235"/>
      <c r="X240" s="235"/>
      <c r="Y240" s="235"/>
      <c r="Z240" s="235"/>
    </row>
    <row r="241" spans="1:26" ht="12.75" customHeight="1">
      <c r="A241" s="235"/>
      <c r="B241" s="235"/>
      <c r="C241" s="235"/>
      <c r="D241" s="235"/>
      <c r="E241" s="235"/>
      <c r="F241" s="235"/>
      <c r="G241" s="235"/>
      <c r="H241" s="235"/>
      <c r="I241" s="235"/>
      <c r="J241" s="235"/>
      <c r="K241" s="235"/>
      <c r="L241" s="235"/>
      <c r="M241" s="235"/>
      <c r="N241" s="235"/>
      <c r="O241" s="235"/>
      <c r="P241" s="235"/>
      <c r="Q241" s="235"/>
      <c r="R241" s="235"/>
      <c r="S241" s="235"/>
      <c r="T241" s="235"/>
      <c r="U241" s="235"/>
      <c r="V241" s="235"/>
      <c r="W241" s="235"/>
      <c r="X241" s="235"/>
      <c r="Y241" s="235"/>
      <c r="Z241" s="235"/>
    </row>
    <row r="242" spans="1:26" ht="12.75" customHeight="1">
      <c r="A242" s="235"/>
      <c r="B242" s="235"/>
      <c r="C242" s="235"/>
      <c r="D242" s="235"/>
      <c r="E242" s="235"/>
      <c r="F242" s="235"/>
      <c r="G242" s="235"/>
      <c r="H242" s="235"/>
      <c r="I242" s="235"/>
      <c r="J242" s="235"/>
      <c r="K242" s="235"/>
      <c r="L242" s="235"/>
      <c r="M242" s="235"/>
      <c r="N242" s="235"/>
      <c r="O242" s="235"/>
      <c r="P242" s="235"/>
      <c r="Q242" s="235"/>
      <c r="R242" s="235"/>
      <c r="S242" s="235"/>
      <c r="T242" s="235"/>
      <c r="U242" s="235"/>
      <c r="V242" s="235"/>
      <c r="W242" s="235"/>
      <c r="X242" s="235"/>
      <c r="Y242" s="235"/>
      <c r="Z242" s="235"/>
    </row>
    <row r="243" spans="1:26" ht="12.75" customHeight="1">
      <c r="A243" s="235"/>
      <c r="B243" s="235"/>
      <c r="C243" s="235"/>
      <c r="D243" s="235"/>
      <c r="E243" s="235"/>
      <c r="F243" s="235"/>
      <c r="G243" s="235"/>
      <c r="H243" s="235"/>
      <c r="I243" s="235"/>
      <c r="J243" s="235"/>
      <c r="K243" s="235"/>
      <c r="L243" s="235"/>
      <c r="M243" s="235"/>
      <c r="N243" s="235"/>
      <c r="O243" s="235"/>
      <c r="P243" s="235"/>
      <c r="Q243" s="235"/>
      <c r="R243" s="235"/>
      <c r="S243" s="235"/>
      <c r="T243" s="235"/>
      <c r="U243" s="235"/>
      <c r="V243" s="235"/>
      <c r="W243" s="235"/>
      <c r="X243" s="235"/>
      <c r="Y243" s="235"/>
      <c r="Z243" s="235"/>
    </row>
    <row r="244" spans="1:26" ht="12.75" customHeight="1">
      <c r="A244" s="235"/>
      <c r="B244" s="235"/>
      <c r="C244" s="235"/>
      <c r="D244" s="235"/>
      <c r="E244" s="235"/>
      <c r="F244" s="235"/>
      <c r="G244" s="235"/>
      <c r="H244" s="235"/>
      <c r="I244" s="235"/>
      <c r="J244" s="235"/>
      <c r="K244" s="235"/>
      <c r="L244" s="235"/>
      <c r="M244" s="235"/>
      <c r="N244" s="235"/>
      <c r="O244" s="235"/>
      <c r="P244" s="235"/>
      <c r="Q244" s="235"/>
      <c r="R244" s="235"/>
      <c r="S244" s="235"/>
      <c r="T244" s="235"/>
      <c r="U244" s="235"/>
      <c r="V244" s="235"/>
      <c r="W244" s="235"/>
      <c r="X244" s="235"/>
      <c r="Y244" s="235"/>
      <c r="Z244" s="235"/>
    </row>
    <row r="245" spans="1:26" ht="12.75" customHeight="1">
      <c r="A245" s="235"/>
      <c r="B245" s="235"/>
      <c r="C245" s="235"/>
      <c r="D245" s="235"/>
      <c r="E245" s="235"/>
      <c r="F245" s="235"/>
      <c r="G245" s="235"/>
      <c r="H245" s="235"/>
      <c r="I245" s="235"/>
      <c r="J245" s="235"/>
      <c r="K245" s="235"/>
      <c r="L245" s="235"/>
      <c r="M245" s="235"/>
      <c r="N245" s="235"/>
      <c r="O245" s="235"/>
      <c r="P245" s="235"/>
      <c r="Q245" s="235"/>
      <c r="R245" s="235"/>
      <c r="S245" s="235"/>
      <c r="T245" s="235"/>
      <c r="U245" s="235"/>
      <c r="V245" s="235"/>
      <c r="W245" s="235"/>
      <c r="X245" s="235"/>
      <c r="Y245" s="235"/>
      <c r="Z245" s="235"/>
    </row>
    <row r="246" spans="1:26" ht="12.75" customHeight="1">
      <c r="A246" s="235"/>
      <c r="B246" s="235"/>
      <c r="C246" s="235"/>
      <c r="D246" s="235"/>
      <c r="E246" s="235"/>
      <c r="F246" s="235"/>
      <c r="G246" s="235"/>
      <c r="H246" s="235"/>
      <c r="I246" s="235"/>
      <c r="J246" s="235"/>
      <c r="K246" s="235"/>
      <c r="L246" s="235"/>
      <c r="M246" s="235"/>
      <c r="N246" s="235"/>
      <c r="O246" s="235"/>
      <c r="P246" s="235"/>
      <c r="Q246" s="235"/>
      <c r="R246" s="235"/>
      <c r="S246" s="235"/>
      <c r="T246" s="235"/>
      <c r="U246" s="235"/>
      <c r="V246" s="235"/>
      <c r="W246" s="235"/>
      <c r="X246" s="235"/>
      <c r="Y246" s="235"/>
      <c r="Z246" s="235"/>
    </row>
    <row r="247" spans="1:26" ht="12.75" customHeight="1">
      <c r="A247" s="235"/>
      <c r="B247" s="235"/>
      <c r="C247" s="235"/>
      <c r="D247" s="235"/>
      <c r="E247" s="235"/>
      <c r="F247" s="235"/>
      <c r="G247" s="235"/>
      <c r="H247" s="235"/>
      <c r="I247" s="235"/>
      <c r="J247" s="235"/>
      <c r="K247" s="235"/>
      <c r="L247" s="235"/>
      <c r="M247" s="235"/>
      <c r="N247" s="235"/>
      <c r="O247" s="235"/>
      <c r="P247" s="235"/>
      <c r="Q247" s="235"/>
      <c r="R247" s="235"/>
      <c r="S247" s="235"/>
      <c r="T247" s="235"/>
      <c r="U247" s="235"/>
      <c r="V247" s="235"/>
      <c r="W247" s="235"/>
      <c r="X247" s="235"/>
      <c r="Y247" s="235"/>
      <c r="Z247" s="235"/>
    </row>
    <row r="248" spans="1:26" ht="12.75" customHeight="1">
      <c r="A248" s="235"/>
      <c r="B248" s="235"/>
      <c r="C248" s="235"/>
      <c r="D248" s="235"/>
      <c r="E248" s="235"/>
      <c r="F248" s="235"/>
      <c r="G248" s="235"/>
      <c r="H248" s="235"/>
      <c r="I248" s="235"/>
      <c r="J248" s="235"/>
      <c r="K248" s="235"/>
      <c r="L248" s="235"/>
      <c r="M248" s="235"/>
      <c r="N248" s="235"/>
      <c r="O248" s="235"/>
      <c r="P248" s="235"/>
      <c r="Q248" s="235"/>
      <c r="R248" s="235"/>
      <c r="S248" s="235"/>
      <c r="T248" s="235"/>
      <c r="U248" s="235"/>
      <c r="V248" s="235"/>
      <c r="W248" s="235"/>
      <c r="X248" s="235"/>
      <c r="Y248" s="235"/>
      <c r="Z248" s="235"/>
    </row>
    <row r="249" spans="1:26" ht="12.75" customHeight="1">
      <c r="A249" s="235"/>
      <c r="B249" s="235"/>
      <c r="C249" s="235"/>
      <c r="D249" s="235"/>
      <c r="E249" s="235"/>
      <c r="F249" s="235"/>
      <c r="G249" s="235"/>
      <c r="H249" s="235"/>
      <c r="I249" s="235"/>
      <c r="J249" s="235"/>
      <c r="K249" s="235"/>
      <c r="L249" s="235"/>
      <c r="M249" s="235"/>
      <c r="N249" s="235"/>
      <c r="O249" s="235"/>
      <c r="P249" s="235"/>
      <c r="Q249" s="235"/>
      <c r="R249" s="235"/>
      <c r="S249" s="235"/>
      <c r="T249" s="235"/>
      <c r="U249" s="235"/>
      <c r="V249" s="235"/>
      <c r="W249" s="235"/>
      <c r="X249" s="235"/>
      <c r="Y249" s="235"/>
      <c r="Z249" s="235"/>
    </row>
    <row r="250" spans="1:26" ht="12.75" customHeight="1">
      <c r="A250" s="235"/>
      <c r="B250" s="235"/>
      <c r="C250" s="235"/>
      <c r="D250" s="235"/>
      <c r="E250" s="235"/>
      <c r="F250" s="235"/>
      <c r="G250" s="235"/>
      <c r="H250" s="235"/>
      <c r="I250" s="235"/>
      <c r="J250" s="235"/>
      <c r="K250" s="235"/>
      <c r="L250" s="235"/>
      <c r="M250" s="235"/>
      <c r="N250" s="235"/>
      <c r="O250" s="235"/>
      <c r="P250" s="235"/>
      <c r="Q250" s="235"/>
      <c r="R250" s="235"/>
      <c r="S250" s="235"/>
      <c r="T250" s="235"/>
      <c r="U250" s="235"/>
      <c r="V250" s="235"/>
      <c r="W250" s="235"/>
      <c r="X250" s="235"/>
      <c r="Y250" s="235"/>
      <c r="Z250" s="235"/>
    </row>
    <row r="251" spans="1:26" ht="12.75" customHeight="1">
      <c r="A251" s="235"/>
      <c r="B251" s="235"/>
      <c r="C251" s="235"/>
      <c r="D251" s="235"/>
      <c r="E251" s="235"/>
      <c r="F251" s="235"/>
      <c r="G251" s="235"/>
      <c r="H251" s="235"/>
      <c r="I251" s="235"/>
      <c r="J251" s="235"/>
      <c r="K251" s="235"/>
      <c r="L251" s="235"/>
      <c r="M251" s="235"/>
      <c r="N251" s="235"/>
      <c r="O251" s="235"/>
      <c r="P251" s="235"/>
      <c r="Q251" s="235"/>
      <c r="R251" s="235"/>
      <c r="S251" s="235"/>
      <c r="T251" s="235"/>
      <c r="U251" s="235"/>
      <c r="V251" s="235"/>
      <c r="W251" s="235"/>
      <c r="X251" s="235"/>
      <c r="Y251" s="235"/>
      <c r="Z251" s="235"/>
    </row>
    <row r="252" spans="1:26" ht="12.75" customHeight="1">
      <c r="A252" s="235"/>
      <c r="B252" s="235"/>
      <c r="C252" s="235"/>
      <c r="D252" s="235"/>
      <c r="E252" s="235"/>
      <c r="F252" s="235"/>
      <c r="G252" s="235"/>
      <c r="H252" s="235"/>
      <c r="I252" s="235"/>
      <c r="J252" s="235"/>
      <c r="K252" s="235"/>
      <c r="L252" s="235"/>
      <c r="M252" s="235"/>
      <c r="N252" s="235"/>
      <c r="O252" s="235"/>
      <c r="P252" s="235"/>
      <c r="Q252" s="235"/>
      <c r="R252" s="235"/>
      <c r="S252" s="235"/>
      <c r="T252" s="235"/>
      <c r="U252" s="235"/>
      <c r="V252" s="235"/>
      <c r="W252" s="235"/>
      <c r="X252" s="235"/>
      <c r="Y252" s="235"/>
      <c r="Z252" s="235"/>
    </row>
    <row r="253" spans="1:26" ht="12.75" customHeight="1">
      <c r="A253" s="235"/>
      <c r="B253" s="235"/>
      <c r="C253" s="235"/>
      <c r="D253" s="235"/>
      <c r="E253" s="235"/>
      <c r="F253" s="235"/>
      <c r="G253" s="235"/>
      <c r="H253" s="235"/>
      <c r="I253" s="235"/>
      <c r="J253" s="235"/>
      <c r="K253" s="235"/>
      <c r="L253" s="235"/>
      <c r="M253" s="235"/>
      <c r="N253" s="235"/>
      <c r="O253" s="235"/>
      <c r="P253" s="235"/>
      <c r="Q253" s="235"/>
      <c r="R253" s="235"/>
      <c r="S253" s="235"/>
      <c r="T253" s="235"/>
      <c r="U253" s="235"/>
      <c r="V253" s="235"/>
      <c r="W253" s="235"/>
      <c r="X253" s="235"/>
      <c r="Y253" s="235"/>
      <c r="Z253" s="235"/>
    </row>
    <row r="254" spans="1:26" ht="12.75" customHeight="1">
      <c r="A254" s="235"/>
      <c r="B254" s="235"/>
      <c r="C254" s="235"/>
      <c r="D254" s="235"/>
      <c r="E254" s="235"/>
      <c r="F254" s="235"/>
      <c r="G254" s="235"/>
      <c r="H254" s="235"/>
      <c r="I254" s="235"/>
      <c r="J254" s="235"/>
      <c r="K254" s="235"/>
      <c r="L254" s="235"/>
      <c r="M254" s="235"/>
      <c r="N254" s="235"/>
      <c r="O254" s="235"/>
      <c r="P254" s="235"/>
      <c r="Q254" s="235"/>
      <c r="R254" s="235"/>
      <c r="S254" s="235"/>
      <c r="T254" s="235"/>
      <c r="U254" s="235"/>
      <c r="V254" s="235"/>
      <c r="W254" s="235"/>
      <c r="X254" s="235"/>
      <c r="Y254" s="235"/>
      <c r="Z254" s="235"/>
    </row>
    <row r="255" spans="1:26" ht="12.75" customHeight="1">
      <c r="A255" s="235"/>
      <c r="B255" s="235"/>
      <c r="C255" s="235"/>
      <c r="D255" s="235"/>
      <c r="E255" s="235"/>
      <c r="F255" s="235"/>
      <c r="G255" s="235"/>
      <c r="H255" s="235"/>
      <c r="I255" s="235"/>
      <c r="J255" s="235"/>
      <c r="K255" s="235"/>
      <c r="L255" s="235"/>
      <c r="M255" s="235"/>
      <c r="N255" s="235"/>
      <c r="O255" s="235"/>
      <c r="P255" s="235"/>
      <c r="Q255" s="235"/>
      <c r="R255" s="235"/>
      <c r="S255" s="235"/>
      <c r="T255" s="235"/>
      <c r="U255" s="235"/>
      <c r="V255" s="235"/>
      <c r="W255" s="235"/>
      <c r="X255" s="235"/>
      <c r="Y255" s="235"/>
      <c r="Z255" s="235"/>
    </row>
    <row r="256" spans="1:26" ht="12.75" customHeight="1">
      <c r="A256" s="235"/>
      <c r="B256" s="235"/>
      <c r="C256" s="235"/>
      <c r="D256" s="235"/>
      <c r="E256" s="235"/>
      <c r="F256" s="235"/>
      <c r="G256" s="235"/>
      <c r="H256" s="235"/>
      <c r="I256" s="235"/>
      <c r="J256" s="235"/>
      <c r="K256" s="235"/>
      <c r="L256" s="235"/>
      <c r="M256" s="235"/>
      <c r="N256" s="235"/>
      <c r="O256" s="235"/>
      <c r="P256" s="235"/>
      <c r="Q256" s="235"/>
      <c r="R256" s="235"/>
      <c r="S256" s="235"/>
      <c r="T256" s="235"/>
      <c r="U256" s="235"/>
      <c r="V256" s="235"/>
      <c r="W256" s="235"/>
      <c r="X256" s="235"/>
      <c r="Y256" s="235"/>
      <c r="Z256" s="235"/>
    </row>
    <row r="257" spans="1:26" ht="12.75" customHeight="1">
      <c r="A257" s="235"/>
      <c r="B257" s="235"/>
      <c r="C257" s="235"/>
      <c r="D257" s="235"/>
      <c r="E257" s="235"/>
      <c r="F257" s="235"/>
      <c r="G257" s="235"/>
      <c r="H257" s="235"/>
      <c r="I257" s="235"/>
      <c r="J257" s="235"/>
      <c r="K257" s="235"/>
      <c r="L257" s="235"/>
      <c r="M257" s="235"/>
      <c r="N257" s="235"/>
      <c r="O257" s="235"/>
      <c r="P257" s="235"/>
      <c r="Q257" s="235"/>
      <c r="R257" s="235"/>
      <c r="S257" s="235"/>
      <c r="T257" s="235"/>
      <c r="U257" s="235"/>
      <c r="V257" s="235"/>
      <c r="W257" s="235"/>
      <c r="X257" s="235"/>
      <c r="Y257" s="235"/>
      <c r="Z257" s="235"/>
    </row>
    <row r="258" spans="1:26" ht="12.75" customHeight="1">
      <c r="A258" s="235"/>
      <c r="B258" s="235"/>
      <c r="C258" s="235"/>
      <c r="D258" s="235"/>
      <c r="E258" s="235"/>
      <c r="F258" s="235"/>
      <c r="G258" s="235"/>
      <c r="H258" s="235"/>
      <c r="I258" s="235"/>
      <c r="J258" s="235"/>
      <c r="K258" s="235"/>
      <c r="L258" s="235"/>
      <c r="M258" s="235"/>
      <c r="N258" s="235"/>
      <c r="O258" s="235"/>
      <c r="P258" s="235"/>
      <c r="Q258" s="235"/>
      <c r="R258" s="235"/>
      <c r="S258" s="235"/>
      <c r="T258" s="235"/>
      <c r="U258" s="235"/>
      <c r="V258" s="235"/>
      <c r="W258" s="235"/>
      <c r="X258" s="235"/>
      <c r="Y258" s="235"/>
      <c r="Z258" s="235"/>
    </row>
    <row r="259" spans="1:26" ht="12.75" customHeight="1">
      <c r="A259" s="235"/>
      <c r="B259" s="235"/>
      <c r="C259" s="235"/>
      <c r="D259" s="235"/>
      <c r="E259" s="235"/>
      <c r="F259" s="235"/>
      <c r="G259" s="235"/>
      <c r="H259" s="235"/>
      <c r="I259" s="235"/>
      <c r="J259" s="235"/>
      <c r="K259" s="235"/>
      <c r="L259" s="235"/>
      <c r="M259" s="235"/>
      <c r="N259" s="235"/>
      <c r="O259" s="235"/>
      <c r="P259" s="235"/>
      <c r="Q259" s="235"/>
      <c r="R259" s="235"/>
      <c r="S259" s="235"/>
      <c r="T259" s="235"/>
      <c r="U259" s="235"/>
      <c r="V259" s="235"/>
      <c r="W259" s="235"/>
      <c r="X259" s="235"/>
      <c r="Y259" s="235"/>
      <c r="Z259" s="235"/>
    </row>
    <row r="260" spans="1:26" ht="12.75" customHeight="1">
      <c r="A260" s="235"/>
      <c r="B260" s="235"/>
      <c r="C260" s="235"/>
      <c r="D260" s="235"/>
      <c r="E260" s="235"/>
      <c r="F260" s="235"/>
      <c r="G260" s="235"/>
      <c r="H260" s="235"/>
      <c r="I260" s="235"/>
      <c r="J260" s="235"/>
      <c r="K260" s="235"/>
      <c r="L260" s="235"/>
      <c r="M260" s="235"/>
      <c r="N260" s="235"/>
      <c r="O260" s="235"/>
      <c r="P260" s="235"/>
      <c r="Q260" s="235"/>
      <c r="R260" s="235"/>
      <c r="S260" s="235"/>
      <c r="T260" s="235"/>
      <c r="U260" s="235"/>
      <c r="V260" s="235"/>
      <c r="W260" s="235"/>
      <c r="X260" s="235"/>
      <c r="Y260" s="235"/>
      <c r="Z260" s="235"/>
    </row>
    <row r="261" spans="1:26" ht="12.75" customHeight="1">
      <c r="A261" s="235"/>
      <c r="B261" s="235"/>
      <c r="C261" s="235"/>
      <c r="D261" s="235"/>
      <c r="E261" s="235"/>
      <c r="F261" s="235"/>
      <c r="G261" s="235"/>
      <c r="H261" s="235"/>
      <c r="I261" s="235"/>
      <c r="J261" s="235"/>
      <c r="K261" s="235"/>
      <c r="L261" s="235"/>
      <c r="M261" s="235"/>
      <c r="N261" s="235"/>
      <c r="O261" s="235"/>
      <c r="P261" s="235"/>
      <c r="Q261" s="235"/>
      <c r="R261" s="235"/>
      <c r="S261" s="235"/>
      <c r="T261" s="235"/>
      <c r="U261" s="235"/>
      <c r="V261" s="235"/>
      <c r="W261" s="235"/>
      <c r="X261" s="235"/>
      <c r="Y261" s="235"/>
      <c r="Z261" s="235"/>
    </row>
    <row r="262" spans="1:26" ht="12.75" customHeight="1">
      <c r="A262" s="235"/>
      <c r="B262" s="235"/>
      <c r="C262" s="235"/>
      <c r="D262" s="235"/>
      <c r="E262" s="235"/>
      <c r="F262" s="235"/>
      <c r="G262" s="235"/>
      <c r="H262" s="235"/>
      <c r="I262" s="235"/>
      <c r="J262" s="235"/>
      <c r="K262" s="235"/>
      <c r="L262" s="235"/>
      <c r="M262" s="235"/>
      <c r="N262" s="235"/>
      <c r="O262" s="235"/>
      <c r="P262" s="235"/>
      <c r="Q262" s="235"/>
      <c r="R262" s="235"/>
      <c r="S262" s="235"/>
      <c r="T262" s="235"/>
      <c r="U262" s="235"/>
      <c r="V262" s="235"/>
      <c r="W262" s="235"/>
      <c r="X262" s="235"/>
      <c r="Y262" s="235"/>
      <c r="Z262" s="235"/>
    </row>
    <row r="263" spans="1:26" ht="12.75" customHeight="1">
      <c r="A263" s="235"/>
      <c r="B263" s="235"/>
      <c r="C263" s="235"/>
      <c r="D263" s="235"/>
      <c r="E263" s="235"/>
      <c r="F263" s="235"/>
      <c r="G263" s="235"/>
      <c r="H263" s="235"/>
      <c r="I263" s="235"/>
      <c r="J263" s="235"/>
      <c r="K263" s="235"/>
      <c r="L263" s="235"/>
      <c r="M263" s="235"/>
      <c r="N263" s="235"/>
      <c r="O263" s="235"/>
      <c r="P263" s="235"/>
      <c r="Q263" s="235"/>
      <c r="R263" s="235"/>
      <c r="S263" s="235"/>
      <c r="T263" s="235"/>
      <c r="U263" s="235"/>
      <c r="V263" s="235"/>
      <c r="W263" s="235"/>
      <c r="X263" s="235"/>
      <c r="Y263" s="235"/>
      <c r="Z263" s="235"/>
    </row>
    <row r="264" spans="1:26" ht="15.75" customHeight="1"/>
    <row r="265" spans="1:26" ht="15.75" customHeight="1"/>
    <row r="266" spans="1:26" ht="15.75" customHeight="1"/>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D63:E63"/>
    <mergeCell ref="H1:L2"/>
    <mergeCell ref="F12:I12"/>
    <mergeCell ref="F16:I16"/>
    <mergeCell ref="F20:I20"/>
    <mergeCell ref="F24:I24"/>
    <mergeCell ref="F28:I28"/>
    <mergeCell ref="G32:I32"/>
    <mergeCell ref="G33:I33"/>
    <mergeCell ref="F38:I38"/>
    <mergeCell ref="F43:I43"/>
    <mergeCell ref="G47:I47"/>
    <mergeCell ref="G48:I48"/>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2:G1000"/>
  <sheetViews>
    <sheetView workbookViewId="0"/>
  </sheetViews>
  <sheetFormatPr baseColWidth="10" defaultColWidth="14.44140625" defaultRowHeight="15" customHeight="1"/>
  <cols>
    <col min="1" max="1" width="14.44140625" customWidth="1"/>
    <col min="2" max="2" width="33.44140625" customWidth="1"/>
    <col min="3" max="3" width="15.5546875" customWidth="1"/>
    <col min="4" max="4" width="14.44140625" customWidth="1"/>
    <col min="5" max="5" width="20.6640625" customWidth="1"/>
    <col min="6" max="6" width="20" customWidth="1"/>
    <col min="7" max="7" width="16.6640625" customWidth="1"/>
  </cols>
  <sheetData>
    <row r="2" spans="1:7" ht="14.4">
      <c r="A2" s="1"/>
      <c r="B2" s="319"/>
      <c r="C2" s="1"/>
    </row>
    <row r="3" spans="1:7" ht="15" customHeight="1">
      <c r="B3" s="320" t="s">
        <v>283</v>
      </c>
      <c r="C3" s="1"/>
      <c r="E3" s="321" t="s">
        <v>283</v>
      </c>
    </row>
    <row r="4" spans="1:7" ht="15" customHeight="1">
      <c r="B4" s="320" t="s">
        <v>284</v>
      </c>
      <c r="C4" s="1"/>
      <c r="E4" s="321" t="s">
        <v>284</v>
      </c>
    </row>
    <row r="5" spans="1:7" ht="15" customHeight="1">
      <c r="B5" s="322" t="s">
        <v>285</v>
      </c>
      <c r="C5" s="323">
        <f>+'1. Datos'!J45</f>
        <v>0</v>
      </c>
      <c r="E5" s="324" t="s">
        <v>285</v>
      </c>
    </row>
    <row r="6" spans="1:7" ht="15" customHeight="1">
      <c r="B6" s="322" t="s">
        <v>286</v>
      </c>
      <c r="C6" s="323">
        <f>+'1. Datos'!J46</f>
        <v>0</v>
      </c>
      <c r="E6" s="324" t="s">
        <v>286</v>
      </c>
    </row>
    <row r="7" spans="1:7" ht="15" customHeight="1">
      <c r="B7" s="322" t="s">
        <v>287</v>
      </c>
      <c r="C7" s="323">
        <f>+'1. Datos'!J47</f>
        <v>0</v>
      </c>
      <c r="E7" s="324" t="s">
        <v>288</v>
      </c>
    </row>
    <row r="8" spans="1:7" ht="15" customHeight="1">
      <c r="B8" s="322" t="s">
        <v>289</v>
      </c>
      <c r="C8" s="323">
        <f>+'1. Datos'!J55</f>
        <v>0</v>
      </c>
      <c r="E8" s="324" t="s">
        <v>290</v>
      </c>
    </row>
    <row r="9" spans="1:7" ht="15" customHeight="1">
      <c r="B9" s="325" t="s">
        <v>291</v>
      </c>
      <c r="C9" s="326">
        <f>+'1. Datos'!J64</f>
        <v>0</v>
      </c>
      <c r="E9" s="324" t="s">
        <v>287</v>
      </c>
      <c r="F9" s="50"/>
    </row>
    <row r="10" spans="1:7" ht="15" customHeight="1">
      <c r="B10" s="325" t="s">
        <v>292</v>
      </c>
      <c r="C10" s="326">
        <f>+'1. Datos'!J48</f>
        <v>0</v>
      </c>
      <c r="E10" s="327" t="s">
        <v>293</v>
      </c>
      <c r="F10" s="50"/>
      <c r="G10" s="169"/>
    </row>
    <row r="11" spans="1:7" ht="15" customHeight="1">
      <c r="B11" s="322"/>
      <c r="C11" s="323"/>
      <c r="E11" s="324" t="s">
        <v>294</v>
      </c>
    </row>
    <row r="12" spans="1:7" ht="15" customHeight="1">
      <c r="B12" s="319"/>
      <c r="C12" s="323"/>
      <c r="E12" s="328"/>
    </row>
    <row r="13" spans="1:7" ht="15" customHeight="1">
      <c r="B13" s="320" t="s">
        <v>295</v>
      </c>
      <c r="C13" s="329">
        <f>+SUM(C5:C12)</f>
        <v>0</v>
      </c>
      <c r="E13" s="321" t="s">
        <v>295</v>
      </c>
      <c r="F13" s="330">
        <f>+SUM(F5:F11)</f>
        <v>0</v>
      </c>
    </row>
    <row r="14" spans="1:7" ht="15" customHeight="1">
      <c r="B14" s="319"/>
      <c r="C14" s="1"/>
      <c r="E14" s="328"/>
    </row>
    <row r="15" spans="1:7" ht="15" customHeight="1">
      <c r="B15" s="320" t="s">
        <v>296</v>
      </c>
      <c r="C15" s="1"/>
      <c r="E15" s="321" t="s">
        <v>296</v>
      </c>
    </row>
    <row r="16" spans="1:7" ht="15" customHeight="1">
      <c r="B16" s="331" t="s">
        <v>297</v>
      </c>
      <c r="C16" s="323">
        <f>+'1. Datos'!J105+'1. Datos'!J113</f>
        <v>0</v>
      </c>
      <c r="E16" s="324" t="s">
        <v>298</v>
      </c>
    </row>
    <row r="17" spans="2:6" ht="15" customHeight="1">
      <c r="B17" s="331" t="s">
        <v>299</v>
      </c>
      <c r="C17" s="323">
        <f>+'1. Datos'!J106</f>
        <v>0</v>
      </c>
      <c r="E17" s="324" t="s">
        <v>300</v>
      </c>
    </row>
    <row r="18" spans="2:6" ht="15" customHeight="1">
      <c r="B18" s="331" t="s">
        <v>301</v>
      </c>
      <c r="C18" s="323">
        <f>+'1. Datos'!J107</f>
        <v>0</v>
      </c>
      <c r="E18" s="324" t="s">
        <v>302</v>
      </c>
    </row>
    <row r="19" spans="2:6" ht="15" customHeight="1">
      <c r="B19" s="331" t="s">
        <v>303</v>
      </c>
      <c r="C19" s="323"/>
      <c r="E19" s="324" t="s">
        <v>304</v>
      </c>
      <c r="F19" s="50"/>
    </row>
    <row r="20" spans="2:6" ht="15" customHeight="1">
      <c r="B20" s="331"/>
      <c r="C20" s="323"/>
      <c r="E20" s="321" t="s">
        <v>305</v>
      </c>
      <c r="F20" s="50"/>
    </row>
    <row r="21" spans="2:6" ht="15" customHeight="1">
      <c r="B21" s="320" t="s">
        <v>305</v>
      </c>
      <c r="C21" s="332">
        <f>SUM(C16:C20)</f>
        <v>0</v>
      </c>
      <c r="E21" s="328"/>
    </row>
    <row r="22" spans="2:6" ht="15" customHeight="1">
      <c r="B22" s="319"/>
      <c r="C22" s="1"/>
      <c r="E22" s="333" t="s">
        <v>306</v>
      </c>
      <c r="F22" s="334">
        <f>+F10-F20</f>
        <v>0</v>
      </c>
    </row>
    <row r="23" spans="2:6" ht="15" customHeight="1">
      <c r="B23" s="335" t="s">
        <v>306</v>
      </c>
      <c r="C23" s="336">
        <f>+C13-C21</f>
        <v>0</v>
      </c>
    </row>
    <row r="24" spans="2:6" ht="15.75" customHeight="1"/>
    <row r="25" spans="2:6" ht="15.75" customHeight="1"/>
    <row r="26" spans="2:6" ht="15.75" customHeight="1"/>
    <row r="27" spans="2:6" ht="15.75" customHeight="1"/>
    <row r="28" spans="2:6" ht="15.75" customHeight="1"/>
    <row r="29" spans="2:6" ht="15.75" customHeight="1"/>
    <row r="30" spans="2:6" ht="15.75" customHeight="1"/>
    <row r="31" spans="2:6" ht="15.75" customHeight="1"/>
    <row r="32" spans="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D1000"/>
  <sheetViews>
    <sheetView showGridLines="0" workbookViewId="0"/>
  </sheetViews>
  <sheetFormatPr baseColWidth="10" defaultColWidth="14.44140625" defaultRowHeight="15" customHeight="1" outlineLevelRow="1" outlineLevelCol="1"/>
  <cols>
    <col min="1" max="2" width="3.44140625" customWidth="1"/>
    <col min="3" max="3" width="109.33203125" customWidth="1"/>
    <col min="4" max="4" width="18.5546875" customWidth="1"/>
    <col min="5" max="5" width="18.44140625" customWidth="1"/>
    <col min="6" max="6" width="19.6640625" customWidth="1"/>
    <col min="7" max="7" width="19.88671875" customWidth="1"/>
    <col min="8" max="8" width="23.88671875" customWidth="1"/>
    <col min="9" max="9" width="19.5546875" customWidth="1"/>
    <col min="10" max="10" width="22" customWidth="1" outlineLevel="1"/>
    <col min="11" max="11" width="23" customWidth="1"/>
    <col min="12" max="12" width="23.88671875" customWidth="1"/>
    <col min="13" max="13" width="13.44140625" customWidth="1"/>
    <col min="14" max="14" width="11.44140625" customWidth="1"/>
    <col min="15" max="15" width="9.109375" customWidth="1"/>
    <col min="16" max="16" width="2.44140625" customWidth="1"/>
    <col min="17" max="24" width="11.44140625" customWidth="1"/>
  </cols>
  <sheetData>
    <row r="1" spans="1:24" ht="14.4">
      <c r="I1" s="337"/>
    </row>
    <row r="2" spans="1:24" ht="26.25" customHeight="1">
      <c r="A2" s="128"/>
      <c r="B2" s="128"/>
      <c r="C2" s="1400" t="s">
        <v>307</v>
      </c>
      <c r="D2" s="1345"/>
      <c r="E2" s="1345"/>
      <c r="F2" s="1345"/>
      <c r="G2" s="1345"/>
      <c r="H2" s="1345"/>
      <c r="I2" s="1345"/>
      <c r="J2" s="1345"/>
      <c r="K2" s="128"/>
      <c r="L2" s="128"/>
      <c r="M2" s="128"/>
      <c r="N2" s="128"/>
      <c r="O2" s="128"/>
      <c r="P2" s="128"/>
      <c r="Q2" s="128"/>
      <c r="R2" s="128"/>
      <c r="S2" s="128"/>
      <c r="T2" s="128"/>
      <c r="U2" s="128"/>
      <c r="V2" s="128"/>
      <c r="W2" s="128"/>
      <c r="X2" s="128"/>
    </row>
    <row r="3" spans="1:24" ht="48.75" customHeight="1">
      <c r="A3" s="128"/>
      <c r="B3" s="128"/>
      <c r="C3" s="1401" t="s">
        <v>308</v>
      </c>
      <c r="D3" s="1334"/>
      <c r="E3" s="1334"/>
      <c r="F3" s="1334"/>
      <c r="G3" s="1334"/>
      <c r="H3" s="1334"/>
      <c r="I3" s="1334"/>
      <c r="J3" s="1334"/>
      <c r="K3" s="128"/>
      <c r="L3" s="128"/>
      <c r="M3" s="128"/>
      <c r="N3" s="128"/>
      <c r="O3" s="128"/>
      <c r="P3" s="128"/>
      <c r="Q3" s="128"/>
      <c r="R3" s="128"/>
      <c r="S3" s="128"/>
      <c r="T3" s="128"/>
      <c r="U3" s="128"/>
      <c r="V3" s="128"/>
      <c r="W3" s="128"/>
      <c r="X3" s="128"/>
    </row>
    <row r="4" spans="1:24" ht="15.75" customHeight="1">
      <c r="A4" s="128"/>
      <c r="B4" s="128"/>
      <c r="C4" s="338"/>
      <c r="D4" s="339"/>
      <c r="E4" s="339"/>
      <c r="F4" s="339"/>
      <c r="G4" s="340" t="e">
        <f t="shared" ref="G4:I4" si="0">G6/F6-1</f>
        <v>#DIV/0!</v>
      </c>
      <c r="H4" s="340" t="e">
        <f t="shared" si="0"/>
        <v>#DIV/0!</v>
      </c>
      <c r="I4" s="340" t="e">
        <f t="shared" si="0"/>
        <v>#DIV/0!</v>
      </c>
      <c r="J4" s="339"/>
      <c r="K4" s="341" t="e">
        <f>K6/I6-1</f>
        <v>#DIV/0!</v>
      </c>
      <c r="L4" s="192" t="e">
        <f>+AVERAGE(F4:K4)</f>
        <v>#DIV/0!</v>
      </c>
      <c r="M4" s="128"/>
      <c r="N4" s="128"/>
      <c r="O4" s="128"/>
      <c r="P4" s="128"/>
      <c r="Q4" s="128"/>
      <c r="R4" s="128"/>
      <c r="S4" s="128"/>
      <c r="T4" s="128"/>
      <c r="U4" s="128"/>
      <c r="V4" s="128"/>
      <c r="W4" s="128"/>
      <c r="X4" s="128"/>
    </row>
    <row r="5" spans="1:24" ht="14.25" customHeight="1">
      <c r="A5" s="128"/>
      <c r="B5" s="128"/>
      <c r="C5" s="342"/>
      <c r="D5" s="343">
        <v>2019</v>
      </c>
      <c r="E5" s="344">
        <f>+D5+1</f>
        <v>2020</v>
      </c>
      <c r="F5" s="345">
        <f t="shared" ref="F5:I5" si="1">E5+1</f>
        <v>2021</v>
      </c>
      <c r="G5" s="346">
        <f t="shared" si="1"/>
        <v>2022</v>
      </c>
      <c r="H5" s="345">
        <f t="shared" si="1"/>
        <v>2023</v>
      </c>
      <c r="I5" s="345">
        <f t="shared" si="1"/>
        <v>2024</v>
      </c>
      <c r="J5" s="347">
        <v>2025</v>
      </c>
      <c r="K5" s="347" t="s">
        <v>309</v>
      </c>
      <c r="L5" s="128"/>
      <c r="M5" s="128"/>
      <c r="N5" s="128"/>
      <c r="O5" s="128"/>
      <c r="P5" s="128"/>
      <c r="Q5" s="128"/>
      <c r="R5" s="128"/>
      <c r="S5" s="128"/>
      <c r="T5" s="128"/>
      <c r="U5" s="128"/>
      <c r="V5" s="128"/>
      <c r="W5" s="128"/>
      <c r="X5" s="128"/>
    </row>
    <row r="6" spans="1:24" ht="18.75" customHeight="1">
      <c r="A6" s="128"/>
      <c r="B6" s="128"/>
      <c r="C6" s="348" t="s">
        <v>310</v>
      </c>
      <c r="D6" s="349"/>
      <c r="E6" s="350"/>
      <c r="F6" s="349"/>
      <c r="G6" s="351"/>
      <c r="H6" s="349"/>
      <c r="I6" s="352"/>
      <c r="J6" s="353"/>
      <c r="K6" s="353">
        <f>+L6*12</f>
        <v>0</v>
      </c>
      <c r="L6" s="128">
        <f t="shared" ref="L6:L23" si="2">+J6/9</f>
        <v>0</v>
      </c>
      <c r="M6" s="128"/>
      <c r="N6" s="128"/>
      <c r="O6" s="128"/>
      <c r="P6" s="128"/>
      <c r="Q6" s="128"/>
      <c r="R6" s="128"/>
      <c r="S6" s="128"/>
      <c r="T6" s="128"/>
      <c r="U6" s="128"/>
      <c r="V6" s="128"/>
      <c r="W6" s="128"/>
      <c r="X6" s="128"/>
    </row>
    <row r="7" spans="1:24" ht="14.25" customHeight="1">
      <c r="A7" s="128"/>
      <c r="B7" s="128"/>
      <c r="C7" s="354"/>
      <c r="D7" s="355"/>
      <c r="E7" s="356"/>
      <c r="F7" s="357"/>
      <c r="G7" s="356"/>
      <c r="H7" s="357"/>
      <c r="I7" s="358"/>
      <c r="J7" s="359"/>
      <c r="K7" s="359"/>
      <c r="L7" s="128">
        <f t="shared" si="2"/>
        <v>0</v>
      </c>
      <c r="M7" s="128"/>
      <c r="N7" s="128"/>
      <c r="O7" s="128"/>
      <c r="P7" s="128"/>
      <c r="Q7" s="128"/>
      <c r="R7" s="128"/>
      <c r="S7" s="128"/>
      <c r="T7" s="128"/>
      <c r="U7" s="128"/>
      <c r="V7" s="128"/>
      <c r="W7" s="128"/>
      <c r="X7" s="128"/>
    </row>
    <row r="8" spans="1:24" ht="18.75" customHeight="1">
      <c r="A8" s="128"/>
      <c r="B8" s="128"/>
      <c r="C8" s="360" t="s">
        <v>311</v>
      </c>
      <c r="D8" s="361">
        <f t="shared" ref="D8:K8" si="3">+D6-D7</f>
        <v>0</v>
      </c>
      <c r="E8" s="362">
        <f t="shared" si="3"/>
        <v>0</v>
      </c>
      <c r="F8" s="362">
        <f t="shared" si="3"/>
        <v>0</v>
      </c>
      <c r="G8" s="361">
        <f t="shared" si="3"/>
        <v>0</v>
      </c>
      <c r="H8" s="363">
        <f t="shared" si="3"/>
        <v>0</v>
      </c>
      <c r="I8" s="361">
        <f t="shared" si="3"/>
        <v>0</v>
      </c>
      <c r="J8" s="364">
        <f t="shared" si="3"/>
        <v>0</v>
      </c>
      <c r="K8" s="364">
        <f t="shared" si="3"/>
        <v>0</v>
      </c>
      <c r="L8" s="128">
        <f t="shared" si="2"/>
        <v>0</v>
      </c>
      <c r="M8" s="128"/>
      <c r="N8" s="128"/>
      <c r="O8" s="128"/>
      <c r="P8" s="128"/>
      <c r="Q8" s="128"/>
      <c r="R8" s="128"/>
      <c r="S8" s="128"/>
      <c r="T8" s="128"/>
      <c r="U8" s="128"/>
      <c r="V8" s="128"/>
      <c r="W8" s="128"/>
      <c r="X8" s="128"/>
    </row>
    <row r="9" spans="1:24" ht="16.5" customHeight="1">
      <c r="A9" s="128"/>
      <c r="B9" s="128"/>
      <c r="C9" s="365" t="s">
        <v>312</v>
      </c>
      <c r="D9" s="355">
        <v>0</v>
      </c>
      <c r="E9" s="366"/>
      <c r="F9" s="367"/>
      <c r="G9" s="368"/>
      <c r="H9" s="369"/>
      <c r="I9" s="370"/>
      <c r="J9" s="371"/>
      <c r="K9" s="371"/>
      <c r="L9" s="128">
        <f t="shared" si="2"/>
        <v>0</v>
      </c>
      <c r="M9" s="128"/>
      <c r="N9" s="128"/>
      <c r="O9" s="128"/>
      <c r="P9" s="128"/>
      <c r="Q9" s="128"/>
      <c r="R9" s="128"/>
      <c r="S9" s="128"/>
      <c r="T9" s="128"/>
      <c r="U9" s="128"/>
      <c r="V9" s="128"/>
      <c r="W9" s="128"/>
      <c r="X9" s="128"/>
    </row>
    <row r="10" spans="1:24" ht="21.75" customHeight="1">
      <c r="A10" s="128"/>
      <c r="B10" s="128"/>
      <c r="C10" s="372" t="s">
        <v>313</v>
      </c>
      <c r="D10" s="373">
        <f t="shared" ref="D10:K10" si="4">+D8-D9</f>
        <v>0</v>
      </c>
      <c r="E10" s="374">
        <f t="shared" si="4"/>
        <v>0</v>
      </c>
      <c r="F10" s="374">
        <f t="shared" si="4"/>
        <v>0</v>
      </c>
      <c r="G10" s="373">
        <f t="shared" si="4"/>
        <v>0</v>
      </c>
      <c r="H10" s="375">
        <f t="shared" si="4"/>
        <v>0</v>
      </c>
      <c r="I10" s="373">
        <f t="shared" si="4"/>
        <v>0</v>
      </c>
      <c r="J10" s="376">
        <f t="shared" si="4"/>
        <v>0</v>
      </c>
      <c r="K10" s="376">
        <f t="shared" si="4"/>
        <v>0</v>
      </c>
      <c r="L10" s="128">
        <f t="shared" si="2"/>
        <v>0</v>
      </c>
      <c r="M10" s="128"/>
      <c r="N10" s="128"/>
      <c r="O10" s="128"/>
      <c r="P10" s="128"/>
      <c r="Q10" s="128"/>
      <c r="R10" s="128"/>
      <c r="S10" s="128"/>
      <c r="T10" s="128"/>
      <c r="U10" s="128"/>
      <c r="V10" s="128"/>
      <c r="W10" s="128"/>
      <c r="X10" s="128"/>
    </row>
    <row r="11" spans="1:24" ht="15" customHeight="1">
      <c r="A11" s="128"/>
      <c r="B11" s="128"/>
      <c r="C11" s="354"/>
      <c r="D11" s="377"/>
      <c r="E11" s="366"/>
      <c r="F11" s="367"/>
      <c r="G11" s="378"/>
      <c r="H11" s="379"/>
      <c r="I11" s="380"/>
      <c r="J11" s="371"/>
      <c r="K11" s="371"/>
      <c r="L11" s="128">
        <f t="shared" si="2"/>
        <v>0</v>
      </c>
      <c r="M11" s="128"/>
      <c r="N11" s="128"/>
      <c r="O11" s="128"/>
      <c r="P11" s="128"/>
      <c r="Q11" s="128"/>
      <c r="R11" s="128"/>
      <c r="S11" s="128"/>
      <c r="T11" s="128"/>
      <c r="U11" s="128"/>
      <c r="V11" s="128"/>
      <c r="W11" s="128"/>
      <c r="X11" s="128"/>
    </row>
    <row r="12" spans="1:24" ht="20.25" customHeight="1" outlineLevel="1">
      <c r="A12" s="128"/>
      <c r="B12" s="128"/>
      <c r="C12" s="381" t="s">
        <v>314</v>
      </c>
      <c r="D12" s="361">
        <f t="shared" ref="D12:E12" si="5">SUM(D13:D17)</f>
        <v>0</v>
      </c>
      <c r="E12" s="362">
        <f t="shared" si="5"/>
        <v>0</v>
      </c>
      <c r="F12" s="361"/>
      <c r="G12" s="364"/>
      <c r="H12" s="363"/>
      <c r="I12" s="361"/>
      <c r="J12" s="364"/>
      <c r="K12" s="364"/>
      <c r="L12" s="128">
        <f t="shared" si="2"/>
        <v>0</v>
      </c>
      <c r="M12" s="191">
        <f>7859990-J9</f>
        <v>7859990</v>
      </c>
      <c r="N12" s="128"/>
      <c r="O12" s="128"/>
      <c r="P12" s="128"/>
      <c r="Q12" s="128"/>
      <c r="R12" s="128"/>
      <c r="S12" s="128"/>
      <c r="T12" s="128"/>
      <c r="U12" s="128"/>
      <c r="V12" s="128"/>
      <c r="W12" s="128"/>
      <c r="X12" s="128"/>
    </row>
    <row r="13" spans="1:24" ht="20.25" customHeight="1" outlineLevel="1">
      <c r="A13" s="128"/>
      <c r="B13" s="128"/>
      <c r="C13" s="382" t="s">
        <v>315</v>
      </c>
      <c r="D13" s="383"/>
      <c r="E13" s="384"/>
      <c r="F13" s="383"/>
      <c r="G13" s="385"/>
      <c r="H13" s="386"/>
      <c r="I13" s="383"/>
      <c r="J13" s="371"/>
      <c r="K13" s="371"/>
      <c r="L13" s="128">
        <f t="shared" si="2"/>
        <v>0</v>
      </c>
      <c r="M13" s="128"/>
      <c r="N13" s="128"/>
      <c r="O13" s="128"/>
      <c r="P13" s="128"/>
      <c r="Q13" s="128"/>
      <c r="R13" s="128"/>
      <c r="S13" s="128"/>
      <c r="T13" s="128"/>
      <c r="U13" s="128"/>
      <c r="V13" s="128"/>
      <c r="W13" s="128"/>
      <c r="X13" s="128"/>
    </row>
    <row r="14" spans="1:24" ht="18.75" hidden="1" customHeight="1" outlineLevel="1">
      <c r="A14" s="128"/>
      <c r="B14" s="128"/>
      <c r="C14" s="354" t="s">
        <v>316</v>
      </c>
      <c r="D14" s="387"/>
      <c r="E14" s="388"/>
      <c r="F14" s="389"/>
      <c r="G14" s="390"/>
      <c r="H14" s="391"/>
      <c r="I14" s="387"/>
      <c r="J14" s="392"/>
      <c r="K14" s="392"/>
      <c r="L14" s="128">
        <f t="shared" si="2"/>
        <v>0</v>
      </c>
      <c r="M14" s="128"/>
      <c r="N14" s="128"/>
      <c r="O14" s="128"/>
      <c r="P14" s="128"/>
      <c r="Q14" s="128"/>
      <c r="R14" s="128"/>
      <c r="S14" s="128"/>
      <c r="T14" s="128"/>
      <c r="U14" s="128"/>
      <c r="V14" s="128"/>
      <c r="W14" s="128"/>
      <c r="X14" s="128"/>
    </row>
    <row r="15" spans="1:24" ht="18" hidden="1" customHeight="1">
      <c r="A15" s="128"/>
      <c r="B15" s="128"/>
      <c r="C15" s="393" t="s">
        <v>317</v>
      </c>
      <c r="D15" s="394"/>
      <c r="E15" s="388"/>
      <c r="F15" s="395"/>
      <c r="G15" s="390"/>
      <c r="H15" s="396"/>
      <c r="I15" s="394"/>
      <c r="J15" s="397"/>
      <c r="K15" s="397"/>
      <c r="L15" s="128">
        <f t="shared" si="2"/>
        <v>0</v>
      </c>
      <c r="M15" s="128"/>
      <c r="N15" s="128"/>
      <c r="O15" s="128"/>
      <c r="P15" s="128"/>
      <c r="Q15" s="128"/>
      <c r="R15" s="128"/>
      <c r="S15" s="128"/>
      <c r="T15" s="128"/>
      <c r="U15" s="128"/>
      <c r="V15" s="128"/>
      <c r="W15" s="128"/>
      <c r="X15" s="128"/>
    </row>
    <row r="16" spans="1:24" ht="14.25" hidden="1" customHeight="1" outlineLevel="1">
      <c r="A16" s="128"/>
      <c r="B16" s="128"/>
      <c r="C16" s="382"/>
      <c r="D16" s="383"/>
      <c r="E16" s="398"/>
      <c r="F16" s="383"/>
      <c r="G16" s="394"/>
      <c r="H16" s="386"/>
      <c r="I16" s="383"/>
      <c r="J16" s="371"/>
      <c r="K16" s="371"/>
      <c r="L16" s="128">
        <f t="shared" si="2"/>
        <v>0</v>
      </c>
      <c r="M16" s="128"/>
      <c r="N16" s="128"/>
      <c r="O16" s="128"/>
      <c r="P16" s="128"/>
      <c r="Q16" s="128"/>
      <c r="R16" s="128"/>
      <c r="S16" s="128"/>
      <c r="T16" s="128"/>
      <c r="U16" s="128"/>
      <c r="V16" s="128"/>
      <c r="W16" s="128"/>
      <c r="X16" s="128"/>
    </row>
    <row r="17" spans="1:30" ht="14.25" hidden="1" customHeight="1" outlineLevel="1">
      <c r="A17" s="128"/>
      <c r="B17" s="128"/>
      <c r="C17" s="393"/>
      <c r="D17" s="357"/>
      <c r="E17" s="399"/>
      <c r="F17" s="394"/>
      <c r="G17" s="400"/>
      <c r="H17" s="401"/>
      <c r="I17" s="402"/>
      <c r="J17" s="403"/>
      <c r="K17" s="404">
        <f>(I17/4)*12</f>
        <v>0</v>
      </c>
      <c r="L17" s="128">
        <f t="shared" si="2"/>
        <v>0</v>
      </c>
      <c r="M17" s="128"/>
      <c r="N17" s="128"/>
      <c r="O17" s="128"/>
      <c r="P17" s="128"/>
      <c r="Q17" s="128"/>
      <c r="R17" s="128"/>
      <c r="S17" s="128"/>
      <c r="T17" s="128"/>
      <c r="U17" s="128"/>
      <c r="V17" s="128"/>
      <c r="W17" s="128"/>
      <c r="X17" s="128"/>
      <c r="Y17" s="1"/>
      <c r="Z17" s="1"/>
    </row>
    <row r="18" spans="1:30" ht="13.5" customHeight="1" outlineLevel="1">
      <c r="A18" s="128"/>
      <c r="B18" s="128"/>
      <c r="C18" s="405"/>
      <c r="D18" s="406"/>
      <c r="E18" s="407"/>
      <c r="F18" s="408"/>
      <c r="G18" s="409"/>
      <c r="H18" s="407"/>
      <c r="I18" s="406"/>
      <c r="J18" s="410"/>
      <c r="K18" s="392"/>
      <c r="L18" s="128">
        <f t="shared" si="2"/>
        <v>0</v>
      </c>
      <c r="M18" s="128"/>
      <c r="N18" s="128"/>
      <c r="O18" s="128"/>
      <c r="P18" s="128"/>
      <c r="Q18" s="128"/>
      <c r="R18" s="128"/>
      <c r="S18" s="128"/>
      <c r="T18" s="128"/>
      <c r="U18" s="128"/>
      <c r="V18" s="128"/>
      <c r="W18" s="128"/>
      <c r="X18" s="128"/>
    </row>
    <row r="19" spans="1:30" ht="22.5" customHeight="1" outlineLevel="1">
      <c r="A19" s="128"/>
      <c r="B19" s="128"/>
      <c r="C19" s="411" t="s">
        <v>318</v>
      </c>
      <c r="D19" s="412">
        <f t="shared" ref="D19:K19" si="6">+D10-D12</f>
        <v>0</v>
      </c>
      <c r="E19" s="413">
        <f t="shared" si="6"/>
        <v>0</v>
      </c>
      <c r="F19" s="412">
        <f t="shared" si="6"/>
        <v>0</v>
      </c>
      <c r="G19" s="414">
        <f t="shared" si="6"/>
        <v>0</v>
      </c>
      <c r="H19" s="413">
        <f t="shared" si="6"/>
        <v>0</v>
      </c>
      <c r="I19" s="373">
        <f t="shared" si="6"/>
        <v>0</v>
      </c>
      <c r="J19" s="413">
        <f t="shared" si="6"/>
        <v>0</v>
      </c>
      <c r="K19" s="412">
        <f t="shared" si="6"/>
        <v>0</v>
      </c>
      <c r="L19" s="128">
        <f t="shared" si="2"/>
        <v>0</v>
      </c>
      <c r="M19" s="128"/>
      <c r="N19" s="128"/>
      <c r="O19" s="128"/>
      <c r="P19" s="128"/>
      <c r="Q19" s="128"/>
      <c r="R19" s="128"/>
      <c r="S19" s="128"/>
      <c r="T19" s="128"/>
      <c r="U19" s="128"/>
      <c r="V19" s="128"/>
      <c r="W19" s="128"/>
      <c r="X19" s="128"/>
      <c r="Y19" s="1"/>
      <c r="Z19" s="1"/>
    </row>
    <row r="20" spans="1:30" ht="16.5" customHeight="1" outlineLevel="1">
      <c r="A20" s="128"/>
      <c r="B20" s="128"/>
      <c r="C20" s="393" t="s">
        <v>319</v>
      </c>
      <c r="D20" s="389">
        <v>0</v>
      </c>
      <c r="E20" s="415"/>
      <c r="F20" s="389"/>
      <c r="G20" s="416">
        <v>0</v>
      </c>
      <c r="H20" s="417">
        <v>0</v>
      </c>
      <c r="I20" s="418">
        <v>0</v>
      </c>
      <c r="J20" s="419">
        <v>0</v>
      </c>
      <c r="K20" s="420">
        <v>0</v>
      </c>
      <c r="L20" s="128">
        <f t="shared" si="2"/>
        <v>0</v>
      </c>
      <c r="M20" s="128"/>
      <c r="N20" s="128"/>
      <c r="O20" s="128"/>
      <c r="P20" s="128"/>
      <c r="Q20" s="128"/>
      <c r="R20" s="128"/>
      <c r="S20" s="128"/>
      <c r="T20" s="128"/>
      <c r="U20" s="128"/>
      <c r="V20" s="128"/>
      <c r="W20" s="128"/>
      <c r="X20" s="128"/>
    </row>
    <row r="21" spans="1:30" ht="15" hidden="1" customHeight="1" outlineLevel="1">
      <c r="A21" s="128"/>
      <c r="B21" s="128"/>
      <c r="C21" s="393" t="s">
        <v>320</v>
      </c>
      <c r="D21" s="421"/>
      <c r="E21" s="350"/>
      <c r="F21" s="349"/>
      <c r="G21" s="422"/>
      <c r="H21" s="350"/>
      <c r="I21" s="349"/>
      <c r="J21" s="423"/>
      <c r="K21" s="349"/>
      <c r="L21" s="128">
        <f t="shared" si="2"/>
        <v>0</v>
      </c>
      <c r="M21" s="128">
        <v>288830</v>
      </c>
      <c r="N21" s="128"/>
      <c r="O21" s="128"/>
      <c r="P21" s="128"/>
      <c r="Q21" s="128"/>
      <c r="R21" s="128"/>
      <c r="S21" s="128"/>
      <c r="T21" s="128"/>
      <c r="U21" s="128"/>
      <c r="V21" s="128"/>
      <c r="W21" s="128"/>
      <c r="X21" s="128"/>
      <c r="Y21" s="1"/>
      <c r="Z21" s="1"/>
    </row>
    <row r="22" spans="1:30" ht="15.75" hidden="1" customHeight="1" outlineLevel="1">
      <c r="A22" s="128"/>
      <c r="B22" s="128"/>
      <c r="C22" s="424"/>
      <c r="D22" s="421"/>
      <c r="E22" s="350"/>
      <c r="F22" s="349"/>
      <c r="G22" s="422"/>
      <c r="H22" s="350"/>
      <c r="I22" s="349"/>
      <c r="J22" s="350"/>
      <c r="K22" s="349"/>
      <c r="L22" s="128">
        <f t="shared" si="2"/>
        <v>0</v>
      </c>
      <c r="M22" s="128"/>
      <c r="N22" s="128"/>
      <c r="O22" s="128"/>
      <c r="P22" s="128"/>
      <c r="Q22" s="128"/>
      <c r="R22" s="128"/>
      <c r="S22" s="128"/>
      <c r="T22" s="128"/>
      <c r="U22" s="128"/>
      <c r="V22" s="128"/>
      <c r="W22" s="128"/>
      <c r="X22" s="128"/>
      <c r="Y22" s="1"/>
      <c r="Z22" s="1"/>
      <c r="AA22" s="1"/>
      <c r="AB22" s="1"/>
      <c r="AC22" s="1"/>
      <c r="AD22" s="1"/>
    </row>
    <row r="23" spans="1:30" ht="9" customHeight="1" outlineLevel="1">
      <c r="A23" s="128"/>
      <c r="B23" s="128"/>
      <c r="C23" s="425"/>
      <c r="D23" s="370"/>
      <c r="E23" s="366"/>
      <c r="F23" s="355"/>
      <c r="G23" s="426"/>
      <c r="H23" s="366"/>
      <c r="I23" s="355"/>
      <c r="J23" s="191"/>
      <c r="K23" s="353"/>
      <c r="L23" s="128">
        <f t="shared" si="2"/>
        <v>0</v>
      </c>
      <c r="M23" s="128"/>
      <c r="N23" s="128"/>
      <c r="O23" s="128"/>
      <c r="P23" s="128"/>
      <c r="Q23" s="128"/>
      <c r="R23" s="128"/>
      <c r="S23" s="128"/>
      <c r="T23" s="128"/>
      <c r="U23" s="128"/>
      <c r="V23" s="128"/>
      <c r="W23" s="128"/>
      <c r="X23" s="128"/>
      <c r="Y23" s="1"/>
      <c r="Z23" s="1"/>
      <c r="AA23" s="1"/>
      <c r="AB23" s="1"/>
      <c r="AC23" s="1"/>
      <c r="AD23" s="1"/>
    </row>
    <row r="24" spans="1:30" ht="20.25" customHeight="1" outlineLevel="1">
      <c r="A24" s="128"/>
      <c r="B24" s="128"/>
      <c r="C24" s="381" t="s">
        <v>321</v>
      </c>
      <c r="D24" s="361">
        <f>SUM(D20:D21)</f>
        <v>0</v>
      </c>
      <c r="E24" s="363">
        <f t="shared" ref="E24:K24" si="7">SUM(E20:E23)</f>
        <v>0</v>
      </c>
      <c r="F24" s="361">
        <f t="shared" si="7"/>
        <v>0</v>
      </c>
      <c r="G24" s="364">
        <f t="shared" si="7"/>
        <v>0</v>
      </c>
      <c r="H24" s="363">
        <f t="shared" si="7"/>
        <v>0</v>
      </c>
      <c r="I24" s="361">
        <f t="shared" si="7"/>
        <v>0</v>
      </c>
      <c r="J24" s="363">
        <f t="shared" si="7"/>
        <v>0</v>
      </c>
      <c r="K24" s="361">
        <f t="shared" si="7"/>
        <v>0</v>
      </c>
      <c r="L24" s="128">
        <f t="shared" ref="L24:L28" si="8">+J24/10</f>
        <v>0</v>
      </c>
      <c r="M24" s="128"/>
      <c r="N24" s="128"/>
      <c r="O24" s="128"/>
      <c r="P24" s="128"/>
      <c r="Q24" s="128"/>
      <c r="R24" s="128"/>
      <c r="S24" s="128"/>
      <c r="T24" s="128"/>
      <c r="U24" s="128"/>
      <c r="V24" s="128"/>
      <c r="W24" s="128"/>
      <c r="X24" s="128"/>
    </row>
    <row r="25" spans="1:30" ht="15.75" hidden="1" customHeight="1" outlineLevel="1">
      <c r="A25" s="128"/>
      <c r="B25" s="128"/>
      <c r="C25" s="424" t="s">
        <v>322</v>
      </c>
      <c r="D25" s="349"/>
      <c r="E25" s="350"/>
      <c r="F25" s="423"/>
      <c r="G25" s="420"/>
      <c r="H25" s="427"/>
      <c r="I25" s="428"/>
      <c r="J25" s="429"/>
      <c r="K25" s="429"/>
      <c r="L25" s="128">
        <f t="shared" si="8"/>
        <v>0</v>
      </c>
      <c r="M25" s="128"/>
      <c r="N25" s="128"/>
      <c r="O25" s="128"/>
      <c r="P25" s="128"/>
      <c r="Q25" s="128"/>
      <c r="R25" s="128"/>
      <c r="S25" s="128"/>
      <c r="T25" s="128"/>
      <c r="U25" s="128"/>
      <c r="V25" s="128"/>
      <c r="W25" s="128"/>
      <c r="X25" s="128"/>
    </row>
    <row r="26" spans="1:30" ht="14.25" hidden="1" customHeight="1" outlineLevel="1">
      <c r="A26" s="128"/>
      <c r="B26" s="128"/>
      <c r="C26" s="393" t="s">
        <v>323</v>
      </c>
      <c r="D26" s="389">
        <v>0</v>
      </c>
      <c r="E26" s="415"/>
      <c r="F26" s="367"/>
      <c r="G26" s="389"/>
      <c r="H26" s="419"/>
      <c r="I26" s="430"/>
      <c r="J26" s="404"/>
      <c r="K26" s="404"/>
      <c r="L26" s="128">
        <f t="shared" si="8"/>
        <v>0</v>
      </c>
      <c r="M26" s="128"/>
      <c r="N26" s="128"/>
      <c r="O26" s="128"/>
      <c r="P26" s="128"/>
      <c r="Q26" s="128"/>
      <c r="R26" s="128"/>
      <c r="S26" s="128"/>
      <c r="T26" s="128"/>
      <c r="U26" s="128"/>
      <c r="V26" s="128"/>
      <c r="W26" s="128"/>
      <c r="X26" s="128"/>
      <c r="Y26" s="1"/>
      <c r="Z26" s="1"/>
    </row>
    <row r="27" spans="1:30" ht="14.25" hidden="1" customHeight="1" outlineLevel="1">
      <c r="A27" s="128"/>
      <c r="B27" s="128"/>
      <c r="C27" s="393" t="s">
        <v>324</v>
      </c>
      <c r="D27" s="389"/>
      <c r="E27" s="415"/>
      <c r="F27" s="389"/>
      <c r="G27" s="420"/>
      <c r="H27" s="419"/>
      <c r="I27" s="430"/>
      <c r="J27" s="404"/>
      <c r="K27" s="404"/>
      <c r="L27" s="128">
        <f t="shared" si="8"/>
        <v>0</v>
      </c>
      <c r="M27" s="128"/>
      <c r="N27" s="128"/>
      <c r="O27" s="128"/>
      <c r="P27" s="128"/>
      <c r="Q27" s="128"/>
      <c r="R27" s="128"/>
      <c r="S27" s="128"/>
      <c r="T27" s="128"/>
      <c r="U27" s="128"/>
      <c r="V27" s="128"/>
      <c r="W27" s="128"/>
      <c r="X27" s="128"/>
      <c r="Y27" s="1"/>
      <c r="Z27" s="1"/>
    </row>
    <row r="28" spans="1:30" ht="17.25" hidden="1" customHeight="1" outlineLevel="1">
      <c r="A28" s="128"/>
      <c r="B28" s="128"/>
      <c r="C28" s="354"/>
      <c r="D28" s="389"/>
      <c r="E28" s="415"/>
      <c r="F28" s="431"/>
      <c r="G28" s="389"/>
      <c r="H28" s="419"/>
      <c r="I28" s="430"/>
      <c r="J28" s="404"/>
      <c r="K28" s="404"/>
      <c r="L28" s="128">
        <f t="shared" si="8"/>
        <v>0</v>
      </c>
      <c r="M28" s="128"/>
      <c r="N28" s="128"/>
      <c r="O28" s="128"/>
      <c r="P28" s="128"/>
      <c r="Q28" s="128"/>
      <c r="R28" s="128"/>
      <c r="S28" s="128"/>
      <c r="T28" s="128"/>
      <c r="U28" s="128"/>
      <c r="V28" s="128"/>
      <c r="W28" s="128"/>
      <c r="X28" s="128"/>
      <c r="Y28" s="1"/>
      <c r="Z28" s="1"/>
    </row>
    <row r="29" spans="1:30" ht="17.25" customHeight="1" outlineLevel="1">
      <c r="A29" s="128"/>
      <c r="B29" s="128"/>
      <c r="C29" s="432" t="s">
        <v>325</v>
      </c>
      <c r="D29" s="433">
        <f t="shared" ref="D29:H29" si="9">SUM(D25:D28)</f>
        <v>0</v>
      </c>
      <c r="E29" s="434">
        <f t="shared" si="9"/>
        <v>0</v>
      </c>
      <c r="F29" s="435">
        <f t="shared" si="9"/>
        <v>0</v>
      </c>
      <c r="G29" s="433">
        <f t="shared" si="9"/>
        <v>0</v>
      </c>
      <c r="H29" s="434">
        <f t="shared" si="9"/>
        <v>0</v>
      </c>
      <c r="I29" s="436">
        <f>SUM(I25:I27)</f>
        <v>0</v>
      </c>
      <c r="J29" s="437">
        <f>SUM(J25:J28)</f>
        <v>0</v>
      </c>
      <c r="K29" s="437">
        <f>SUM(K25:K27)</f>
        <v>0</v>
      </c>
      <c r="L29" s="366"/>
      <c r="M29" s="128"/>
      <c r="N29" s="128"/>
      <c r="O29" s="128"/>
      <c r="P29" s="128"/>
      <c r="Q29" s="128"/>
      <c r="R29" s="128"/>
      <c r="S29" s="128"/>
      <c r="T29" s="128"/>
      <c r="U29" s="128"/>
      <c r="V29" s="128"/>
      <c r="W29" s="128"/>
      <c r="X29" s="128"/>
      <c r="Y29" s="1"/>
      <c r="Z29" s="1"/>
    </row>
    <row r="30" spans="1:30" ht="22.5" customHeight="1">
      <c r="A30" s="51"/>
      <c r="B30" s="51"/>
      <c r="C30" s="438" t="s">
        <v>326</v>
      </c>
      <c r="D30" s="439">
        <f t="shared" ref="D30:K30" si="10">D19+D24-D29</f>
        <v>0</v>
      </c>
      <c r="E30" s="440">
        <f t="shared" si="10"/>
        <v>0</v>
      </c>
      <c r="F30" s="440">
        <f t="shared" si="10"/>
        <v>0</v>
      </c>
      <c r="G30" s="439">
        <f t="shared" si="10"/>
        <v>0</v>
      </c>
      <c r="H30" s="441">
        <f t="shared" si="10"/>
        <v>0</v>
      </c>
      <c r="I30" s="439">
        <f t="shared" si="10"/>
        <v>0</v>
      </c>
      <c r="J30" s="442">
        <f t="shared" si="10"/>
        <v>0</v>
      </c>
      <c r="K30" s="442">
        <f t="shared" si="10"/>
        <v>0</v>
      </c>
      <c r="L30" s="128"/>
      <c r="M30" s="128"/>
      <c r="N30" s="51"/>
      <c r="O30" s="51"/>
      <c r="P30" s="51"/>
      <c r="Q30" s="51"/>
      <c r="R30" s="51"/>
      <c r="S30" s="51"/>
      <c r="T30" s="51"/>
      <c r="U30" s="51"/>
      <c r="V30" s="51"/>
      <c r="W30" s="51"/>
      <c r="X30" s="51"/>
    </row>
    <row r="31" spans="1:30" ht="14.25" customHeight="1">
      <c r="A31" s="128"/>
      <c r="B31" s="128"/>
      <c r="C31" s="128"/>
      <c r="D31" s="443"/>
      <c r="E31" s="444"/>
      <c r="F31" s="444"/>
      <c r="G31" s="444"/>
      <c r="H31" s="445"/>
      <c r="I31" s="445"/>
      <c r="J31" s="128"/>
      <c r="K31" s="128"/>
      <c r="L31" s="128"/>
      <c r="M31" s="128"/>
      <c r="N31" s="128"/>
      <c r="O31" s="128"/>
      <c r="P31" s="128"/>
      <c r="Q31" s="128"/>
      <c r="R31" s="128"/>
      <c r="S31" s="128"/>
      <c r="T31" s="128"/>
      <c r="U31" s="128"/>
      <c r="V31" s="128"/>
      <c r="W31" s="128"/>
      <c r="X31" s="128"/>
    </row>
    <row r="32" spans="1:30" ht="13.5" hidden="1" customHeight="1">
      <c r="A32" s="128"/>
      <c r="B32" s="128"/>
      <c r="C32" s="128"/>
      <c r="D32" s="443"/>
      <c r="E32" s="446"/>
      <c r="F32" s="446"/>
      <c r="G32" s="446"/>
      <c r="H32" s="443"/>
      <c r="I32" s="443"/>
      <c r="J32" s="128"/>
      <c r="K32" s="128"/>
      <c r="L32" s="128"/>
      <c r="M32" s="128"/>
      <c r="N32" s="128"/>
      <c r="O32" s="128"/>
      <c r="P32" s="128"/>
      <c r="Q32" s="128"/>
      <c r="R32" s="128"/>
      <c r="S32" s="128"/>
      <c r="T32" s="128"/>
      <c r="U32" s="128"/>
      <c r="V32" s="128"/>
      <c r="W32" s="128"/>
      <c r="X32" s="128"/>
    </row>
    <row r="33" spans="1:30" ht="13.5" hidden="1" customHeight="1">
      <c r="A33" s="443"/>
      <c r="B33" s="443"/>
      <c r="C33" s="447" t="e">
        <f t="shared" ref="C33:C36" si="11">#REF!</f>
        <v>#REF!</v>
      </c>
      <c r="D33" s="448">
        <f t="shared" ref="D33:E33" si="12">+D5</f>
        <v>2019</v>
      </c>
      <c r="E33" s="449">
        <f t="shared" si="12"/>
        <v>2020</v>
      </c>
      <c r="F33" s="449"/>
      <c r="G33" s="449">
        <f>+G5</f>
        <v>2022</v>
      </c>
      <c r="H33" s="450"/>
      <c r="I33" s="450"/>
      <c r="J33" s="443"/>
      <c r="K33" s="443"/>
      <c r="L33" s="443"/>
      <c r="M33" s="443"/>
      <c r="N33" s="443"/>
      <c r="O33" s="443"/>
      <c r="P33" s="443"/>
      <c r="Q33" s="443"/>
      <c r="R33" s="443"/>
      <c r="S33" s="443"/>
      <c r="T33" s="443"/>
      <c r="U33" s="443"/>
      <c r="V33" s="443"/>
      <c r="W33" s="443"/>
      <c r="X33" s="443"/>
    </row>
    <row r="34" spans="1:30" ht="13.5" hidden="1" customHeight="1">
      <c r="A34" s="128"/>
      <c r="B34" s="128"/>
      <c r="C34" s="451" t="e">
        <f t="shared" si="11"/>
        <v>#REF!</v>
      </c>
      <c r="D34" s="452" t="e">
        <f t="shared" ref="D34:E34" si="13">#REF!</f>
        <v>#REF!</v>
      </c>
      <c r="E34" s="453" t="e">
        <f t="shared" si="13"/>
        <v>#REF!</v>
      </c>
      <c r="F34" s="453"/>
      <c r="G34" s="453" t="e">
        <f t="shared" ref="G34:G36" si="14">#REF!</f>
        <v>#REF!</v>
      </c>
      <c r="H34" s="454"/>
      <c r="I34" s="454"/>
      <c r="J34" s="128"/>
      <c r="K34" s="128"/>
      <c r="L34" s="128"/>
      <c r="M34" s="128"/>
      <c r="N34" s="128"/>
      <c r="O34" s="128"/>
      <c r="P34" s="128"/>
      <c r="Q34" s="128"/>
      <c r="R34" s="128"/>
      <c r="S34" s="128"/>
      <c r="T34" s="128"/>
      <c r="U34" s="128"/>
      <c r="V34" s="128"/>
      <c r="W34" s="128"/>
      <c r="X34" s="128"/>
    </row>
    <row r="35" spans="1:30" ht="13.5" hidden="1" customHeight="1">
      <c r="A35" s="128"/>
      <c r="B35" s="128"/>
      <c r="C35" s="455" t="e">
        <f t="shared" si="11"/>
        <v>#REF!</v>
      </c>
      <c r="D35" s="456" t="e">
        <f t="shared" ref="D35:E35" si="15">#REF!</f>
        <v>#REF!</v>
      </c>
      <c r="E35" s="457" t="e">
        <f t="shared" si="15"/>
        <v>#REF!</v>
      </c>
      <c r="F35" s="457"/>
      <c r="G35" s="457" t="e">
        <f t="shared" si="14"/>
        <v>#REF!</v>
      </c>
      <c r="H35" s="458"/>
      <c r="I35" s="458"/>
      <c r="J35" s="128"/>
      <c r="K35" s="128"/>
      <c r="L35" s="128"/>
      <c r="M35" s="128"/>
      <c r="N35" s="128"/>
      <c r="O35" s="128"/>
      <c r="P35" s="128"/>
      <c r="Q35" s="128"/>
      <c r="R35" s="128"/>
      <c r="S35" s="128"/>
      <c r="T35" s="128"/>
      <c r="U35" s="128"/>
      <c r="V35" s="128"/>
      <c r="W35" s="128"/>
      <c r="X35" s="128"/>
    </row>
    <row r="36" spans="1:30" ht="14.25" hidden="1" customHeight="1">
      <c r="A36" s="128"/>
      <c r="B36" s="128"/>
      <c r="C36" s="459" t="e">
        <f t="shared" si="11"/>
        <v>#REF!</v>
      </c>
      <c r="D36" s="460" t="e">
        <f t="shared" ref="D36:E36" si="16">#REF!</f>
        <v>#REF!</v>
      </c>
      <c r="E36" s="461" t="e">
        <f t="shared" si="16"/>
        <v>#REF!</v>
      </c>
      <c r="F36" s="461"/>
      <c r="G36" s="461" t="e">
        <f t="shared" si="14"/>
        <v>#REF!</v>
      </c>
      <c r="H36" s="458"/>
      <c r="I36" s="458"/>
      <c r="J36" s="128"/>
      <c r="K36" s="128"/>
      <c r="L36" s="128"/>
      <c r="M36" s="128"/>
      <c r="N36" s="128"/>
      <c r="O36" s="128"/>
      <c r="P36" s="128"/>
      <c r="Q36" s="128"/>
      <c r="R36" s="128"/>
      <c r="S36" s="128"/>
      <c r="T36" s="128"/>
      <c r="U36" s="128"/>
      <c r="V36" s="128"/>
      <c r="W36" s="128"/>
      <c r="X36" s="128"/>
    </row>
    <row r="37" spans="1:30" ht="14.25" hidden="1" customHeight="1">
      <c r="A37" s="128"/>
      <c r="B37" s="128"/>
      <c r="C37" s="128"/>
      <c r="D37" s="443"/>
      <c r="E37" s="446"/>
      <c r="F37" s="446"/>
      <c r="G37" s="446"/>
      <c r="H37" s="443"/>
      <c r="I37" s="443"/>
      <c r="J37" s="128"/>
      <c r="K37" s="128"/>
      <c r="L37" s="128"/>
      <c r="M37" s="128"/>
      <c r="N37" s="128"/>
      <c r="O37" s="128"/>
      <c r="P37" s="128"/>
      <c r="Q37" s="128"/>
      <c r="R37" s="128"/>
      <c r="S37" s="128"/>
      <c r="T37" s="128"/>
      <c r="U37" s="128"/>
      <c r="V37" s="128"/>
      <c r="W37" s="128"/>
      <c r="X37" s="128"/>
    </row>
    <row r="38" spans="1:30" ht="14.25" customHeight="1">
      <c r="A38" s="128"/>
      <c r="B38" s="128"/>
      <c r="C38" s="128"/>
      <c r="D38" s="443"/>
      <c r="E38" s="446"/>
      <c r="F38" s="446"/>
      <c r="G38" s="446"/>
      <c r="H38" s="443"/>
      <c r="I38" s="443"/>
      <c r="J38" s="128"/>
      <c r="K38" s="128"/>
      <c r="L38" s="128"/>
      <c r="M38" s="128"/>
      <c r="N38" s="128"/>
      <c r="O38" s="128"/>
      <c r="P38" s="128"/>
      <c r="Q38" s="128"/>
      <c r="R38" s="128"/>
      <c r="S38" s="128"/>
      <c r="T38" s="128"/>
      <c r="U38" s="128"/>
      <c r="V38" s="128"/>
      <c r="W38" s="128"/>
      <c r="X38" s="128"/>
    </row>
    <row r="39" spans="1:30" ht="21" customHeight="1">
      <c r="A39" s="128"/>
      <c r="B39" s="128"/>
      <c r="C39" s="1402" t="str">
        <f>+C2</f>
        <v>GRUPO OVANDO CONTRUCCIÓN- IMOBILIARIA- TRANSPORTES S.A. de C.V.</v>
      </c>
      <c r="D39" s="1371"/>
      <c r="E39" s="1371"/>
      <c r="F39" s="1371"/>
      <c r="G39" s="1371"/>
      <c r="H39" s="1371"/>
      <c r="I39" s="1371"/>
      <c r="J39" s="462"/>
      <c r="K39" s="462"/>
      <c r="L39" s="128"/>
      <c r="M39" s="463"/>
      <c r="N39" s="128"/>
      <c r="O39" s="128"/>
      <c r="P39" s="128"/>
      <c r="Q39" s="128"/>
      <c r="R39" s="128"/>
      <c r="S39" s="128"/>
      <c r="T39" s="128"/>
      <c r="U39" s="128"/>
      <c r="V39" s="128"/>
      <c r="W39" s="128"/>
      <c r="X39" s="128"/>
    </row>
    <row r="40" spans="1:30" ht="12" customHeight="1">
      <c r="A40" s="128"/>
      <c r="B40" s="128"/>
      <c r="C40" s="1403"/>
      <c r="D40" s="1334"/>
      <c r="E40" s="1334"/>
      <c r="F40" s="1334"/>
      <c r="G40" s="1334"/>
      <c r="H40" s="1334"/>
      <c r="I40" s="1334"/>
      <c r="J40" s="128"/>
      <c r="K40" s="128"/>
      <c r="L40" s="128"/>
      <c r="M40" s="128"/>
      <c r="N40" s="128"/>
      <c r="O40" s="128"/>
      <c r="P40" s="128"/>
      <c r="Q40" s="128"/>
      <c r="R40" s="128"/>
      <c r="S40" s="128"/>
      <c r="T40" s="128"/>
      <c r="U40" s="128"/>
      <c r="V40" s="128"/>
      <c r="W40" s="128"/>
      <c r="X40" s="128"/>
    </row>
    <row r="41" spans="1:30" ht="26.25" customHeight="1">
      <c r="A41" s="128"/>
      <c r="B41" s="128"/>
      <c r="C41" s="342"/>
      <c r="D41" s="450"/>
      <c r="E41" s="1404"/>
      <c r="F41" s="1334"/>
      <c r="G41" s="1334"/>
      <c r="H41" s="1334"/>
      <c r="I41" s="450"/>
      <c r="J41" s="128"/>
      <c r="K41" s="128"/>
      <c r="L41" s="128"/>
      <c r="M41" s="128"/>
      <c r="N41" s="128"/>
      <c r="O41" s="128"/>
      <c r="P41" s="128"/>
      <c r="Q41" s="128"/>
      <c r="R41" s="128"/>
      <c r="S41" s="128"/>
      <c r="T41" s="128"/>
      <c r="U41" s="128"/>
      <c r="V41" s="128"/>
      <c r="W41" s="128"/>
      <c r="X41" s="128"/>
    </row>
    <row r="42" spans="1:30" ht="14.25" customHeight="1">
      <c r="A42" s="128"/>
      <c r="B42" s="128"/>
      <c r="C42" s="342"/>
      <c r="D42" s="464">
        <v>2019</v>
      </c>
      <c r="E42" s="465">
        <f>+D42+1</f>
        <v>2020</v>
      </c>
      <c r="F42" s="466">
        <f t="shared" ref="F42:H42" si="17">E42+1</f>
        <v>2021</v>
      </c>
      <c r="G42" s="466">
        <f t="shared" si="17"/>
        <v>2022</v>
      </c>
      <c r="H42" s="466">
        <f t="shared" si="17"/>
        <v>2023</v>
      </c>
      <c r="I42" s="466">
        <v>2024</v>
      </c>
      <c r="J42" s="466">
        <f>+I42+1</f>
        <v>2025</v>
      </c>
      <c r="K42" s="128"/>
      <c r="L42" s="128"/>
      <c r="M42" s="128"/>
      <c r="N42" s="128"/>
      <c r="O42" s="128"/>
      <c r="P42" s="128"/>
      <c r="Q42" s="128"/>
      <c r="R42" s="128"/>
      <c r="S42" s="128"/>
      <c r="T42" s="128"/>
      <c r="U42" s="128"/>
      <c r="V42" s="128"/>
      <c r="W42" s="128"/>
      <c r="X42" s="128"/>
    </row>
    <row r="43" spans="1:30" ht="24.75" customHeight="1">
      <c r="A43" s="128"/>
      <c r="B43" s="128"/>
      <c r="C43" s="467" t="s">
        <v>327</v>
      </c>
      <c r="D43" s="464"/>
      <c r="E43" s="468"/>
      <c r="F43" s="469"/>
      <c r="G43" s="468"/>
      <c r="H43" s="365"/>
      <c r="I43" s="470"/>
      <c r="J43" s="470"/>
      <c r="K43" s="128"/>
      <c r="L43" s="128"/>
      <c r="M43" s="128"/>
      <c r="N43" s="128"/>
      <c r="O43" s="128"/>
      <c r="P43" s="128"/>
      <c r="Q43" s="128"/>
      <c r="R43" s="128"/>
      <c r="S43" s="128"/>
      <c r="T43" s="128"/>
      <c r="U43" s="128"/>
      <c r="V43" s="128"/>
      <c r="W43" s="128"/>
      <c r="X43" s="128"/>
    </row>
    <row r="44" spans="1:30" ht="14.25" customHeight="1">
      <c r="A44" s="128"/>
      <c r="B44" s="128"/>
      <c r="C44" s="372" t="s">
        <v>328</v>
      </c>
      <c r="D44" s="362">
        <f t="shared" ref="D44:E44" si="18">SUM(D45:D63)</f>
        <v>0</v>
      </c>
      <c r="E44" s="361">
        <f t="shared" si="18"/>
        <v>6046273</v>
      </c>
      <c r="F44" s="363"/>
      <c r="G44" s="361"/>
      <c r="H44" s="361"/>
      <c r="I44" s="361"/>
      <c r="J44" s="361"/>
      <c r="K44" s="128"/>
      <c r="L44" s="128"/>
      <c r="M44" s="128"/>
      <c r="N44" s="128"/>
      <c r="O44" s="128"/>
      <c r="P44" s="128"/>
      <c r="Q44" s="128"/>
      <c r="R44" s="128"/>
      <c r="S44" s="128"/>
      <c r="T44" s="128"/>
      <c r="U44" s="128"/>
      <c r="V44" s="128"/>
      <c r="W44" s="128"/>
      <c r="X44" s="128"/>
    </row>
    <row r="45" spans="1:30" ht="18.75" customHeight="1">
      <c r="A45" s="128"/>
      <c r="B45" s="128"/>
      <c r="C45" s="471" t="s">
        <v>329</v>
      </c>
      <c r="D45" s="472"/>
      <c r="E45" s="473"/>
      <c r="F45" s="474"/>
      <c r="G45" s="473"/>
      <c r="H45" s="473"/>
      <c r="I45" s="473"/>
      <c r="J45" s="473"/>
      <c r="K45" s="128"/>
      <c r="L45" s="462"/>
      <c r="M45" s="128"/>
      <c r="N45" s="128"/>
      <c r="O45" s="128"/>
      <c r="P45" s="128"/>
      <c r="Q45" s="128"/>
      <c r="R45" s="128"/>
      <c r="S45" s="128"/>
      <c r="T45" s="128"/>
      <c r="U45" s="128"/>
      <c r="V45" s="128"/>
      <c r="W45" s="128"/>
      <c r="X45" s="128"/>
    </row>
    <row r="46" spans="1:30" ht="18" customHeight="1">
      <c r="A46" s="128"/>
      <c r="B46" s="128"/>
      <c r="C46" s="475" t="s">
        <v>330</v>
      </c>
      <c r="D46" s="472"/>
      <c r="E46" s="473"/>
      <c r="F46" s="474"/>
      <c r="G46" s="473"/>
      <c r="H46" s="473"/>
      <c r="I46" s="473"/>
      <c r="J46" s="473"/>
      <c r="K46" s="128"/>
      <c r="L46" s="128"/>
      <c r="M46" s="128"/>
      <c r="N46" s="128"/>
      <c r="O46" s="128"/>
      <c r="P46" s="128"/>
      <c r="Q46" s="128"/>
      <c r="R46" s="128"/>
      <c r="S46" s="128"/>
      <c r="T46" s="128"/>
      <c r="U46" s="128"/>
      <c r="V46" s="128"/>
      <c r="W46" s="128"/>
      <c r="X46" s="128"/>
      <c r="Y46" s="1"/>
      <c r="Z46" s="1"/>
      <c r="AA46" s="1"/>
      <c r="AB46" s="1"/>
      <c r="AC46" s="1"/>
      <c r="AD46" s="1"/>
    </row>
    <row r="47" spans="1:30" ht="18" customHeight="1">
      <c r="A47" s="128"/>
      <c r="B47" s="128"/>
      <c r="C47" s="475" t="s">
        <v>331</v>
      </c>
      <c r="D47" s="472"/>
      <c r="E47" s="473"/>
      <c r="F47" s="474"/>
      <c r="G47" s="473"/>
      <c r="H47" s="473"/>
      <c r="I47" s="473"/>
      <c r="J47" s="473"/>
      <c r="K47" s="128"/>
      <c r="L47" s="128"/>
      <c r="M47" s="128"/>
      <c r="N47" s="128"/>
      <c r="O47" s="128"/>
      <c r="P47" s="128"/>
      <c r="Q47" s="128"/>
      <c r="R47" s="128"/>
      <c r="S47" s="128"/>
      <c r="T47" s="128"/>
      <c r="U47" s="128"/>
      <c r="V47" s="128"/>
      <c r="W47" s="128"/>
      <c r="X47" s="128"/>
    </row>
    <row r="48" spans="1:30" ht="17.25" customHeight="1">
      <c r="A48" s="128"/>
      <c r="B48" s="128"/>
      <c r="C48" s="475" t="s">
        <v>332</v>
      </c>
      <c r="D48" s="472"/>
      <c r="E48" s="473"/>
      <c r="F48" s="474"/>
      <c r="G48" s="473">
        <v>0</v>
      </c>
      <c r="H48" s="473"/>
      <c r="I48" s="473"/>
      <c r="J48" s="473"/>
      <c r="K48" s="128"/>
      <c r="L48" s="128"/>
      <c r="M48" s="128"/>
      <c r="N48" s="128"/>
      <c r="O48" s="128"/>
      <c r="P48" s="128"/>
      <c r="Q48" s="128"/>
      <c r="R48" s="128"/>
      <c r="S48" s="128"/>
      <c r="T48" s="128"/>
      <c r="U48" s="128"/>
      <c r="V48" s="128"/>
      <c r="W48" s="128"/>
      <c r="X48" s="128"/>
      <c r="Y48" s="1"/>
      <c r="Z48" s="1"/>
      <c r="AA48" s="1"/>
      <c r="AB48" s="1"/>
      <c r="AC48" s="1"/>
      <c r="AD48" s="1"/>
    </row>
    <row r="49" spans="1:30" ht="17.25" customHeight="1">
      <c r="A49" s="128"/>
      <c r="B49" s="128"/>
      <c r="C49" s="475" t="s">
        <v>333</v>
      </c>
      <c r="D49" s="472"/>
      <c r="E49" s="473"/>
      <c r="F49" s="474">
        <v>0</v>
      </c>
      <c r="G49" s="473"/>
      <c r="H49" s="473">
        <v>0</v>
      </c>
      <c r="I49" s="473">
        <v>0</v>
      </c>
      <c r="J49" s="473">
        <v>0</v>
      </c>
      <c r="K49" s="128"/>
      <c r="L49" s="128"/>
      <c r="M49" s="128"/>
      <c r="N49" s="128"/>
      <c r="O49" s="128"/>
      <c r="P49" s="128"/>
      <c r="Q49" s="128"/>
      <c r="R49" s="128"/>
      <c r="S49" s="128"/>
      <c r="T49" s="128"/>
      <c r="U49" s="128"/>
      <c r="V49" s="128"/>
      <c r="W49" s="128"/>
      <c r="X49" s="128"/>
      <c r="Y49" s="1"/>
      <c r="Z49" s="1"/>
    </row>
    <row r="50" spans="1:30" ht="16.5" customHeight="1">
      <c r="A50" s="128"/>
      <c r="B50" s="128"/>
      <c r="C50" s="475" t="s">
        <v>334</v>
      </c>
      <c r="D50" s="472"/>
      <c r="E50" s="473"/>
      <c r="F50" s="474">
        <v>0</v>
      </c>
      <c r="G50" s="473"/>
      <c r="H50" s="473">
        <v>0</v>
      </c>
      <c r="I50" s="473">
        <v>0</v>
      </c>
      <c r="J50" s="473">
        <v>0</v>
      </c>
      <c r="K50" s="128"/>
      <c r="L50" s="128"/>
      <c r="M50" s="128"/>
      <c r="N50" s="128"/>
      <c r="O50" s="128"/>
      <c r="P50" s="128"/>
      <c r="Q50" s="128"/>
      <c r="R50" s="128"/>
      <c r="S50" s="128"/>
      <c r="T50" s="128"/>
      <c r="U50" s="128"/>
      <c r="V50" s="128"/>
      <c r="W50" s="128"/>
      <c r="X50" s="128"/>
      <c r="Y50" s="1"/>
      <c r="Z50" s="1"/>
      <c r="AA50" s="1"/>
      <c r="AB50" s="1"/>
      <c r="AC50" s="1"/>
      <c r="AD50" s="1"/>
    </row>
    <row r="51" spans="1:30" ht="15" customHeight="1">
      <c r="A51" s="128"/>
      <c r="B51" s="128"/>
      <c r="C51" s="476"/>
      <c r="D51" s="472"/>
      <c r="E51" s="473"/>
      <c r="F51" s="474"/>
      <c r="G51" s="473"/>
      <c r="H51" s="473"/>
      <c r="I51" s="473"/>
      <c r="J51" s="473"/>
      <c r="K51" s="128"/>
      <c r="L51" s="128"/>
      <c r="M51" s="128"/>
      <c r="N51" s="128"/>
      <c r="O51" s="128"/>
      <c r="P51" s="128"/>
      <c r="Q51" s="128"/>
      <c r="R51" s="128"/>
      <c r="S51" s="128"/>
      <c r="T51" s="128"/>
      <c r="U51" s="128"/>
      <c r="V51" s="128"/>
      <c r="W51" s="128"/>
      <c r="X51" s="128"/>
      <c r="Y51" s="1"/>
      <c r="Z51" s="1"/>
      <c r="AA51" s="1"/>
      <c r="AB51" s="1"/>
      <c r="AC51" s="1"/>
      <c r="AD51" s="1"/>
    </row>
    <row r="52" spans="1:30" ht="17.25" hidden="1" customHeight="1">
      <c r="A52" s="128"/>
      <c r="B52" s="128"/>
      <c r="C52" s="477"/>
      <c r="D52" s="472"/>
      <c r="E52" s="473">
        <v>6046273</v>
      </c>
      <c r="F52" s="474"/>
      <c r="G52" s="473"/>
      <c r="H52" s="473"/>
      <c r="I52" s="473"/>
      <c r="J52" s="473"/>
      <c r="K52" s="128"/>
      <c r="L52" s="128"/>
      <c r="M52" s="128"/>
      <c r="N52" s="128"/>
      <c r="O52" s="128"/>
      <c r="P52" s="128"/>
      <c r="Q52" s="128"/>
      <c r="R52" s="128"/>
      <c r="S52" s="128"/>
      <c r="T52" s="128"/>
      <c r="U52" s="128"/>
      <c r="V52" s="128"/>
      <c r="W52" s="128"/>
      <c r="X52" s="128"/>
    </row>
    <row r="53" spans="1:30" ht="14.25" hidden="1" customHeight="1">
      <c r="A53" s="128"/>
      <c r="B53" s="128"/>
      <c r="C53" s="475"/>
      <c r="D53" s="472"/>
      <c r="E53" s="473"/>
      <c r="F53" s="474"/>
      <c r="G53" s="473"/>
      <c r="H53" s="473"/>
      <c r="I53" s="473"/>
      <c r="J53" s="473"/>
      <c r="K53" s="128"/>
      <c r="L53" s="128"/>
      <c r="M53" s="128"/>
      <c r="N53" s="128"/>
      <c r="O53" s="128"/>
      <c r="P53" s="128"/>
      <c r="Q53" s="128"/>
      <c r="R53" s="128"/>
      <c r="S53" s="128"/>
      <c r="T53" s="128"/>
      <c r="U53" s="128"/>
      <c r="V53" s="128"/>
      <c r="W53" s="128"/>
      <c r="X53" s="128"/>
      <c r="Y53" s="1"/>
      <c r="Z53" s="1"/>
    </row>
    <row r="54" spans="1:30" ht="14.25" hidden="1" customHeight="1">
      <c r="A54" s="128"/>
      <c r="B54" s="128"/>
      <c r="C54" s="475"/>
      <c r="D54" s="472"/>
      <c r="E54" s="473"/>
      <c r="F54" s="474"/>
      <c r="G54" s="473"/>
      <c r="H54" s="473"/>
      <c r="I54" s="473"/>
      <c r="J54" s="383"/>
      <c r="K54" s="128"/>
      <c r="L54" s="128"/>
      <c r="M54" s="128"/>
      <c r="N54" s="128"/>
      <c r="O54" s="128"/>
      <c r="P54" s="128"/>
      <c r="Q54" s="128"/>
      <c r="R54" s="128"/>
      <c r="S54" s="128"/>
      <c r="T54" s="128"/>
      <c r="U54" s="128"/>
      <c r="V54" s="128"/>
      <c r="W54" s="128"/>
      <c r="X54" s="128"/>
      <c r="Y54" s="1"/>
      <c r="Z54" s="1"/>
    </row>
    <row r="55" spans="1:30" ht="14.25" hidden="1" customHeight="1">
      <c r="A55" s="128"/>
      <c r="B55" s="128"/>
      <c r="C55" s="475"/>
      <c r="D55" s="472"/>
      <c r="E55" s="473"/>
      <c r="F55" s="474"/>
      <c r="G55" s="473"/>
      <c r="H55" s="473"/>
      <c r="I55" s="394"/>
      <c r="J55" s="394"/>
      <c r="K55" s="128"/>
      <c r="L55" s="128"/>
      <c r="M55" s="128"/>
      <c r="N55" s="128"/>
      <c r="O55" s="128"/>
      <c r="P55" s="128"/>
      <c r="Q55" s="128"/>
      <c r="R55" s="128"/>
      <c r="S55" s="128"/>
      <c r="T55" s="128"/>
      <c r="U55" s="128"/>
      <c r="V55" s="128"/>
      <c r="W55" s="128"/>
      <c r="X55" s="128"/>
      <c r="Y55" s="1"/>
      <c r="Z55" s="1"/>
    </row>
    <row r="56" spans="1:30" ht="14.25" hidden="1" customHeight="1">
      <c r="A56" s="128"/>
      <c r="B56" s="128"/>
      <c r="C56" s="475"/>
      <c r="D56" s="472"/>
      <c r="E56" s="473"/>
      <c r="F56" s="474"/>
      <c r="G56" s="473"/>
      <c r="H56" s="473"/>
      <c r="I56" s="394"/>
      <c r="J56" s="394"/>
      <c r="K56" s="128"/>
      <c r="L56" s="128"/>
      <c r="M56" s="128"/>
      <c r="N56" s="128"/>
      <c r="O56" s="128"/>
      <c r="P56" s="128"/>
      <c r="Q56" s="128"/>
      <c r="R56" s="128"/>
      <c r="S56" s="128"/>
      <c r="T56" s="128"/>
      <c r="U56" s="128"/>
      <c r="V56" s="128"/>
      <c r="W56" s="128"/>
      <c r="X56" s="128"/>
      <c r="Y56" s="1"/>
      <c r="Z56" s="1"/>
    </row>
    <row r="57" spans="1:30" ht="14.25" hidden="1" customHeight="1">
      <c r="A57" s="128"/>
      <c r="B57" s="128"/>
      <c r="C57" s="475"/>
      <c r="D57" s="472"/>
      <c r="E57" s="473"/>
      <c r="F57" s="474"/>
      <c r="G57" s="473"/>
      <c r="H57" s="473"/>
      <c r="I57" s="394"/>
      <c r="J57" s="394"/>
      <c r="K57" s="128"/>
      <c r="L57" s="128"/>
      <c r="M57" s="128"/>
      <c r="N57" s="128"/>
      <c r="O57" s="128"/>
      <c r="P57" s="128"/>
      <c r="Q57" s="128"/>
      <c r="R57" s="128"/>
      <c r="S57" s="128"/>
      <c r="T57" s="128"/>
      <c r="U57" s="128"/>
      <c r="V57" s="128"/>
      <c r="W57" s="128"/>
      <c r="X57" s="128"/>
      <c r="Y57" s="1"/>
      <c r="Z57" s="1"/>
    </row>
    <row r="58" spans="1:30" ht="14.25" hidden="1" customHeight="1">
      <c r="A58" s="128"/>
      <c r="B58" s="128"/>
      <c r="C58" s="475"/>
      <c r="D58" s="472"/>
      <c r="E58" s="473"/>
      <c r="F58" s="474"/>
      <c r="G58" s="473"/>
      <c r="H58" s="473"/>
      <c r="I58" s="394"/>
      <c r="J58" s="394"/>
      <c r="K58" s="128"/>
      <c r="L58" s="128"/>
      <c r="M58" s="128"/>
      <c r="N58" s="128"/>
      <c r="O58" s="128"/>
      <c r="P58" s="128"/>
      <c r="Q58" s="128"/>
      <c r="R58" s="128"/>
      <c r="S58" s="128"/>
      <c r="T58" s="128"/>
      <c r="U58" s="128"/>
      <c r="V58" s="128"/>
      <c r="W58" s="128"/>
      <c r="X58" s="128"/>
    </row>
    <row r="59" spans="1:30" ht="14.25" hidden="1" customHeight="1">
      <c r="A59" s="128"/>
      <c r="B59" s="128"/>
      <c r="C59" s="478"/>
      <c r="D59" s="388"/>
      <c r="E59" s="479"/>
      <c r="F59" s="480"/>
      <c r="G59" s="481"/>
      <c r="H59" s="473"/>
      <c r="I59" s="482"/>
      <c r="J59" s="482"/>
      <c r="K59" s="128"/>
      <c r="L59" s="128"/>
      <c r="M59" s="128"/>
      <c r="N59" s="128"/>
      <c r="O59" s="128"/>
      <c r="P59" s="128"/>
      <c r="Q59" s="128"/>
      <c r="R59" s="128"/>
      <c r="S59" s="128"/>
      <c r="T59" s="128"/>
      <c r="U59" s="128"/>
      <c r="V59" s="128"/>
      <c r="W59" s="128"/>
      <c r="X59" s="128"/>
    </row>
    <row r="60" spans="1:30" ht="14.25" hidden="1" customHeight="1">
      <c r="A60" s="128"/>
      <c r="B60" s="128"/>
      <c r="C60" s="477"/>
      <c r="D60" s="388"/>
      <c r="E60" s="479"/>
      <c r="F60" s="480"/>
      <c r="G60" s="481"/>
      <c r="H60" s="473"/>
      <c r="I60" s="483"/>
      <c r="J60" s="483"/>
      <c r="K60" s="128"/>
      <c r="L60" s="128"/>
      <c r="M60" s="128"/>
      <c r="N60" s="128"/>
      <c r="O60" s="128"/>
      <c r="P60" s="128"/>
      <c r="Q60" s="128"/>
      <c r="R60" s="128"/>
      <c r="S60" s="128"/>
      <c r="T60" s="128"/>
      <c r="U60" s="128"/>
      <c r="V60" s="128"/>
      <c r="W60" s="128"/>
      <c r="X60" s="128"/>
    </row>
    <row r="61" spans="1:30" ht="14.25" hidden="1" customHeight="1">
      <c r="A61" s="128"/>
      <c r="B61" s="128"/>
      <c r="C61" s="477"/>
      <c r="D61" s="388"/>
      <c r="E61" s="479"/>
      <c r="F61" s="480"/>
      <c r="G61" s="481"/>
      <c r="H61" s="473"/>
      <c r="I61" s="482"/>
      <c r="J61" s="482"/>
      <c r="K61" s="128"/>
      <c r="L61" s="128"/>
      <c r="M61" s="128"/>
      <c r="N61" s="128"/>
      <c r="O61" s="128"/>
      <c r="P61" s="128"/>
      <c r="Q61" s="128"/>
      <c r="R61" s="128"/>
      <c r="S61" s="128"/>
      <c r="T61" s="128"/>
      <c r="U61" s="128"/>
      <c r="V61" s="128"/>
      <c r="W61" s="128"/>
      <c r="X61" s="128"/>
    </row>
    <row r="62" spans="1:30" ht="14.25" hidden="1" customHeight="1">
      <c r="A62" s="128"/>
      <c r="B62" s="128"/>
      <c r="C62" s="477"/>
      <c r="D62" s="388"/>
      <c r="E62" s="479"/>
      <c r="F62" s="480"/>
      <c r="G62" s="481"/>
      <c r="H62" s="473"/>
      <c r="I62" s="483"/>
      <c r="J62" s="483"/>
      <c r="K62" s="128"/>
      <c r="L62" s="128"/>
      <c r="M62" s="128"/>
      <c r="N62" s="128"/>
      <c r="O62" s="128"/>
      <c r="P62" s="128"/>
      <c r="Q62" s="128"/>
      <c r="R62" s="128"/>
      <c r="S62" s="128"/>
      <c r="T62" s="128"/>
      <c r="U62" s="128"/>
      <c r="V62" s="128"/>
      <c r="W62" s="128"/>
      <c r="X62" s="128"/>
    </row>
    <row r="63" spans="1:30" ht="14.25" hidden="1" customHeight="1">
      <c r="A63" s="128"/>
      <c r="B63" s="128"/>
      <c r="C63" s="476"/>
      <c r="D63" s="484"/>
      <c r="E63" s="485"/>
      <c r="F63" s="391"/>
      <c r="G63" s="486"/>
      <c r="H63" s="487"/>
      <c r="I63" s="482"/>
      <c r="J63" s="488"/>
      <c r="K63" s="128"/>
      <c r="L63" s="128"/>
      <c r="M63" s="128"/>
      <c r="N63" s="128"/>
      <c r="O63" s="128"/>
      <c r="P63" s="128"/>
      <c r="Q63" s="128"/>
      <c r="R63" s="128"/>
      <c r="S63" s="128"/>
      <c r="T63" s="128"/>
      <c r="U63" s="128"/>
      <c r="V63" s="128"/>
      <c r="W63" s="128"/>
      <c r="X63" s="128"/>
    </row>
    <row r="64" spans="1:30" ht="17.25" customHeight="1">
      <c r="A64" s="128"/>
      <c r="B64" s="128"/>
      <c r="C64" s="372" t="s">
        <v>335</v>
      </c>
      <c r="D64" s="489">
        <f>+SUM(D65:D88)</f>
        <v>0</v>
      </c>
      <c r="E64" s="490">
        <f>+SUM(E65:E76)</f>
        <v>0</v>
      </c>
      <c r="F64" s="490"/>
      <c r="G64" s="489">
        <f>+SUM(G65:G82)</f>
        <v>0</v>
      </c>
      <c r="H64" s="491"/>
      <c r="I64" s="492"/>
      <c r="J64" s="493"/>
      <c r="K64" s="128"/>
      <c r="L64" s="128"/>
      <c r="M64" s="128"/>
      <c r="N64" s="128"/>
      <c r="O64" s="128"/>
      <c r="P64" s="128"/>
      <c r="Q64" s="128"/>
      <c r="R64" s="128"/>
      <c r="S64" s="128"/>
      <c r="T64" s="128"/>
      <c r="U64" s="128"/>
      <c r="V64" s="128"/>
      <c r="W64" s="128"/>
      <c r="X64" s="128"/>
    </row>
    <row r="65" spans="1:30" ht="16.5" customHeight="1" outlineLevel="1">
      <c r="A65" s="128"/>
      <c r="B65" s="128"/>
      <c r="C65" s="494" t="s">
        <v>336</v>
      </c>
      <c r="D65" s="495"/>
      <c r="E65" s="487"/>
      <c r="F65" s="473"/>
      <c r="G65" s="496"/>
      <c r="H65" s="496">
        <f t="shared" ref="H65:H67" si="19">+G65</f>
        <v>0</v>
      </c>
      <c r="I65" s="496"/>
      <c r="J65" s="496">
        <f>+H65</f>
        <v>0</v>
      </c>
      <c r="K65" s="128"/>
      <c r="L65" s="128"/>
      <c r="M65" s="128"/>
      <c r="N65" s="128"/>
      <c r="O65" s="128"/>
      <c r="P65" s="128"/>
      <c r="Q65" s="128"/>
      <c r="R65" s="128"/>
      <c r="S65" s="128"/>
      <c r="T65" s="128"/>
      <c r="U65" s="128"/>
      <c r="V65" s="128"/>
      <c r="W65" s="128"/>
      <c r="X65" s="128"/>
    </row>
    <row r="66" spans="1:30" ht="15" customHeight="1" outlineLevel="1">
      <c r="A66" s="128"/>
      <c r="B66" s="128"/>
      <c r="C66" s="494" t="s">
        <v>337</v>
      </c>
      <c r="D66" s="396">
        <v>0</v>
      </c>
      <c r="E66" s="479"/>
      <c r="F66" s="479"/>
      <c r="G66" s="496"/>
      <c r="H66" s="497">
        <f t="shared" si="19"/>
        <v>0</v>
      </c>
      <c r="I66" s="497">
        <f>+H66</f>
        <v>0</v>
      </c>
      <c r="J66" s="479"/>
      <c r="K66" s="128"/>
      <c r="L66" s="128"/>
      <c r="M66" s="128"/>
      <c r="N66" s="128"/>
      <c r="O66" s="128"/>
      <c r="P66" s="128"/>
      <c r="Q66" s="128"/>
      <c r="R66" s="128"/>
      <c r="S66" s="128"/>
      <c r="T66" s="128"/>
      <c r="U66" s="128"/>
      <c r="V66" s="128"/>
      <c r="W66" s="128"/>
      <c r="X66" s="128"/>
    </row>
    <row r="67" spans="1:30" ht="16.5" customHeight="1" outlineLevel="1">
      <c r="A67" s="128"/>
      <c r="B67" s="128"/>
      <c r="C67" s="494" t="s">
        <v>338</v>
      </c>
      <c r="D67" s="396">
        <v>0</v>
      </c>
      <c r="E67" s="479"/>
      <c r="F67" s="479"/>
      <c r="G67" s="496"/>
      <c r="H67" s="479">
        <f t="shared" si="19"/>
        <v>0</v>
      </c>
      <c r="I67" s="497"/>
      <c r="J67" s="479"/>
      <c r="K67" s="128"/>
      <c r="L67" s="128"/>
      <c r="M67" s="128"/>
      <c r="N67" s="128"/>
      <c r="O67" s="128"/>
      <c r="P67" s="128"/>
      <c r="Q67" s="128"/>
      <c r="R67" s="128"/>
      <c r="S67" s="128"/>
      <c r="T67" s="128"/>
      <c r="U67" s="128"/>
      <c r="V67" s="128"/>
      <c r="W67" s="128"/>
      <c r="X67" s="128"/>
      <c r="Y67" s="1"/>
      <c r="Z67" s="1"/>
    </row>
    <row r="68" spans="1:30" ht="17.25" customHeight="1" outlineLevel="1">
      <c r="A68" s="128"/>
      <c r="B68" s="128"/>
      <c r="C68" s="494" t="s">
        <v>339</v>
      </c>
      <c r="D68" s="396">
        <v>0</v>
      </c>
      <c r="E68" s="479"/>
      <c r="F68" s="479"/>
      <c r="G68" s="496"/>
      <c r="H68" s="479"/>
      <c r="I68" s="497"/>
      <c r="J68" s="479"/>
      <c r="K68" s="128"/>
      <c r="L68" s="128"/>
      <c r="M68" s="128"/>
      <c r="N68" s="128"/>
      <c r="O68" s="128"/>
      <c r="P68" s="128"/>
      <c r="Q68" s="128"/>
      <c r="R68" s="128"/>
      <c r="S68" s="128"/>
      <c r="T68" s="128"/>
      <c r="U68" s="128"/>
      <c r="V68" s="128"/>
      <c r="W68" s="128"/>
      <c r="X68" s="128"/>
      <c r="Y68" s="1"/>
      <c r="Z68" s="1"/>
    </row>
    <row r="69" spans="1:30" ht="16.5" hidden="1" customHeight="1" outlineLevel="1">
      <c r="A69" s="128"/>
      <c r="B69" s="128"/>
      <c r="C69" s="494"/>
      <c r="D69" s="396">
        <v>0</v>
      </c>
      <c r="E69" s="479"/>
      <c r="F69" s="479"/>
      <c r="G69" s="496"/>
      <c r="H69" s="479"/>
      <c r="I69" s="497"/>
      <c r="J69" s="479"/>
      <c r="K69" s="128"/>
      <c r="L69" s="128"/>
      <c r="M69" s="128"/>
      <c r="N69" s="128"/>
      <c r="O69" s="128"/>
      <c r="P69" s="128"/>
      <c r="Q69" s="128"/>
      <c r="R69" s="128"/>
      <c r="S69" s="128"/>
      <c r="T69" s="128"/>
      <c r="U69" s="128"/>
      <c r="V69" s="128"/>
      <c r="W69" s="128"/>
      <c r="X69" s="128"/>
      <c r="Y69" s="1"/>
      <c r="Z69" s="1"/>
    </row>
    <row r="70" spans="1:30" ht="15.75" hidden="1" customHeight="1" outlineLevel="1">
      <c r="A70" s="128"/>
      <c r="B70" s="128"/>
      <c r="C70" s="494"/>
      <c r="D70" s="396">
        <v>0</v>
      </c>
      <c r="E70" s="479"/>
      <c r="F70" s="479"/>
      <c r="G70" s="496"/>
      <c r="H70" s="479"/>
      <c r="I70" s="497"/>
      <c r="J70" s="479"/>
      <c r="K70" s="128"/>
      <c r="L70" s="128"/>
      <c r="M70" s="128"/>
      <c r="N70" s="128"/>
      <c r="O70" s="128"/>
      <c r="P70" s="128"/>
      <c r="Q70" s="128"/>
      <c r="R70" s="128"/>
      <c r="S70" s="128"/>
      <c r="T70" s="128"/>
      <c r="U70" s="128"/>
      <c r="V70" s="128"/>
      <c r="W70" s="128"/>
      <c r="X70" s="128"/>
      <c r="Y70" s="1"/>
      <c r="Z70" s="1"/>
    </row>
    <row r="71" spans="1:30" ht="16.5" hidden="1" customHeight="1" outlineLevel="1">
      <c r="A71" s="128"/>
      <c r="B71" s="128"/>
      <c r="C71" s="494"/>
      <c r="D71" s="396"/>
      <c r="E71" s="479"/>
      <c r="F71" s="479"/>
      <c r="G71" s="496"/>
      <c r="H71" s="479"/>
      <c r="I71" s="497"/>
      <c r="J71" s="479"/>
      <c r="K71" s="128"/>
      <c r="L71" s="128"/>
      <c r="M71" s="128"/>
      <c r="N71" s="128"/>
      <c r="O71" s="128"/>
      <c r="P71" s="128"/>
      <c r="Q71" s="128"/>
      <c r="R71" s="128"/>
      <c r="S71" s="128"/>
      <c r="T71" s="128"/>
      <c r="U71" s="128"/>
      <c r="V71" s="128"/>
      <c r="W71" s="128"/>
      <c r="X71" s="128"/>
      <c r="Y71" s="1"/>
      <c r="Z71" s="1"/>
    </row>
    <row r="72" spans="1:30" ht="16.5" hidden="1" customHeight="1" outlineLevel="1">
      <c r="A72" s="128"/>
      <c r="B72" s="128"/>
      <c r="C72" s="494"/>
      <c r="D72" s="396"/>
      <c r="E72" s="479"/>
      <c r="F72" s="479"/>
      <c r="G72" s="496"/>
      <c r="H72" s="479"/>
      <c r="I72" s="497"/>
      <c r="J72" s="479"/>
      <c r="K72" s="128"/>
      <c r="L72" s="128"/>
      <c r="M72" s="128"/>
      <c r="N72" s="128"/>
      <c r="O72" s="128"/>
      <c r="P72" s="128"/>
      <c r="Q72" s="128"/>
      <c r="R72" s="128"/>
      <c r="S72" s="128"/>
      <c r="T72" s="128"/>
      <c r="U72" s="128"/>
      <c r="V72" s="128"/>
      <c r="W72" s="128"/>
      <c r="X72" s="128"/>
      <c r="Y72" s="1"/>
      <c r="Z72" s="1"/>
    </row>
    <row r="73" spans="1:30" ht="14.25" hidden="1" customHeight="1" outlineLevel="1">
      <c r="A73" s="128"/>
      <c r="B73" s="128"/>
      <c r="C73" s="494"/>
      <c r="D73" s="396"/>
      <c r="E73" s="479"/>
      <c r="F73" s="479"/>
      <c r="G73" s="496"/>
      <c r="H73" s="479"/>
      <c r="I73" s="497"/>
      <c r="J73" s="479"/>
      <c r="K73" s="128"/>
      <c r="L73" s="128"/>
      <c r="M73" s="128"/>
      <c r="N73" s="128"/>
      <c r="O73" s="128"/>
      <c r="P73" s="128"/>
      <c r="Q73" s="128"/>
      <c r="R73" s="128"/>
      <c r="S73" s="128"/>
      <c r="T73" s="128"/>
      <c r="U73" s="128"/>
      <c r="V73" s="128"/>
      <c r="W73" s="128"/>
      <c r="X73" s="128"/>
      <c r="Y73" s="1"/>
      <c r="Z73" s="1"/>
    </row>
    <row r="74" spans="1:30" ht="14.25" hidden="1" customHeight="1" outlineLevel="1">
      <c r="A74" s="128"/>
      <c r="B74" s="128"/>
      <c r="C74" s="494"/>
      <c r="D74" s="396"/>
      <c r="E74" s="479"/>
      <c r="F74" s="479"/>
      <c r="G74" s="496"/>
      <c r="H74" s="479"/>
      <c r="I74" s="498"/>
      <c r="J74" s="483"/>
      <c r="K74" s="128"/>
      <c r="L74" s="128"/>
      <c r="M74" s="128"/>
      <c r="N74" s="128"/>
      <c r="O74" s="128"/>
      <c r="P74" s="128"/>
      <c r="Q74" s="128"/>
      <c r="R74" s="128"/>
      <c r="S74" s="128"/>
      <c r="T74" s="128"/>
      <c r="U74" s="128"/>
      <c r="V74" s="128"/>
      <c r="W74" s="128"/>
      <c r="X74" s="128"/>
      <c r="Y74" s="1"/>
      <c r="Z74" s="1"/>
    </row>
    <row r="75" spans="1:30" ht="14.25" hidden="1" customHeight="1" outlineLevel="1">
      <c r="A75" s="128"/>
      <c r="B75" s="128"/>
      <c r="C75" s="494"/>
      <c r="D75" s="396"/>
      <c r="E75" s="479"/>
      <c r="F75" s="479"/>
      <c r="G75" s="496"/>
      <c r="H75" s="479"/>
      <c r="I75" s="498"/>
      <c r="J75" s="483"/>
      <c r="K75" s="128"/>
      <c r="L75" s="128"/>
      <c r="M75" s="128"/>
      <c r="N75" s="128"/>
      <c r="O75" s="128"/>
      <c r="P75" s="128"/>
      <c r="Q75" s="128"/>
      <c r="R75" s="128"/>
      <c r="S75" s="128"/>
      <c r="T75" s="128"/>
      <c r="U75" s="128"/>
      <c r="V75" s="128"/>
      <c r="W75" s="128"/>
      <c r="X75" s="128"/>
      <c r="Y75" s="1"/>
      <c r="Z75" s="1"/>
    </row>
    <row r="76" spans="1:30" ht="14.25" hidden="1" customHeight="1" outlineLevel="1">
      <c r="A76" s="128"/>
      <c r="B76" s="128"/>
      <c r="C76" s="494"/>
      <c r="D76" s="396"/>
      <c r="E76" s="479"/>
      <c r="F76" s="479"/>
      <c r="G76" s="496"/>
      <c r="H76" s="479"/>
      <c r="I76" s="498"/>
      <c r="J76" s="483"/>
      <c r="K76" s="128"/>
      <c r="L76" s="128"/>
      <c r="M76" s="128"/>
      <c r="N76" s="128"/>
      <c r="O76" s="128"/>
      <c r="P76" s="128"/>
      <c r="Q76" s="128"/>
      <c r="R76" s="128"/>
      <c r="S76" s="128"/>
      <c r="T76" s="128"/>
      <c r="U76" s="128"/>
      <c r="V76" s="128"/>
      <c r="W76" s="128"/>
      <c r="X76" s="128"/>
      <c r="Y76" s="1"/>
      <c r="Z76" s="1"/>
    </row>
    <row r="77" spans="1:30" ht="14.25" hidden="1" customHeight="1" outlineLevel="1">
      <c r="A77" s="128"/>
      <c r="B77" s="128"/>
      <c r="C77" s="494"/>
      <c r="D77" s="396"/>
      <c r="E77" s="479"/>
      <c r="F77" s="479"/>
      <c r="G77" s="496"/>
      <c r="H77" s="479"/>
      <c r="I77" s="498"/>
      <c r="J77" s="483"/>
      <c r="K77" s="128"/>
      <c r="L77" s="128"/>
      <c r="M77" s="128"/>
      <c r="N77" s="128"/>
      <c r="O77" s="128"/>
      <c r="P77" s="128"/>
      <c r="Q77" s="128"/>
      <c r="R77" s="128"/>
      <c r="S77" s="128"/>
      <c r="T77" s="128"/>
      <c r="U77" s="128"/>
      <c r="V77" s="128"/>
      <c r="W77" s="128"/>
      <c r="X77" s="128"/>
      <c r="Y77" s="1"/>
      <c r="Z77" s="1"/>
    </row>
    <row r="78" spans="1:30" ht="14.25" hidden="1" customHeight="1" outlineLevel="1">
      <c r="A78" s="128"/>
      <c r="B78" s="128"/>
      <c r="C78" s="499"/>
      <c r="D78" s="396"/>
      <c r="E78" s="485"/>
      <c r="F78" s="479"/>
      <c r="G78" s="386"/>
      <c r="H78" s="479"/>
      <c r="I78" s="500"/>
      <c r="J78" s="501"/>
      <c r="K78" s="128"/>
      <c r="L78" s="128"/>
      <c r="M78" s="128"/>
      <c r="N78" s="128"/>
      <c r="O78" s="128"/>
      <c r="P78" s="128"/>
      <c r="Q78" s="128"/>
      <c r="R78" s="128"/>
      <c r="S78" s="128"/>
      <c r="T78" s="128"/>
      <c r="U78" s="128"/>
      <c r="V78" s="128"/>
      <c r="W78" s="128"/>
      <c r="X78" s="128"/>
      <c r="Y78" s="1"/>
      <c r="Z78" s="1"/>
      <c r="AA78" s="1"/>
      <c r="AB78" s="1"/>
      <c r="AC78" s="1"/>
      <c r="AD78" s="1"/>
    </row>
    <row r="79" spans="1:30" ht="14.25" hidden="1" customHeight="1" outlineLevel="1">
      <c r="A79" s="128"/>
      <c r="B79" s="128"/>
      <c r="C79" s="499"/>
      <c r="D79" s="396"/>
      <c r="E79" s="485"/>
      <c r="F79" s="479"/>
      <c r="G79" s="479"/>
      <c r="H79" s="479"/>
      <c r="I79" s="500"/>
      <c r="J79" s="501"/>
      <c r="K79" s="128"/>
      <c r="L79" s="128"/>
      <c r="M79" s="128"/>
      <c r="N79" s="128"/>
      <c r="O79" s="128"/>
      <c r="P79" s="128"/>
      <c r="Q79" s="128"/>
      <c r="R79" s="128"/>
      <c r="S79" s="128"/>
      <c r="T79" s="128"/>
      <c r="U79" s="128"/>
      <c r="V79" s="128"/>
      <c r="W79" s="128"/>
      <c r="X79" s="128"/>
      <c r="Y79" s="1"/>
      <c r="Z79" s="1"/>
      <c r="AA79" s="1"/>
      <c r="AB79" s="1"/>
      <c r="AC79" s="1"/>
      <c r="AD79" s="1"/>
    </row>
    <row r="80" spans="1:30" ht="14.25" hidden="1" customHeight="1" outlineLevel="1">
      <c r="A80" s="128"/>
      <c r="B80" s="128"/>
      <c r="C80" s="499"/>
      <c r="D80" s="396"/>
      <c r="E80" s="485"/>
      <c r="F80" s="479"/>
      <c r="G80" s="386"/>
      <c r="H80" s="479"/>
      <c r="I80" s="500"/>
      <c r="J80" s="501"/>
      <c r="K80" s="128"/>
      <c r="L80" s="128"/>
      <c r="M80" s="128"/>
      <c r="N80" s="128"/>
      <c r="O80" s="128"/>
      <c r="P80" s="128"/>
      <c r="Q80" s="128"/>
      <c r="R80" s="128"/>
      <c r="S80" s="128"/>
      <c r="T80" s="128"/>
      <c r="U80" s="128"/>
      <c r="V80" s="128"/>
      <c r="W80" s="128"/>
      <c r="X80" s="128"/>
      <c r="Y80" s="1"/>
      <c r="Z80" s="1"/>
      <c r="AA80" s="1"/>
      <c r="AB80" s="1"/>
      <c r="AC80" s="1"/>
      <c r="AD80" s="1"/>
    </row>
    <row r="81" spans="1:30" ht="14.25" hidden="1" customHeight="1" outlineLevel="1">
      <c r="A81" s="128"/>
      <c r="B81" s="128"/>
      <c r="C81" s="499"/>
      <c r="D81" s="396"/>
      <c r="E81" s="485"/>
      <c r="F81" s="479"/>
      <c r="G81" s="386"/>
      <c r="H81" s="479"/>
      <c r="I81" s="500"/>
      <c r="J81" s="501"/>
      <c r="K81" s="128"/>
      <c r="L81" s="128"/>
      <c r="M81" s="128"/>
      <c r="N81" s="128"/>
      <c r="O81" s="128"/>
      <c r="P81" s="128"/>
      <c r="Q81" s="128"/>
      <c r="R81" s="128"/>
      <c r="S81" s="128"/>
      <c r="T81" s="128"/>
      <c r="U81" s="128"/>
      <c r="V81" s="128"/>
      <c r="W81" s="128"/>
      <c r="X81" s="128"/>
      <c r="Y81" s="1"/>
      <c r="Z81" s="1"/>
      <c r="AA81" s="1"/>
      <c r="AB81" s="1"/>
      <c r="AC81" s="1"/>
      <c r="AD81" s="1"/>
    </row>
    <row r="82" spans="1:30" ht="14.25" customHeight="1" outlineLevel="1">
      <c r="A82" s="128"/>
      <c r="B82" s="128"/>
      <c r="C82" s="499"/>
      <c r="D82" s="396"/>
      <c r="E82" s="485"/>
      <c r="F82" s="479"/>
      <c r="G82" s="391"/>
      <c r="H82" s="479"/>
      <c r="I82" s="500"/>
      <c r="J82" s="501"/>
      <c r="K82" s="128"/>
      <c r="L82" s="128"/>
      <c r="M82" s="128"/>
      <c r="N82" s="128"/>
      <c r="O82" s="128"/>
      <c r="P82" s="128"/>
      <c r="Q82" s="128"/>
      <c r="R82" s="128"/>
      <c r="S82" s="128"/>
      <c r="T82" s="128"/>
      <c r="U82" s="128"/>
      <c r="V82" s="128"/>
      <c r="W82" s="128"/>
      <c r="X82" s="128"/>
      <c r="Y82" s="1"/>
      <c r="Z82" s="1"/>
    </row>
    <row r="83" spans="1:30" ht="15.75" customHeight="1">
      <c r="A83" s="128"/>
      <c r="B83" s="128"/>
      <c r="C83" s="372" t="s">
        <v>340</v>
      </c>
      <c r="D83" s="489">
        <f>+SUM(D90:D94)</f>
        <v>0</v>
      </c>
      <c r="E83" s="490">
        <f t="shared" ref="E83:J83" si="20">+SUM(E84:E92)</f>
        <v>0</v>
      </c>
      <c r="F83" s="490">
        <f t="shared" si="20"/>
        <v>0</v>
      </c>
      <c r="G83" s="502">
        <f t="shared" si="20"/>
        <v>0</v>
      </c>
      <c r="H83" s="490">
        <f t="shared" si="20"/>
        <v>0</v>
      </c>
      <c r="I83" s="490">
        <f t="shared" si="20"/>
        <v>0</v>
      </c>
      <c r="J83" s="490">
        <f t="shared" si="20"/>
        <v>0</v>
      </c>
      <c r="K83" s="128"/>
      <c r="L83" s="128"/>
      <c r="M83" s="128"/>
      <c r="N83" s="128"/>
      <c r="O83" s="128"/>
      <c r="P83" s="128"/>
      <c r="Q83" s="128"/>
      <c r="R83" s="128"/>
      <c r="S83" s="128"/>
      <c r="T83" s="128"/>
      <c r="U83" s="128"/>
      <c r="V83" s="128"/>
      <c r="W83" s="128"/>
      <c r="X83" s="128"/>
    </row>
    <row r="84" spans="1:30" ht="16.5" customHeight="1" outlineLevel="1">
      <c r="A84" s="128"/>
      <c r="B84" s="128"/>
      <c r="C84" s="503"/>
      <c r="D84" s="396"/>
      <c r="E84" s="479"/>
      <c r="F84" s="474"/>
      <c r="G84" s="479"/>
      <c r="H84" s="480"/>
      <c r="I84" s="483"/>
      <c r="J84" s="483"/>
      <c r="K84" s="128"/>
      <c r="L84" s="128"/>
      <c r="M84" s="128"/>
      <c r="N84" s="128"/>
      <c r="O84" s="128"/>
      <c r="P84" s="128"/>
      <c r="Q84" s="128"/>
      <c r="R84" s="128"/>
      <c r="S84" s="128"/>
      <c r="T84" s="128"/>
      <c r="U84" s="128"/>
      <c r="V84" s="128"/>
      <c r="W84" s="128"/>
      <c r="X84" s="128"/>
      <c r="Y84" s="1"/>
      <c r="Z84" s="1"/>
    </row>
    <row r="85" spans="1:30" ht="17.25" customHeight="1" outlineLevel="1">
      <c r="A85" s="128"/>
      <c r="B85" s="128"/>
      <c r="C85" s="494"/>
      <c r="D85" s="396"/>
      <c r="E85" s="479"/>
      <c r="F85" s="480"/>
      <c r="G85" s="479"/>
      <c r="H85" s="480"/>
      <c r="I85" s="483"/>
      <c r="J85" s="483"/>
      <c r="K85" s="128"/>
      <c r="L85" s="128"/>
      <c r="M85" s="128"/>
      <c r="N85" s="128"/>
      <c r="O85" s="128"/>
      <c r="P85" s="128"/>
      <c r="Q85" s="128"/>
      <c r="R85" s="128"/>
      <c r="S85" s="128"/>
      <c r="T85" s="128"/>
      <c r="U85" s="128"/>
      <c r="V85" s="128"/>
      <c r="W85" s="128"/>
      <c r="X85" s="128"/>
      <c r="Y85" s="1"/>
      <c r="Z85" s="1"/>
    </row>
    <row r="86" spans="1:30" ht="17.25" customHeight="1" outlineLevel="1">
      <c r="A86" s="128"/>
      <c r="B86" s="128"/>
      <c r="C86" s="494"/>
      <c r="D86" s="396"/>
      <c r="E86" s="479"/>
      <c r="F86" s="480"/>
      <c r="G86" s="479"/>
      <c r="H86" s="480"/>
      <c r="I86" s="483"/>
      <c r="J86" s="483"/>
      <c r="K86" s="128"/>
      <c r="L86" s="128"/>
      <c r="M86" s="128"/>
      <c r="N86" s="128"/>
      <c r="O86" s="128"/>
      <c r="P86" s="128"/>
      <c r="Q86" s="128"/>
      <c r="R86" s="128"/>
      <c r="S86" s="128"/>
      <c r="T86" s="128"/>
      <c r="U86" s="128"/>
      <c r="V86" s="128"/>
      <c r="W86" s="128"/>
      <c r="X86" s="128"/>
      <c r="Y86" s="1"/>
      <c r="Z86" s="1"/>
    </row>
    <row r="87" spans="1:30" ht="16.5" customHeight="1" outlineLevel="1">
      <c r="A87" s="128"/>
      <c r="B87" s="128"/>
      <c r="C87" s="494"/>
      <c r="D87" s="396"/>
      <c r="E87" s="479"/>
      <c r="F87" s="480"/>
      <c r="G87" s="479"/>
      <c r="J87" s="483"/>
      <c r="K87" s="128"/>
      <c r="L87" s="128"/>
      <c r="M87" s="128"/>
      <c r="N87" s="128"/>
      <c r="O87" s="128"/>
      <c r="P87" s="128"/>
      <c r="Q87" s="128"/>
      <c r="R87" s="128"/>
      <c r="S87" s="128"/>
      <c r="T87" s="128"/>
      <c r="U87" s="128"/>
      <c r="V87" s="128"/>
      <c r="W87" s="128"/>
      <c r="X87" s="128"/>
      <c r="Y87" s="1"/>
      <c r="Z87" s="1"/>
    </row>
    <row r="88" spans="1:30" ht="15.75" customHeight="1" outlineLevel="1">
      <c r="A88" s="128"/>
      <c r="B88" s="128"/>
      <c r="C88" s="499"/>
      <c r="D88" s="384"/>
      <c r="E88" s="485"/>
      <c r="F88" s="391"/>
      <c r="G88" s="485"/>
      <c r="H88" s="391"/>
      <c r="I88" s="501"/>
      <c r="J88" s="501"/>
      <c r="K88" s="128"/>
      <c r="L88" s="128"/>
      <c r="M88" s="128"/>
      <c r="N88" s="128"/>
      <c r="O88" s="128"/>
      <c r="P88" s="128"/>
      <c r="Q88" s="128"/>
      <c r="R88" s="128"/>
      <c r="S88" s="128"/>
      <c r="T88" s="128"/>
      <c r="U88" s="128"/>
      <c r="V88" s="128"/>
      <c r="W88" s="128"/>
      <c r="X88" s="128"/>
      <c r="Y88" s="1"/>
      <c r="Z88" s="1"/>
    </row>
    <row r="89" spans="1:30" ht="15" customHeight="1">
      <c r="C89" s="494"/>
      <c r="D89" s="504"/>
      <c r="E89" s="505"/>
      <c r="F89" s="504"/>
      <c r="G89" s="505"/>
      <c r="H89" s="504"/>
      <c r="I89" s="505"/>
      <c r="J89" s="505"/>
    </row>
    <row r="90" spans="1:30" ht="15.75" customHeight="1">
      <c r="A90" s="128"/>
      <c r="B90" s="128"/>
      <c r="C90" s="506"/>
      <c r="D90" s="495">
        <v>0</v>
      </c>
      <c r="E90" s="507"/>
      <c r="F90" s="508"/>
      <c r="G90" s="509"/>
      <c r="H90" s="510"/>
      <c r="I90" s="511"/>
      <c r="J90" s="511"/>
      <c r="K90" s="128"/>
      <c r="L90" s="128"/>
      <c r="M90" s="128"/>
      <c r="N90" s="128"/>
      <c r="O90" s="128"/>
      <c r="P90" s="128"/>
      <c r="Q90" s="128"/>
      <c r="R90" s="128"/>
      <c r="S90" s="128"/>
      <c r="T90" s="128"/>
      <c r="U90" s="128"/>
      <c r="V90" s="128"/>
      <c r="W90" s="128"/>
      <c r="X90" s="128"/>
    </row>
    <row r="91" spans="1:30" ht="15.75" customHeight="1">
      <c r="A91" s="128"/>
      <c r="B91" s="128"/>
      <c r="C91" s="512"/>
      <c r="D91" s="495"/>
      <c r="E91" s="507"/>
      <c r="F91" s="508"/>
      <c r="G91" s="509"/>
      <c r="H91" s="510"/>
      <c r="I91" s="481"/>
      <c r="J91" s="481"/>
      <c r="K91" s="128"/>
      <c r="L91" s="128"/>
      <c r="M91" s="128"/>
      <c r="N91" s="128"/>
      <c r="O91" s="128"/>
      <c r="P91" s="128"/>
      <c r="Q91" s="128"/>
      <c r="R91" s="128"/>
      <c r="S91" s="128"/>
      <c r="T91" s="128"/>
      <c r="U91" s="128"/>
      <c r="V91" s="128"/>
      <c r="W91" s="128"/>
      <c r="X91" s="128"/>
    </row>
    <row r="92" spans="1:30" ht="15.75" customHeight="1">
      <c r="A92" s="128"/>
      <c r="B92" s="128"/>
      <c r="C92" s="512"/>
      <c r="D92" s="495"/>
      <c r="E92" s="507"/>
      <c r="F92" s="508"/>
      <c r="G92" s="509"/>
      <c r="H92" s="510"/>
      <c r="I92" s="481"/>
      <c r="J92" s="481"/>
      <c r="K92" s="128"/>
      <c r="L92" s="128"/>
      <c r="M92" s="128"/>
      <c r="N92" s="128"/>
      <c r="O92" s="128"/>
      <c r="P92" s="128"/>
      <c r="Q92" s="128"/>
      <c r="R92" s="128"/>
      <c r="S92" s="128"/>
      <c r="T92" s="128"/>
      <c r="U92" s="128"/>
      <c r="V92" s="128"/>
      <c r="W92" s="128"/>
      <c r="X92" s="128"/>
      <c r="Y92" s="1"/>
      <c r="Z92" s="1"/>
    </row>
    <row r="93" spans="1:30" ht="15.75" customHeight="1">
      <c r="A93" s="128"/>
      <c r="B93" s="128"/>
      <c r="C93" s="512"/>
      <c r="D93" s="495"/>
      <c r="E93" s="507"/>
      <c r="F93" s="508"/>
      <c r="G93" s="509"/>
      <c r="H93" s="510"/>
      <c r="I93" s="483"/>
      <c r="J93" s="483"/>
      <c r="K93" s="128"/>
      <c r="L93" s="128"/>
      <c r="M93" s="128"/>
      <c r="N93" s="128"/>
      <c r="O93" s="128"/>
      <c r="P93" s="128"/>
      <c r="Q93" s="128"/>
      <c r="R93" s="128"/>
      <c r="S93" s="128"/>
      <c r="T93" s="128"/>
      <c r="U93" s="128"/>
      <c r="V93" s="128"/>
      <c r="W93" s="128"/>
      <c r="X93" s="128"/>
      <c r="Y93" s="1"/>
      <c r="Z93" s="1"/>
    </row>
    <row r="94" spans="1:30" ht="15.75" customHeight="1">
      <c r="A94" s="128"/>
      <c r="B94" s="128"/>
      <c r="C94" s="513"/>
      <c r="D94" s="384"/>
      <c r="E94" s="485"/>
      <c r="F94" s="391"/>
      <c r="G94" s="486"/>
      <c r="H94" s="514"/>
      <c r="I94" s="501"/>
      <c r="J94" s="501"/>
      <c r="K94" s="128"/>
      <c r="L94" s="128"/>
      <c r="M94" s="128"/>
      <c r="N94" s="128"/>
      <c r="O94" s="128"/>
      <c r="P94" s="128"/>
      <c r="Q94" s="128"/>
      <c r="R94" s="128"/>
      <c r="S94" s="128"/>
      <c r="T94" s="128"/>
      <c r="U94" s="128"/>
      <c r="V94" s="128"/>
      <c r="W94" s="128"/>
      <c r="X94" s="128"/>
    </row>
    <row r="95" spans="1:30" ht="14.25" customHeight="1">
      <c r="A95" s="128"/>
      <c r="B95" s="128"/>
      <c r="C95" s="515" t="s">
        <v>341</v>
      </c>
      <c r="D95" s="362">
        <f>+SUM(D44,D64,D83)</f>
        <v>0</v>
      </c>
      <c r="E95" s="361"/>
      <c r="F95" s="363">
        <f t="shared" ref="F95:J95" si="21">+SUM(F44,F64,F83)</f>
        <v>0</v>
      </c>
      <c r="G95" s="361">
        <f t="shared" si="21"/>
        <v>0</v>
      </c>
      <c r="H95" s="363">
        <f t="shared" si="21"/>
        <v>0</v>
      </c>
      <c r="I95" s="361">
        <f t="shared" si="21"/>
        <v>0</v>
      </c>
      <c r="J95" s="361">
        <f t="shared" si="21"/>
        <v>0</v>
      </c>
      <c r="K95" s="128"/>
      <c r="L95" s="128"/>
      <c r="M95" s="128"/>
      <c r="N95" s="128"/>
      <c r="O95" s="128"/>
      <c r="P95" s="128"/>
      <c r="Q95" s="128"/>
      <c r="R95" s="128"/>
      <c r="S95" s="128"/>
      <c r="T95" s="128"/>
      <c r="U95" s="128"/>
      <c r="V95" s="128"/>
      <c r="W95" s="128"/>
      <c r="X95" s="128"/>
    </row>
    <row r="96" spans="1:30" ht="18" customHeight="1">
      <c r="A96" s="128"/>
      <c r="B96" s="128"/>
      <c r="C96" s="516"/>
      <c r="D96" s="517"/>
      <c r="E96" s="518"/>
      <c r="F96" s="518"/>
      <c r="G96" s="518"/>
      <c r="H96" s="128"/>
      <c r="I96" s="519"/>
      <c r="J96" s="519"/>
      <c r="K96" s="462">
        <f>+I95-33670456</f>
        <v>-33670456</v>
      </c>
      <c r="L96" s="128"/>
      <c r="M96" s="128"/>
      <c r="N96" s="128"/>
      <c r="O96" s="128"/>
      <c r="P96" s="128"/>
      <c r="Q96" s="128"/>
      <c r="R96" s="128"/>
      <c r="S96" s="128"/>
      <c r="T96" s="128"/>
      <c r="U96" s="128"/>
      <c r="V96" s="128"/>
      <c r="W96" s="128"/>
      <c r="X96" s="128"/>
    </row>
    <row r="97" spans="1:30" ht="14.25" customHeight="1">
      <c r="A97" s="128"/>
      <c r="B97" s="128"/>
      <c r="C97" s="520" t="s">
        <v>342</v>
      </c>
      <c r="D97" s="521">
        <f>+D73</f>
        <v>0</v>
      </c>
      <c r="E97" s="521">
        <f>+E66+E68+E70+E72+E74+E76</f>
        <v>0</v>
      </c>
      <c r="F97" s="521">
        <f t="shared" ref="F97:J97" si="22">+F68</f>
        <v>0</v>
      </c>
      <c r="G97" s="521">
        <f t="shared" si="22"/>
        <v>0</v>
      </c>
      <c r="H97" s="521">
        <f t="shared" si="22"/>
        <v>0</v>
      </c>
      <c r="I97" s="521">
        <f t="shared" si="22"/>
        <v>0</v>
      </c>
      <c r="J97" s="521">
        <f t="shared" si="22"/>
        <v>0</v>
      </c>
      <c r="K97" s="128"/>
      <c r="L97" s="128"/>
      <c r="M97" s="128"/>
      <c r="N97" s="128"/>
      <c r="O97" s="128"/>
      <c r="P97" s="128"/>
      <c r="Q97" s="128"/>
      <c r="R97" s="128"/>
      <c r="S97" s="128"/>
      <c r="T97" s="128"/>
      <c r="U97" s="128"/>
      <c r="V97" s="128"/>
      <c r="W97" s="128"/>
      <c r="X97" s="128"/>
    </row>
    <row r="98" spans="1:30" ht="14.25" customHeight="1">
      <c r="A98" s="128"/>
      <c r="B98" s="128"/>
      <c r="C98" s="520" t="s">
        <v>343</v>
      </c>
      <c r="D98" s="521"/>
      <c r="E98" s="521">
        <f t="shared" ref="E98:J98" si="23">+E97-D97</f>
        <v>0</v>
      </c>
      <c r="F98" s="521">
        <f t="shared" si="23"/>
        <v>0</v>
      </c>
      <c r="G98" s="521">
        <f t="shared" si="23"/>
        <v>0</v>
      </c>
      <c r="H98" s="521">
        <f t="shared" si="23"/>
        <v>0</v>
      </c>
      <c r="I98" s="521">
        <f t="shared" si="23"/>
        <v>0</v>
      </c>
      <c r="J98" s="521">
        <f t="shared" si="23"/>
        <v>0</v>
      </c>
      <c r="K98" s="128"/>
      <c r="L98" s="128"/>
      <c r="M98" s="128"/>
      <c r="N98" s="128"/>
      <c r="O98" s="128"/>
      <c r="P98" s="128"/>
      <c r="Q98" s="128"/>
      <c r="R98" s="128"/>
      <c r="S98" s="128"/>
      <c r="T98" s="128"/>
      <c r="U98" s="128"/>
      <c r="V98" s="128"/>
      <c r="W98" s="128"/>
      <c r="X98" s="128"/>
    </row>
    <row r="99" spans="1:30" ht="14.25" customHeight="1">
      <c r="A99" s="128"/>
      <c r="B99" s="128"/>
      <c r="C99" s="1405"/>
      <c r="D99" s="1347"/>
      <c r="E99" s="1347"/>
      <c r="F99" s="1347"/>
      <c r="G99" s="1347"/>
      <c r="H99" s="1348"/>
      <c r="I99" s="337"/>
      <c r="J99" s="128"/>
      <c r="K99" s="128"/>
      <c r="L99" s="128"/>
      <c r="M99" s="128"/>
      <c r="N99" s="128"/>
      <c r="O99" s="128"/>
      <c r="P99" s="128"/>
      <c r="Q99" s="128"/>
      <c r="R99" s="128"/>
      <c r="S99" s="128"/>
      <c r="T99" s="128"/>
      <c r="U99" s="128"/>
      <c r="V99" s="128"/>
      <c r="W99" s="128"/>
      <c r="X99" s="128"/>
    </row>
    <row r="100" spans="1:30" ht="14.25" customHeight="1">
      <c r="A100" s="128"/>
      <c r="B100" s="128"/>
      <c r="C100" s="1406"/>
      <c r="D100" s="1373"/>
      <c r="E100" s="1373"/>
      <c r="F100" s="1373"/>
      <c r="G100" s="1373"/>
      <c r="H100" s="1374"/>
      <c r="I100" s="337"/>
      <c r="J100" s="128"/>
      <c r="K100" s="128"/>
      <c r="L100" s="128"/>
      <c r="M100" s="128"/>
      <c r="N100" s="128"/>
      <c r="O100" s="128"/>
      <c r="P100" s="128"/>
      <c r="Q100" s="128"/>
      <c r="R100" s="128"/>
      <c r="S100" s="128"/>
      <c r="T100" s="128"/>
      <c r="U100" s="128"/>
      <c r="V100" s="128"/>
      <c r="W100" s="128"/>
      <c r="X100" s="128"/>
    </row>
    <row r="101" spans="1:30" ht="14.25" customHeight="1">
      <c r="A101" s="128"/>
      <c r="B101" s="128"/>
      <c r="C101" s="522"/>
      <c r="D101" s="523"/>
      <c r="E101" s="524"/>
      <c r="F101" s="524"/>
      <c r="G101" s="525"/>
      <c r="H101" s="128"/>
      <c r="I101" s="450"/>
      <c r="J101" s="128"/>
      <c r="K101" s="128"/>
      <c r="L101" s="128"/>
      <c r="M101" s="128"/>
      <c r="N101" s="128"/>
      <c r="O101" s="128"/>
      <c r="P101" s="128"/>
      <c r="Q101" s="128"/>
      <c r="R101" s="128"/>
      <c r="S101" s="128"/>
      <c r="T101" s="128"/>
      <c r="U101" s="128"/>
      <c r="V101" s="128"/>
      <c r="W101" s="128"/>
      <c r="X101" s="128"/>
    </row>
    <row r="102" spans="1:30" ht="14.25" customHeight="1">
      <c r="A102" s="128"/>
      <c r="B102" s="128"/>
      <c r="C102" s="365"/>
      <c r="D102" s="465">
        <f t="shared" ref="D102:G102" si="24">+D42</f>
        <v>2019</v>
      </c>
      <c r="E102" s="464">
        <f t="shared" si="24"/>
        <v>2020</v>
      </c>
      <c r="F102" s="526">
        <f t="shared" si="24"/>
        <v>2021</v>
      </c>
      <c r="G102" s="466">
        <f t="shared" si="24"/>
        <v>2022</v>
      </c>
      <c r="H102" s="466">
        <v>2023</v>
      </c>
      <c r="I102" s="464">
        <v>2024</v>
      </c>
      <c r="J102" s="466">
        <f>+I102+1</f>
        <v>2025</v>
      </c>
      <c r="K102" s="128"/>
      <c r="L102" s="128"/>
      <c r="M102" s="128"/>
      <c r="N102" s="128"/>
      <c r="O102" s="128"/>
      <c r="P102" s="128"/>
      <c r="Q102" s="128"/>
      <c r="R102" s="128"/>
      <c r="S102" s="128"/>
      <c r="T102" s="128"/>
      <c r="U102" s="128"/>
      <c r="V102" s="128"/>
      <c r="W102" s="128"/>
      <c r="X102" s="128"/>
    </row>
    <row r="103" spans="1:30" ht="17.25" customHeight="1">
      <c r="A103" s="128"/>
      <c r="B103" s="128"/>
      <c r="C103" s="527" t="s">
        <v>344</v>
      </c>
      <c r="D103" s="528"/>
      <c r="E103" s="529"/>
      <c r="F103" s="530"/>
      <c r="G103" s="531"/>
      <c r="H103" s="342"/>
      <c r="I103" s="532"/>
      <c r="J103" s="533"/>
      <c r="K103" s="128"/>
      <c r="L103" s="128"/>
      <c r="M103" s="128"/>
      <c r="N103" s="128"/>
      <c r="O103" s="128"/>
      <c r="P103" s="128"/>
      <c r="Q103" s="128"/>
      <c r="R103" s="128"/>
      <c r="S103" s="128"/>
      <c r="T103" s="128"/>
      <c r="U103" s="128"/>
      <c r="V103" s="128"/>
      <c r="W103" s="128"/>
      <c r="X103" s="128"/>
    </row>
    <row r="104" spans="1:30" ht="16.5" customHeight="1">
      <c r="A104" s="128"/>
      <c r="B104" s="128"/>
      <c r="C104" s="534" t="s">
        <v>345</v>
      </c>
      <c r="D104" s="361">
        <f t="shared" ref="D104:E104" si="25">SUM(D105:D118)</f>
        <v>0</v>
      </c>
      <c r="E104" s="361">
        <f t="shared" si="25"/>
        <v>0</v>
      </c>
      <c r="F104" s="362"/>
      <c r="G104" s="361"/>
      <c r="H104" s="362"/>
      <c r="I104" s="361"/>
      <c r="J104" s="364"/>
      <c r="K104" s="128"/>
      <c r="L104" s="128"/>
      <c r="M104" s="128"/>
      <c r="N104" s="128"/>
      <c r="O104" s="128"/>
      <c r="P104" s="128"/>
      <c r="Q104" s="128"/>
      <c r="R104" s="128"/>
      <c r="S104" s="128"/>
      <c r="T104" s="128"/>
      <c r="U104" s="128"/>
      <c r="V104" s="128"/>
      <c r="W104" s="128"/>
      <c r="X104" s="128"/>
    </row>
    <row r="105" spans="1:30" ht="16.5" customHeight="1">
      <c r="A105" s="128"/>
      <c r="B105" s="128"/>
      <c r="C105" s="535" t="s">
        <v>346</v>
      </c>
      <c r="D105" s="383"/>
      <c r="E105" s="487"/>
      <c r="F105" s="536"/>
      <c r="G105" s="537"/>
      <c r="H105" s="538"/>
      <c r="I105" s="539"/>
      <c r="J105" s="540"/>
      <c r="K105" s="128"/>
      <c r="L105" s="128"/>
      <c r="M105" s="128"/>
      <c r="N105" s="128"/>
      <c r="O105" s="128"/>
      <c r="P105" s="128"/>
      <c r="Q105" s="128"/>
      <c r="R105" s="128"/>
      <c r="S105" s="128"/>
      <c r="T105" s="128"/>
      <c r="U105" s="128"/>
      <c r="V105" s="128"/>
      <c r="W105" s="128"/>
      <c r="X105" s="128"/>
      <c r="Y105" s="1"/>
      <c r="Z105" s="1"/>
      <c r="AA105" s="1"/>
      <c r="AB105" s="1"/>
      <c r="AC105" s="1"/>
      <c r="AD105" s="1"/>
    </row>
    <row r="106" spans="1:30" ht="16.5" customHeight="1">
      <c r="A106" s="128"/>
      <c r="B106" s="128"/>
      <c r="C106" s="535" t="s">
        <v>302</v>
      </c>
      <c r="D106" s="394"/>
      <c r="E106" s="479"/>
      <c r="F106" s="541"/>
      <c r="G106" s="542"/>
      <c r="H106" s="543"/>
      <c r="I106" s="544"/>
      <c r="J106" s="545"/>
      <c r="K106" s="128"/>
      <c r="L106" s="128"/>
      <c r="M106" s="128"/>
      <c r="N106" s="128"/>
      <c r="O106" s="128"/>
      <c r="P106" s="128"/>
      <c r="Q106" s="128"/>
      <c r="R106" s="128"/>
      <c r="S106" s="128"/>
      <c r="T106" s="128"/>
      <c r="U106" s="128"/>
      <c r="V106" s="128"/>
      <c r="W106" s="128"/>
      <c r="X106" s="128"/>
      <c r="Y106" s="1"/>
      <c r="Z106" s="1"/>
      <c r="AA106" s="1"/>
      <c r="AB106" s="1"/>
      <c r="AC106" s="1"/>
      <c r="AD106" s="1"/>
    </row>
    <row r="107" spans="1:30" ht="16.5" customHeight="1">
      <c r="A107" s="128"/>
      <c r="B107" s="128"/>
      <c r="C107" s="535" t="s">
        <v>301</v>
      </c>
      <c r="D107" s="394"/>
      <c r="E107" s="479"/>
      <c r="F107" s="541"/>
      <c r="G107" s="542">
        <v>0</v>
      </c>
      <c r="H107" s="543"/>
      <c r="I107" s="544"/>
      <c r="J107" s="545"/>
      <c r="K107" s="128"/>
      <c r="L107" s="128"/>
      <c r="M107" s="128"/>
      <c r="N107" s="128"/>
      <c r="O107" s="128"/>
      <c r="P107" s="128"/>
      <c r="Q107" s="128"/>
      <c r="R107" s="128"/>
      <c r="S107" s="128"/>
      <c r="T107" s="128"/>
      <c r="U107" s="128"/>
      <c r="V107" s="128"/>
      <c r="W107" s="128"/>
      <c r="X107" s="128"/>
      <c r="Y107" s="1"/>
      <c r="Z107" s="1"/>
      <c r="AA107" s="1"/>
      <c r="AB107" s="1"/>
      <c r="AC107" s="1"/>
      <c r="AD107" s="1"/>
    </row>
    <row r="108" spans="1:30" ht="16.5" customHeight="1">
      <c r="A108" s="128"/>
      <c r="B108" s="128"/>
      <c r="C108" s="535" t="s">
        <v>347</v>
      </c>
      <c r="D108" s="394"/>
      <c r="E108" s="479"/>
      <c r="F108" s="541">
        <v>0</v>
      </c>
      <c r="G108" s="542"/>
      <c r="H108" s="543">
        <v>0</v>
      </c>
      <c r="I108" s="544">
        <v>0</v>
      </c>
      <c r="J108" s="545">
        <v>0</v>
      </c>
      <c r="K108" s="128"/>
      <c r="L108" s="128"/>
      <c r="M108" s="128"/>
      <c r="N108" s="128"/>
      <c r="O108" s="128"/>
      <c r="P108" s="128"/>
      <c r="Q108" s="128"/>
      <c r="R108" s="128"/>
      <c r="S108" s="128"/>
      <c r="T108" s="128"/>
      <c r="U108" s="128"/>
      <c r="V108" s="128"/>
      <c r="W108" s="128"/>
      <c r="X108" s="128"/>
      <c r="Y108" s="1"/>
      <c r="Z108" s="1"/>
      <c r="AA108" s="1"/>
      <c r="AB108" s="1"/>
      <c r="AC108" s="1"/>
      <c r="AD108" s="1"/>
    </row>
    <row r="109" spans="1:30" ht="14.25" customHeight="1" outlineLevel="1">
      <c r="A109" s="128"/>
      <c r="B109" s="128"/>
      <c r="C109" s="535" t="s">
        <v>348</v>
      </c>
      <c r="D109" s="394"/>
      <c r="E109" s="479"/>
      <c r="F109" s="541">
        <v>0</v>
      </c>
      <c r="G109" s="542"/>
      <c r="H109" s="543">
        <v>0</v>
      </c>
      <c r="I109" s="544">
        <v>0</v>
      </c>
      <c r="J109" s="545">
        <v>0</v>
      </c>
      <c r="K109" s="128"/>
      <c r="L109" s="128"/>
      <c r="M109" s="128"/>
      <c r="N109" s="128"/>
      <c r="O109" s="128"/>
      <c r="P109" s="128"/>
      <c r="Q109" s="128"/>
      <c r="R109" s="128"/>
      <c r="S109" s="128"/>
      <c r="T109" s="128"/>
      <c r="U109" s="128"/>
      <c r="V109" s="128"/>
      <c r="W109" s="128"/>
      <c r="X109" s="128"/>
    </row>
    <row r="110" spans="1:30" ht="14.25" hidden="1" customHeight="1" outlineLevel="1">
      <c r="A110" s="128"/>
      <c r="B110" s="128"/>
      <c r="C110" s="535"/>
      <c r="D110" s="395"/>
      <c r="E110" s="473">
        <v>0</v>
      </c>
      <c r="F110" s="546"/>
      <c r="G110" s="547"/>
      <c r="H110" s="548"/>
      <c r="I110" s="539"/>
      <c r="J110" s="540"/>
      <c r="K110" s="128"/>
      <c r="L110" s="128"/>
      <c r="M110" s="128"/>
      <c r="N110" s="128"/>
      <c r="O110" s="128"/>
      <c r="P110" s="128"/>
      <c r="Q110" s="128"/>
      <c r="R110" s="128"/>
      <c r="S110" s="128"/>
      <c r="T110" s="128"/>
      <c r="U110" s="128"/>
      <c r="V110" s="128"/>
      <c r="W110" s="128"/>
      <c r="X110" s="128"/>
    </row>
    <row r="111" spans="1:30" ht="14.25" hidden="1" customHeight="1" outlineLevel="1">
      <c r="A111" s="128"/>
      <c r="B111" s="128"/>
      <c r="C111" s="535"/>
      <c r="D111" s="395"/>
      <c r="E111" s="473">
        <v>0</v>
      </c>
      <c r="F111" s="546"/>
      <c r="G111" s="547"/>
      <c r="H111" s="548"/>
      <c r="I111" s="539"/>
      <c r="J111" s="540"/>
      <c r="K111" s="128"/>
      <c r="L111" s="128"/>
      <c r="M111" s="128"/>
      <c r="N111" s="128"/>
      <c r="O111" s="128"/>
      <c r="P111" s="128"/>
      <c r="Q111" s="128"/>
      <c r="R111" s="128"/>
      <c r="S111" s="128"/>
      <c r="T111" s="128"/>
      <c r="U111" s="128"/>
      <c r="V111" s="128"/>
      <c r="W111" s="128"/>
      <c r="X111" s="128"/>
      <c r="Y111" s="1"/>
      <c r="Z111" s="1"/>
    </row>
    <row r="112" spans="1:30" ht="14.25" hidden="1" customHeight="1" outlineLevel="1">
      <c r="A112" s="128"/>
      <c r="B112" s="128"/>
      <c r="C112" s="535"/>
      <c r="D112" s="395"/>
      <c r="E112" s="473">
        <v>0</v>
      </c>
      <c r="F112" s="546"/>
      <c r="G112" s="547"/>
      <c r="H112" s="548"/>
      <c r="I112" s="539"/>
      <c r="J112" s="540"/>
      <c r="K112" s="128"/>
      <c r="L112" s="128"/>
      <c r="M112" s="128"/>
      <c r="N112" s="128"/>
      <c r="O112" s="128"/>
      <c r="P112" s="128"/>
      <c r="Q112" s="128"/>
      <c r="R112" s="128"/>
      <c r="S112" s="128"/>
      <c r="T112" s="128"/>
      <c r="U112" s="128"/>
      <c r="V112" s="128"/>
      <c r="W112" s="128"/>
      <c r="X112" s="128"/>
      <c r="Y112" s="1"/>
      <c r="Z112" s="1"/>
      <c r="AA112" s="1"/>
      <c r="AB112" s="1"/>
      <c r="AC112" s="1"/>
      <c r="AD112" s="1"/>
    </row>
    <row r="113" spans="1:26" ht="14.25" hidden="1" customHeight="1" outlineLevel="1">
      <c r="A113" s="128"/>
      <c r="B113" s="128"/>
      <c r="C113" s="535"/>
      <c r="D113" s="395"/>
      <c r="E113" s="473"/>
      <c r="F113" s="546"/>
      <c r="G113" s="547"/>
      <c r="H113" s="548"/>
      <c r="I113" s="539"/>
      <c r="J113" s="540"/>
      <c r="K113" s="128"/>
      <c r="L113" s="128"/>
      <c r="M113" s="128"/>
      <c r="N113" s="128"/>
      <c r="O113" s="128"/>
      <c r="P113" s="128"/>
      <c r="Q113" s="128"/>
      <c r="R113" s="128"/>
      <c r="S113" s="128"/>
      <c r="T113" s="128"/>
      <c r="U113" s="128"/>
      <c r="V113" s="128"/>
      <c r="W113" s="128"/>
      <c r="X113" s="128"/>
      <c r="Y113" s="1"/>
      <c r="Z113" s="1"/>
    </row>
    <row r="114" spans="1:26" ht="14.25" hidden="1" customHeight="1" outlineLevel="1">
      <c r="A114" s="128"/>
      <c r="B114" s="128"/>
      <c r="C114" s="535"/>
      <c r="D114" s="395"/>
      <c r="E114" s="473"/>
      <c r="F114" s="546"/>
      <c r="G114" s="547"/>
      <c r="H114" s="548"/>
      <c r="I114" s="539"/>
      <c r="J114" s="540"/>
      <c r="K114" s="128"/>
      <c r="L114" s="128"/>
      <c r="M114" s="128"/>
      <c r="N114" s="128"/>
      <c r="O114" s="128"/>
      <c r="P114" s="128"/>
      <c r="Q114" s="128"/>
      <c r="R114" s="128"/>
      <c r="S114" s="128"/>
      <c r="T114" s="128"/>
      <c r="U114" s="128"/>
      <c r="V114" s="128"/>
      <c r="W114" s="128"/>
      <c r="X114" s="128"/>
      <c r="Y114" s="1"/>
      <c r="Z114" s="1"/>
    </row>
    <row r="115" spans="1:26" ht="14.25" hidden="1" customHeight="1" outlineLevel="1">
      <c r="A115" s="128"/>
      <c r="B115" s="128"/>
      <c r="C115" s="535"/>
      <c r="D115" s="395"/>
      <c r="E115" s="473"/>
      <c r="F115" s="546"/>
      <c r="G115" s="547"/>
      <c r="H115" s="548"/>
      <c r="I115" s="479"/>
      <c r="J115" s="497"/>
      <c r="K115" s="128"/>
      <c r="L115" s="128"/>
      <c r="M115" s="128"/>
      <c r="N115" s="128"/>
      <c r="O115" s="128"/>
      <c r="P115" s="128"/>
      <c r="Q115" s="128"/>
      <c r="R115" s="128"/>
      <c r="S115" s="128"/>
      <c r="T115" s="128"/>
      <c r="U115" s="128"/>
      <c r="V115" s="128"/>
      <c r="W115" s="128"/>
      <c r="X115" s="128"/>
      <c r="Y115" s="1"/>
      <c r="Z115" s="1"/>
    </row>
    <row r="116" spans="1:26" ht="14.25" hidden="1" customHeight="1" outlineLevel="1">
      <c r="A116" s="128"/>
      <c r="B116" s="128"/>
      <c r="C116" s="535"/>
      <c r="D116" s="395"/>
      <c r="E116" s="473"/>
      <c r="F116" s="546"/>
      <c r="G116" s="547"/>
      <c r="H116" s="548"/>
      <c r="I116" s="539"/>
      <c r="J116" s="540"/>
      <c r="K116" s="128"/>
      <c r="L116" s="128"/>
      <c r="M116" s="128"/>
      <c r="N116" s="128"/>
      <c r="O116" s="128"/>
      <c r="P116" s="128"/>
      <c r="Q116" s="128"/>
      <c r="R116" s="128"/>
      <c r="S116" s="128"/>
      <c r="T116" s="128"/>
      <c r="U116" s="128"/>
      <c r="V116" s="128"/>
      <c r="W116" s="128"/>
      <c r="X116" s="128"/>
      <c r="Y116" s="1"/>
      <c r="Z116" s="1"/>
    </row>
    <row r="117" spans="1:26" ht="14.25" hidden="1" customHeight="1" outlineLevel="1">
      <c r="A117" s="128"/>
      <c r="B117" s="128"/>
      <c r="C117" s="549"/>
      <c r="D117" s="395"/>
      <c r="E117" s="473"/>
      <c r="F117" s="546"/>
      <c r="G117" s="547"/>
      <c r="H117" s="548"/>
      <c r="I117" s="539"/>
      <c r="J117" s="540"/>
      <c r="K117" s="128"/>
      <c r="L117" s="128"/>
      <c r="M117" s="128"/>
      <c r="N117" s="128"/>
      <c r="O117" s="128"/>
      <c r="P117" s="128"/>
      <c r="Q117" s="128"/>
      <c r="R117" s="128"/>
      <c r="S117" s="128"/>
      <c r="T117" s="128"/>
      <c r="U117" s="128"/>
      <c r="V117" s="128"/>
      <c r="W117" s="128"/>
      <c r="X117" s="128"/>
      <c r="Y117" s="1"/>
      <c r="Z117" s="1"/>
    </row>
    <row r="118" spans="1:26" ht="14.25" customHeight="1" outlineLevel="1">
      <c r="A118" s="550"/>
      <c r="B118" s="128"/>
      <c r="C118" s="551"/>
      <c r="D118" s="387"/>
      <c r="E118" s="487"/>
      <c r="F118" s="552"/>
      <c r="G118" s="553"/>
      <c r="H118" s="554"/>
      <c r="I118" s="555"/>
      <c r="J118" s="556"/>
      <c r="K118" s="557"/>
      <c r="L118" s="550"/>
      <c r="M118" s="550"/>
      <c r="N118" s="550"/>
      <c r="O118" s="550"/>
      <c r="P118" s="550"/>
      <c r="Q118" s="550"/>
      <c r="R118" s="550"/>
      <c r="S118" s="550"/>
      <c r="T118" s="550"/>
      <c r="U118" s="550"/>
      <c r="V118" s="550"/>
      <c r="W118" s="550"/>
      <c r="X118" s="550"/>
    </row>
    <row r="119" spans="1:26" ht="14.25" customHeight="1">
      <c r="A119" s="128"/>
      <c r="B119" s="128"/>
      <c r="C119" s="534" t="s">
        <v>349</v>
      </c>
      <c r="D119" s="361">
        <f>SUM(D120:D122)</f>
        <v>0</v>
      </c>
      <c r="E119" s="361"/>
      <c r="F119" s="362">
        <f t="shared" ref="F119:J119" si="26">SUM(F120:F122)</f>
        <v>0</v>
      </c>
      <c r="G119" s="361">
        <f t="shared" si="26"/>
        <v>0</v>
      </c>
      <c r="H119" s="362">
        <f t="shared" si="26"/>
        <v>0</v>
      </c>
      <c r="I119" s="361">
        <f t="shared" si="26"/>
        <v>0</v>
      </c>
      <c r="J119" s="364">
        <f t="shared" si="26"/>
        <v>0</v>
      </c>
      <c r="K119" s="128"/>
      <c r="L119" s="128"/>
      <c r="M119" s="128"/>
      <c r="N119" s="128"/>
      <c r="O119" s="128"/>
      <c r="P119" s="128"/>
      <c r="Q119" s="128"/>
      <c r="R119" s="128"/>
      <c r="S119" s="128"/>
      <c r="T119" s="128"/>
      <c r="U119" s="128"/>
      <c r="V119" s="128"/>
      <c r="W119" s="128"/>
      <c r="X119" s="128"/>
    </row>
    <row r="120" spans="1:26" ht="14.25" hidden="1" customHeight="1">
      <c r="A120" s="128"/>
      <c r="B120" s="128"/>
      <c r="C120" s="424" t="s">
        <v>350</v>
      </c>
      <c r="D120" s="495"/>
      <c r="E120" s="558">
        <v>2125000</v>
      </c>
      <c r="F120" s="559"/>
      <c r="G120" s="558"/>
      <c r="H120" s="560"/>
      <c r="I120" s="544"/>
      <c r="J120" s="544"/>
      <c r="K120" s="128"/>
      <c r="L120" s="128"/>
      <c r="M120" s="128"/>
      <c r="N120" s="128"/>
      <c r="O120" s="128"/>
      <c r="P120" s="128"/>
      <c r="Q120" s="128"/>
      <c r="R120" s="128"/>
      <c r="S120" s="128"/>
      <c r="T120" s="128"/>
      <c r="U120" s="128"/>
      <c r="V120" s="128"/>
      <c r="W120" s="128"/>
      <c r="X120" s="128"/>
      <c r="Y120" s="1"/>
      <c r="Z120" s="1"/>
    </row>
    <row r="121" spans="1:26" ht="14.25" hidden="1" customHeight="1">
      <c r="A121" s="128"/>
      <c r="B121" s="128"/>
      <c r="C121" s="393" t="s">
        <v>351</v>
      </c>
      <c r="D121" s="396"/>
      <c r="E121" s="561"/>
      <c r="F121" s="562"/>
      <c r="G121" s="561"/>
      <c r="H121" s="563"/>
      <c r="I121" s="539"/>
      <c r="J121" s="539"/>
      <c r="K121" s="128"/>
      <c r="L121" s="128"/>
      <c r="M121" s="128"/>
      <c r="N121" s="128"/>
      <c r="O121" s="128"/>
      <c r="P121" s="128"/>
      <c r="Q121" s="128"/>
      <c r="R121" s="128"/>
      <c r="S121" s="128"/>
      <c r="T121" s="128"/>
      <c r="U121" s="128"/>
      <c r="V121" s="128"/>
      <c r="W121" s="128"/>
      <c r="X121" s="128"/>
      <c r="Y121" s="1"/>
      <c r="Z121" s="1"/>
    </row>
    <row r="122" spans="1:26" ht="14.25" customHeight="1">
      <c r="A122" s="128"/>
      <c r="B122" s="128"/>
      <c r="C122" s="424"/>
      <c r="D122" s="472"/>
      <c r="E122" s="564"/>
      <c r="F122" s="352"/>
      <c r="G122" s="565"/>
      <c r="H122" s="566"/>
      <c r="I122" s="567"/>
      <c r="J122" s="567"/>
      <c r="K122" s="128"/>
      <c r="L122" s="128"/>
      <c r="M122" s="128"/>
      <c r="N122" s="128"/>
      <c r="O122" s="128"/>
      <c r="P122" s="128"/>
      <c r="Q122" s="128"/>
      <c r="R122" s="128"/>
      <c r="S122" s="128"/>
      <c r="T122" s="128"/>
      <c r="U122" s="128"/>
      <c r="V122" s="128"/>
      <c r="W122" s="128"/>
      <c r="X122" s="128"/>
    </row>
    <row r="123" spans="1:26" ht="14.25" customHeight="1">
      <c r="A123" s="51"/>
      <c r="B123" s="51"/>
      <c r="C123" s="372" t="s">
        <v>352</v>
      </c>
      <c r="D123" s="568">
        <f t="shared" ref="D123:J123" si="27">+D104+D119</f>
        <v>0</v>
      </c>
      <c r="E123" s="569">
        <f t="shared" si="27"/>
        <v>0</v>
      </c>
      <c r="F123" s="502">
        <f t="shared" si="27"/>
        <v>0</v>
      </c>
      <c r="G123" s="569">
        <f t="shared" si="27"/>
        <v>0</v>
      </c>
      <c r="H123" s="570">
        <f t="shared" si="27"/>
        <v>0</v>
      </c>
      <c r="I123" s="361">
        <f t="shared" si="27"/>
        <v>0</v>
      </c>
      <c r="J123" s="361">
        <f t="shared" si="27"/>
        <v>0</v>
      </c>
      <c r="K123" s="51"/>
      <c r="L123" s="51"/>
      <c r="M123" s="51"/>
      <c r="N123" s="51"/>
      <c r="O123" s="51"/>
      <c r="P123" s="51"/>
      <c r="Q123" s="51"/>
      <c r="R123" s="51"/>
      <c r="S123" s="51"/>
      <c r="T123" s="51"/>
      <c r="U123" s="51"/>
      <c r="V123" s="51"/>
      <c r="W123" s="51"/>
      <c r="X123" s="51"/>
    </row>
    <row r="124" spans="1:26" ht="14.25" customHeight="1">
      <c r="A124" s="128"/>
      <c r="B124" s="128"/>
      <c r="C124" s="382"/>
      <c r="D124" s="399"/>
      <c r="E124" s="487"/>
      <c r="F124" s="385"/>
      <c r="G124" s="553"/>
      <c r="H124" s="382"/>
      <c r="I124" s="571"/>
      <c r="J124" s="571"/>
      <c r="K124" s="128"/>
      <c r="L124" s="128"/>
      <c r="M124" s="128"/>
      <c r="N124" s="128"/>
      <c r="O124" s="128"/>
      <c r="P124" s="128"/>
      <c r="Q124" s="128"/>
      <c r="R124" s="128"/>
      <c r="S124" s="128"/>
      <c r="T124" s="128"/>
      <c r="U124" s="128"/>
      <c r="V124" s="128"/>
      <c r="W124" s="128"/>
      <c r="X124" s="128"/>
    </row>
    <row r="125" spans="1:26" ht="14.25" customHeight="1">
      <c r="A125" s="128"/>
      <c r="B125" s="128"/>
      <c r="C125" s="372" t="s">
        <v>353</v>
      </c>
      <c r="D125" s="568">
        <f>SUM(D126:D134)</f>
        <v>0</v>
      </c>
      <c r="E125" s="490"/>
      <c r="F125" s="502"/>
      <c r="G125" s="490"/>
      <c r="H125" s="572"/>
      <c r="I125" s="573"/>
      <c r="J125" s="573"/>
      <c r="K125" s="128"/>
      <c r="L125" s="128"/>
      <c r="M125" s="128"/>
      <c r="N125" s="128"/>
      <c r="O125" s="128"/>
      <c r="P125" s="128"/>
      <c r="Q125" s="128"/>
      <c r="R125" s="128"/>
      <c r="S125" s="128"/>
      <c r="T125" s="128"/>
      <c r="U125" s="128"/>
      <c r="V125" s="128"/>
      <c r="W125" s="128"/>
      <c r="X125" s="128"/>
    </row>
    <row r="126" spans="1:26" ht="14.25" customHeight="1">
      <c r="A126" s="128"/>
      <c r="B126" s="128"/>
      <c r="C126" s="424" t="s">
        <v>354</v>
      </c>
      <c r="D126" s="546"/>
      <c r="E126" s="473"/>
      <c r="F126" s="496"/>
      <c r="G126" s="473"/>
      <c r="H126" s="496"/>
      <c r="I126" s="544"/>
      <c r="J126" s="544"/>
      <c r="K126" s="128"/>
      <c r="L126" s="128"/>
      <c r="M126" s="128"/>
      <c r="N126" s="128"/>
      <c r="O126" s="128"/>
      <c r="P126" s="128"/>
      <c r="Q126" s="128"/>
      <c r="R126" s="128"/>
      <c r="S126" s="128"/>
      <c r="T126" s="128"/>
      <c r="U126" s="128"/>
      <c r="V126" s="128"/>
      <c r="W126" s="128"/>
      <c r="X126" s="128"/>
    </row>
    <row r="127" spans="1:26" ht="14.25" customHeight="1">
      <c r="A127" s="128"/>
      <c r="B127" s="128"/>
      <c r="C127" s="512" t="s">
        <v>355</v>
      </c>
      <c r="E127" s="496"/>
      <c r="F127" s="496"/>
      <c r="G127" s="496"/>
      <c r="H127" s="539"/>
      <c r="I127" s="539"/>
      <c r="J127" s="539"/>
      <c r="K127" s="128"/>
      <c r="L127" s="128"/>
      <c r="M127" s="128"/>
      <c r="N127" s="128"/>
      <c r="O127" s="128"/>
      <c r="P127" s="128"/>
      <c r="Q127" s="128"/>
      <c r="R127" s="128"/>
      <c r="S127" s="128"/>
      <c r="T127" s="128"/>
      <c r="U127" s="128"/>
      <c r="V127" s="128"/>
      <c r="W127" s="128"/>
      <c r="X127" s="128"/>
    </row>
    <row r="128" spans="1:26" ht="14.25" customHeight="1">
      <c r="A128" s="128"/>
      <c r="B128" s="128"/>
      <c r="C128" s="512" t="s">
        <v>356</v>
      </c>
      <c r="D128" s="388"/>
      <c r="E128" s="479"/>
      <c r="F128" s="497"/>
      <c r="G128" s="497"/>
      <c r="H128" s="574"/>
      <c r="I128" s="539"/>
      <c r="J128" s="539"/>
      <c r="K128" s="128"/>
      <c r="L128" s="128"/>
      <c r="M128" s="128"/>
      <c r="N128" s="128"/>
      <c r="O128" s="128"/>
      <c r="P128" s="128"/>
      <c r="Q128" s="128"/>
      <c r="R128" s="128"/>
      <c r="S128" s="128"/>
      <c r="T128" s="128"/>
      <c r="U128" s="128"/>
      <c r="V128" s="128"/>
      <c r="W128" s="128"/>
      <c r="X128" s="128"/>
      <c r="Y128" s="1"/>
      <c r="Z128" s="1"/>
    </row>
    <row r="129" spans="1:26" ht="14.25" customHeight="1">
      <c r="A129" s="128"/>
      <c r="B129" s="128"/>
      <c r="C129" s="512"/>
      <c r="D129" s="388"/>
      <c r="E129" s="479"/>
      <c r="F129" s="497"/>
      <c r="G129" s="479"/>
      <c r="H129" s="574"/>
      <c r="I129" s="539"/>
      <c r="J129" s="539"/>
      <c r="K129" s="128"/>
      <c r="L129" s="128"/>
      <c r="M129" s="128"/>
      <c r="N129" s="128"/>
      <c r="O129" s="128"/>
      <c r="P129" s="128"/>
      <c r="Q129" s="128"/>
      <c r="R129" s="128"/>
      <c r="S129" s="128"/>
      <c r="T129" s="128"/>
      <c r="U129" s="128"/>
      <c r="V129" s="128"/>
      <c r="W129" s="128"/>
      <c r="X129" s="128"/>
      <c r="Y129" s="1"/>
      <c r="Z129" s="1"/>
    </row>
    <row r="130" spans="1:26" ht="14.25" hidden="1" customHeight="1">
      <c r="A130" s="128"/>
      <c r="B130" s="128"/>
      <c r="C130" s="512"/>
      <c r="D130" s="388"/>
      <c r="E130" s="479">
        <v>-7955610</v>
      </c>
      <c r="F130" s="497"/>
      <c r="G130" s="479"/>
      <c r="H130" s="574"/>
      <c r="I130" s="539"/>
      <c r="J130" s="539"/>
      <c r="K130" s="128"/>
      <c r="L130" s="128"/>
      <c r="M130" s="128"/>
      <c r="N130" s="128"/>
      <c r="O130" s="128"/>
      <c r="P130" s="128"/>
      <c r="Q130" s="128"/>
      <c r="R130" s="128"/>
      <c r="S130" s="128"/>
      <c r="T130" s="128"/>
      <c r="U130" s="128"/>
      <c r="V130" s="128"/>
      <c r="W130" s="128"/>
      <c r="X130" s="128"/>
      <c r="Y130" s="1"/>
      <c r="Z130" s="1"/>
    </row>
    <row r="131" spans="1:26" ht="14.25" hidden="1" customHeight="1">
      <c r="A131" s="128"/>
      <c r="B131" s="128"/>
      <c r="C131" s="512"/>
      <c r="D131" s="388"/>
      <c r="E131" s="479">
        <v>-1112137</v>
      </c>
      <c r="F131" s="497"/>
      <c r="G131" s="479"/>
      <c r="H131" s="574"/>
      <c r="I131" s="539"/>
      <c r="J131" s="539"/>
      <c r="K131" s="128"/>
      <c r="L131" s="128"/>
      <c r="M131" s="128"/>
      <c r="N131" s="128"/>
      <c r="O131" s="128"/>
      <c r="P131" s="128"/>
      <c r="Q131" s="128"/>
      <c r="R131" s="128"/>
      <c r="S131" s="128"/>
      <c r="T131" s="128"/>
      <c r="U131" s="128"/>
      <c r="V131" s="128"/>
      <c r="W131" s="128"/>
      <c r="X131" s="128"/>
      <c r="Y131" s="1"/>
      <c r="Z131" s="1"/>
    </row>
    <row r="132" spans="1:26" ht="14.25" hidden="1" customHeight="1">
      <c r="A132" s="128"/>
      <c r="B132" s="128"/>
      <c r="C132" s="512"/>
      <c r="D132" s="388"/>
      <c r="E132" s="479"/>
      <c r="F132" s="497"/>
      <c r="G132" s="479"/>
      <c r="H132" s="574"/>
      <c r="I132" s="539"/>
      <c r="J132" s="539"/>
      <c r="K132" s="128"/>
      <c r="L132" s="128"/>
      <c r="M132" s="128"/>
      <c r="N132" s="128"/>
      <c r="O132" s="128"/>
      <c r="P132" s="128"/>
      <c r="Q132" s="128"/>
      <c r="R132" s="128"/>
      <c r="S132" s="128"/>
      <c r="T132" s="128"/>
      <c r="U132" s="128"/>
      <c r="V132" s="128"/>
      <c r="W132" s="128"/>
      <c r="X132" s="128"/>
      <c r="Y132" s="1"/>
      <c r="Z132" s="1"/>
    </row>
    <row r="133" spans="1:26" ht="14.25" hidden="1" customHeight="1">
      <c r="A133" s="128"/>
      <c r="B133" s="128"/>
      <c r="C133" s="512"/>
      <c r="D133" s="388"/>
      <c r="E133" s="479"/>
      <c r="F133" s="497"/>
      <c r="G133" s="479"/>
      <c r="H133" s="574"/>
      <c r="I133" s="539"/>
      <c r="J133" s="539"/>
      <c r="K133" s="128"/>
      <c r="L133" s="128"/>
      <c r="M133" s="128"/>
      <c r="N133" s="128"/>
      <c r="O133" s="128"/>
      <c r="P133" s="128"/>
      <c r="Q133" s="128"/>
      <c r="R133" s="128"/>
      <c r="S133" s="128"/>
      <c r="T133" s="128"/>
      <c r="U133" s="128"/>
      <c r="V133" s="128"/>
      <c r="W133" s="128"/>
      <c r="X133" s="128"/>
      <c r="Y133" s="1"/>
      <c r="Z133" s="1"/>
    </row>
    <row r="134" spans="1:26" ht="14.25" hidden="1" customHeight="1">
      <c r="A134" s="128"/>
      <c r="B134" s="128"/>
      <c r="C134" s="575"/>
      <c r="D134" s="484"/>
      <c r="E134" s="485"/>
      <c r="F134" s="390"/>
      <c r="G134" s="485"/>
      <c r="H134" s="576"/>
      <c r="I134" s="555"/>
      <c r="J134" s="555"/>
      <c r="K134" s="128"/>
      <c r="L134" s="128"/>
      <c r="M134" s="128"/>
      <c r="N134" s="128"/>
      <c r="O134" s="128"/>
      <c r="P134" s="128"/>
      <c r="Q134" s="128"/>
      <c r="R134" s="128"/>
      <c r="S134" s="128"/>
      <c r="T134" s="128"/>
      <c r="U134" s="128"/>
      <c r="V134" s="128"/>
      <c r="W134" s="128"/>
      <c r="X134" s="128"/>
    </row>
    <row r="135" spans="1:26" ht="14.25" customHeight="1">
      <c r="A135" s="128"/>
      <c r="B135" s="128"/>
      <c r="C135" s="372" t="s">
        <v>357</v>
      </c>
      <c r="D135" s="568">
        <f t="shared" ref="D135:J135" si="28">D125</f>
        <v>0</v>
      </c>
      <c r="E135" s="490">
        <f t="shared" si="28"/>
        <v>0</v>
      </c>
      <c r="F135" s="502">
        <f t="shared" si="28"/>
        <v>0</v>
      </c>
      <c r="G135" s="490">
        <f t="shared" si="28"/>
        <v>0</v>
      </c>
      <c r="H135" s="570">
        <f t="shared" si="28"/>
        <v>0</v>
      </c>
      <c r="I135" s="361">
        <f t="shared" si="28"/>
        <v>0</v>
      </c>
      <c r="J135" s="361">
        <f t="shared" si="28"/>
        <v>0</v>
      </c>
      <c r="K135" s="128"/>
      <c r="L135" s="128"/>
      <c r="M135" s="128"/>
      <c r="N135" s="128"/>
      <c r="O135" s="128"/>
      <c r="P135" s="128"/>
      <c r="Q135" s="128"/>
      <c r="R135" s="128"/>
      <c r="S135" s="128"/>
      <c r="T135" s="128"/>
      <c r="U135" s="128"/>
      <c r="V135" s="128"/>
      <c r="W135" s="128"/>
      <c r="X135" s="128"/>
    </row>
    <row r="136" spans="1:26" ht="14.25" customHeight="1">
      <c r="A136" s="128"/>
      <c r="B136" s="128"/>
      <c r="C136" s="382"/>
      <c r="D136" s="383"/>
      <c r="E136" s="487"/>
      <c r="F136" s="577"/>
      <c r="G136" s="578"/>
      <c r="H136" s="578"/>
      <c r="I136" s="571"/>
      <c r="J136" s="571"/>
      <c r="K136" s="128"/>
      <c r="L136" s="128"/>
      <c r="M136" s="128"/>
      <c r="N136" s="128"/>
      <c r="O136" s="128"/>
      <c r="P136" s="128"/>
      <c r="Q136" s="128"/>
      <c r="R136" s="128"/>
      <c r="S136" s="128"/>
      <c r="T136" s="128"/>
      <c r="U136" s="128"/>
      <c r="V136" s="128"/>
      <c r="W136" s="128"/>
      <c r="X136" s="128"/>
    </row>
    <row r="137" spans="1:26" ht="14.25" customHeight="1">
      <c r="A137" s="128"/>
      <c r="B137" s="128"/>
      <c r="C137" s="515" t="s">
        <v>358</v>
      </c>
      <c r="D137" s="579">
        <f t="shared" ref="D137:G137" si="29">+D123+D135</f>
        <v>0</v>
      </c>
      <c r="E137" s="580">
        <f t="shared" si="29"/>
        <v>0</v>
      </c>
      <c r="F137" s="580">
        <f t="shared" si="29"/>
        <v>0</v>
      </c>
      <c r="G137" s="581">
        <f t="shared" si="29"/>
        <v>0</v>
      </c>
      <c r="H137" s="581">
        <f t="shared" ref="H137:J137" si="30">+H135+H123</f>
        <v>0</v>
      </c>
      <c r="I137" s="582">
        <f t="shared" si="30"/>
        <v>0</v>
      </c>
      <c r="J137" s="582">
        <f t="shared" si="30"/>
        <v>0</v>
      </c>
      <c r="K137" s="128"/>
      <c r="L137" s="128"/>
      <c r="M137" s="128"/>
      <c r="N137" s="128"/>
      <c r="O137" s="128"/>
      <c r="P137" s="128"/>
      <c r="Q137" s="128"/>
      <c r="R137" s="128"/>
      <c r="S137" s="128"/>
      <c r="T137" s="128"/>
      <c r="U137" s="128"/>
      <c r="V137" s="128"/>
      <c r="W137" s="128"/>
      <c r="X137" s="128"/>
    </row>
    <row r="138" spans="1:26" ht="14.25" customHeight="1" outlineLevel="1">
      <c r="A138" s="128"/>
      <c r="B138" s="128"/>
      <c r="C138" s="583"/>
      <c r="D138" s="584">
        <f t="shared" ref="D138:J138" si="31">+D95</f>
        <v>0</v>
      </c>
      <c r="E138" s="585">
        <f t="shared" si="31"/>
        <v>0</v>
      </c>
      <c r="F138" s="585">
        <f t="shared" si="31"/>
        <v>0</v>
      </c>
      <c r="G138" s="585">
        <f t="shared" si="31"/>
        <v>0</v>
      </c>
      <c r="H138" s="585">
        <f t="shared" si="31"/>
        <v>0</v>
      </c>
      <c r="I138" s="584">
        <f t="shared" si="31"/>
        <v>0</v>
      </c>
      <c r="J138" s="584">
        <f t="shared" si="31"/>
        <v>0</v>
      </c>
      <c r="K138" s="128"/>
      <c r="L138" s="128"/>
      <c r="M138" s="128"/>
      <c r="N138" s="128"/>
      <c r="O138" s="583"/>
      <c r="P138" s="128"/>
      <c r="Q138" s="128"/>
      <c r="R138" s="128"/>
      <c r="S138" s="128"/>
      <c r="T138" s="128"/>
      <c r="U138" s="128"/>
      <c r="V138" s="128"/>
      <c r="W138" s="128"/>
      <c r="X138" s="128"/>
    </row>
    <row r="139" spans="1:26" ht="14.25" customHeight="1" outlineLevel="1">
      <c r="A139" s="128"/>
      <c r="B139" s="128"/>
      <c r="C139" s="128"/>
      <c r="D139" s="586">
        <f>+D137-D138</f>
        <v>0</v>
      </c>
      <c r="E139" s="586">
        <f t="shared" ref="E139:J139" si="32">+E137-E95</f>
        <v>0</v>
      </c>
      <c r="F139" s="586">
        <f t="shared" si="32"/>
        <v>0</v>
      </c>
      <c r="G139" s="586">
        <f t="shared" si="32"/>
        <v>0</v>
      </c>
      <c r="H139" s="586">
        <f t="shared" si="32"/>
        <v>0</v>
      </c>
      <c r="I139" s="586">
        <f t="shared" si="32"/>
        <v>0</v>
      </c>
      <c r="J139" s="586">
        <f t="shared" si="32"/>
        <v>0</v>
      </c>
      <c r="K139" s="128"/>
      <c r="L139" s="128"/>
      <c r="M139" s="128"/>
      <c r="N139" s="128"/>
      <c r="O139" s="128"/>
      <c r="P139" s="128"/>
      <c r="Q139" s="128"/>
      <c r="R139" s="128"/>
      <c r="S139" s="128"/>
      <c r="T139" s="128"/>
      <c r="U139" s="128"/>
      <c r="V139" s="128"/>
      <c r="W139" s="128"/>
      <c r="X139" s="128"/>
    </row>
    <row r="140" spans="1:26" ht="14.25" customHeight="1">
      <c r="A140" s="128"/>
      <c r="B140" s="128"/>
      <c r="C140" s="128"/>
      <c r="D140" s="443"/>
      <c r="E140" s="446"/>
      <c r="F140" s="446"/>
      <c r="G140" s="446"/>
      <c r="H140" s="443"/>
      <c r="I140" s="443"/>
      <c r="J140" s="128"/>
      <c r="K140" s="128"/>
      <c r="L140" s="128"/>
      <c r="M140" s="128"/>
      <c r="N140" s="128"/>
      <c r="O140" s="128"/>
      <c r="P140" s="128"/>
      <c r="Q140" s="128"/>
      <c r="R140" s="128"/>
      <c r="S140" s="128"/>
      <c r="T140" s="128"/>
      <c r="U140" s="128"/>
      <c r="V140" s="128"/>
      <c r="W140" s="128"/>
      <c r="X140" s="128"/>
    </row>
    <row r="141" spans="1:26" ht="14.25" hidden="1" customHeight="1">
      <c r="A141" s="128"/>
      <c r="B141" s="128"/>
      <c r="C141" s="128" t="e">
        <f t="shared" ref="C141:C146" si="33">#REF!</f>
        <v>#REF!</v>
      </c>
      <c r="D141" s="587" t="e">
        <f>+#REF!</f>
        <v>#REF!</v>
      </c>
      <c r="E141" s="588" t="e">
        <f t="shared" ref="E141:E146" si="34">#REF!</f>
        <v>#REF!</v>
      </c>
      <c r="F141" s="588"/>
      <c r="G141" s="589" t="e">
        <f>#REF!</f>
        <v>#REF!</v>
      </c>
      <c r="H141" s="587"/>
      <c r="I141" s="590"/>
      <c r="J141" s="128"/>
      <c r="K141" s="128"/>
      <c r="L141" s="128"/>
      <c r="M141" s="128"/>
      <c r="N141" s="128"/>
      <c r="O141" s="587" t="s">
        <v>359</v>
      </c>
      <c r="P141" s="591">
        <f>+G160</f>
        <v>0</v>
      </c>
      <c r="Q141" s="128"/>
      <c r="R141" s="128"/>
      <c r="S141" s="128"/>
      <c r="T141" s="128"/>
      <c r="U141" s="128"/>
      <c r="V141" s="128"/>
      <c r="W141" s="128"/>
      <c r="X141" s="128"/>
    </row>
    <row r="142" spans="1:26" ht="14.25" hidden="1" customHeight="1">
      <c r="A142" s="1397" t="e">
        <f>#REF!</f>
        <v>#REF!</v>
      </c>
      <c r="B142" s="592"/>
      <c r="C142" s="451" t="e">
        <f t="shared" si="33"/>
        <v>#REF!</v>
      </c>
      <c r="D142" s="593" t="e">
        <f t="shared" ref="D142:D146" si="35">+#REF!/#REF!</f>
        <v>#REF!</v>
      </c>
      <c r="E142" s="594" t="e">
        <f t="shared" si="34"/>
        <v>#REF!</v>
      </c>
      <c r="F142" s="594"/>
      <c r="G142" s="595" t="e">
        <f t="shared" ref="G142:G146" si="36">+E142/E$145</f>
        <v>#REF!</v>
      </c>
      <c r="H142" s="596"/>
      <c r="I142" s="597"/>
      <c r="J142" s="128"/>
      <c r="K142" s="128"/>
      <c r="L142" s="128"/>
      <c r="M142" s="128"/>
      <c r="N142" s="128"/>
      <c r="O142" s="598" t="e">
        <f t="shared" ref="O142:O146" si="37">+#REF!/#REF!</f>
        <v>#REF!</v>
      </c>
      <c r="P142" s="599"/>
      <c r="Q142" s="128"/>
      <c r="R142" s="128"/>
      <c r="S142" s="128"/>
      <c r="T142" s="128"/>
      <c r="U142" s="128"/>
      <c r="V142" s="128"/>
      <c r="W142" s="128"/>
      <c r="X142" s="128"/>
    </row>
    <row r="143" spans="1:26" ht="14.25" hidden="1" customHeight="1">
      <c r="A143" s="1366"/>
      <c r="B143" s="600"/>
      <c r="C143" s="459" t="e">
        <f t="shared" si="33"/>
        <v>#REF!</v>
      </c>
      <c r="D143" s="593" t="e">
        <f t="shared" si="35"/>
        <v>#REF!</v>
      </c>
      <c r="E143" s="601" t="e">
        <f t="shared" si="34"/>
        <v>#REF!</v>
      </c>
      <c r="F143" s="601"/>
      <c r="G143" s="595" t="e">
        <f t="shared" si="36"/>
        <v>#REF!</v>
      </c>
      <c r="H143" s="602"/>
      <c r="I143" s="597"/>
      <c r="J143" s="128"/>
      <c r="K143" s="128"/>
      <c r="L143" s="128"/>
      <c r="M143" s="128"/>
      <c r="N143" s="128"/>
      <c r="O143" s="598" t="e">
        <f t="shared" si="37"/>
        <v>#REF!</v>
      </c>
      <c r="P143" s="603"/>
      <c r="Q143" s="128"/>
      <c r="R143" s="128"/>
      <c r="S143" s="128"/>
      <c r="T143" s="128"/>
      <c r="U143" s="128"/>
      <c r="V143" s="128"/>
      <c r="W143" s="128"/>
      <c r="X143" s="128"/>
    </row>
    <row r="144" spans="1:26" ht="14.25" hidden="1" customHeight="1">
      <c r="A144" s="1397" t="e">
        <f>#REF!</f>
        <v>#REF!</v>
      </c>
      <c r="B144" s="604"/>
      <c r="C144" s="605" t="e">
        <f t="shared" si="33"/>
        <v>#REF!</v>
      </c>
      <c r="D144" s="593" t="e">
        <f t="shared" si="35"/>
        <v>#REF!</v>
      </c>
      <c r="E144" s="606" t="e">
        <f t="shared" si="34"/>
        <v>#REF!</v>
      </c>
      <c r="F144" s="606"/>
      <c r="G144" s="595" t="e">
        <f t="shared" si="36"/>
        <v>#REF!</v>
      </c>
      <c r="H144" s="597"/>
      <c r="I144" s="597"/>
      <c r="J144" s="128"/>
      <c r="K144" s="128"/>
      <c r="L144" s="128"/>
      <c r="M144" s="128"/>
      <c r="N144" s="128"/>
      <c r="O144" s="598" t="e">
        <f t="shared" si="37"/>
        <v>#REF!</v>
      </c>
      <c r="P144" s="607"/>
      <c r="Q144" s="128"/>
      <c r="R144" s="128"/>
      <c r="S144" s="128"/>
      <c r="T144" s="128"/>
      <c r="U144" s="128"/>
      <c r="V144" s="128"/>
      <c r="W144" s="128"/>
      <c r="X144" s="128"/>
    </row>
    <row r="145" spans="1:24" ht="14.25" hidden="1" customHeight="1">
      <c r="A145" s="1366"/>
      <c r="B145" s="600"/>
      <c r="C145" s="459" t="e">
        <f t="shared" si="33"/>
        <v>#REF!</v>
      </c>
      <c r="D145" s="593" t="e">
        <f t="shared" si="35"/>
        <v>#REF!</v>
      </c>
      <c r="E145" s="601" t="e">
        <f t="shared" si="34"/>
        <v>#REF!</v>
      </c>
      <c r="F145" s="601"/>
      <c r="G145" s="595" t="e">
        <f t="shared" si="36"/>
        <v>#REF!</v>
      </c>
      <c r="H145" s="602"/>
      <c r="I145" s="597"/>
      <c r="J145" s="128"/>
      <c r="K145" s="128"/>
      <c r="L145" s="128"/>
      <c r="M145" s="128"/>
      <c r="N145" s="128"/>
      <c r="O145" s="593" t="e">
        <f t="shared" si="37"/>
        <v>#REF!</v>
      </c>
      <c r="P145" s="603"/>
      <c r="Q145" s="128"/>
      <c r="R145" s="128"/>
      <c r="S145" s="128"/>
      <c r="T145" s="128"/>
      <c r="U145" s="128"/>
      <c r="V145" s="128"/>
      <c r="W145" s="128"/>
      <c r="X145" s="128"/>
    </row>
    <row r="146" spans="1:24" ht="14.25" hidden="1" customHeight="1">
      <c r="A146" s="128"/>
      <c r="B146" s="128"/>
      <c r="C146" s="608" t="e">
        <f t="shared" si="33"/>
        <v>#REF!</v>
      </c>
      <c r="D146" s="593" t="e">
        <f t="shared" si="35"/>
        <v>#REF!</v>
      </c>
      <c r="E146" s="609" t="e">
        <f t="shared" si="34"/>
        <v>#REF!</v>
      </c>
      <c r="F146" s="609"/>
      <c r="G146" s="595" t="e">
        <f t="shared" si="36"/>
        <v>#REF!</v>
      </c>
      <c r="H146" s="602"/>
      <c r="I146" s="597"/>
      <c r="J146" s="128"/>
      <c r="K146" s="128"/>
      <c r="L146" s="128"/>
      <c r="M146" s="128"/>
      <c r="N146" s="128"/>
      <c r="O146" s="598" t="e">
        <f t="shared" si="37"/>
        <v>#REF!</v>
      </c>
      <c r="P146" s="610"/>
      <c r="Q146" s="128"/>
      <c r="R146" s="128"/>
      <c r="S146" s="128"/>
      <c r="T146" s="128"/>
      <c r="U146" s="128"/>
      <c r="V146" s="128"/>
      <c r="W146" s="128"/>
      <c r="X146" s="128"/>
    </row>
    <row r="147" spans="1:24" ht="14.25" customHeight="1">
      <c r="A147" s="128"/>
      <c r="B147" s="128"/>
      <c r="C147" s="51"/>
      <c r="D147" s="611"/>
      <c r="E147" s="612"/>
      <c r="F147" s="612"/>
      <c r="G147" s="613"/>
      <c r="H147" s="611"/>
      <c r="I147" s="611"/>
      <c r="J147" s="128"/>
      <c r="K147" s="128"/>
      <c r="L147" s="128"/>
      <c r="M147" s="128"/>
      <c r="N147" s="128"/>
      <c r="O147" s="614"/>
      <c r="P147" s="615"/>
      <c r="Q147" s="128"/>
      <c r="R147" s="128"/>
      <c r="S147" s="128"/>
      <c r="T147" s="128"/>
      <c r="U147" s="128"/>
      <c r="V147" s="128"/>
      <c r="W147" s="128"/>
      <c r="X147" s="128"/>
    </row>
    <row r="148" spans="1:24" ht="14.25" hidden="1" customHeight="1">
      <c r="A148" s="128"/>
      <c r="B148" s="128"/>
      <c r="C148" s="51"/>
      <c r="D148" s="611"/>
      <c r="E148" s="612"/>
      <c r="F148" s="612"/>
      <c r="G148" s="613"/>
      <c r="H148" s="611"/>
      <c r="I148" s="611"/>
      <c r="J148" s="128"/>
      <c r="K148" s="128"/>
      <c r="L148" s="128"/>
      <c r="M148" s="128"/>
      <c r="N148" s="128"/>
      <c r="O148" s="614"/>
      <c r="P148" s="615"/>
      <c r="Q148" s="128"/>
      <c r="R148" s="128"/>
      <c r="S148" s="128"/>
      <c r="T148" s="128"/>
      <c r="U148" s="128"/>
      <c r="V148" s="128"/>
      <c r="W148" s="128"/>
      <c r="X148" s="128"/>
    </row>
    <row r="149" spans="1:24" ht="14.25" hidden="1" customHeight="1">
      <c r="A149" s="128"/>
      <c r="B149" s="128"/>
      <c r="C149" s="128"/>
      <c r="D149" s="443"/>
      <c r="E149" s="446"/>
      <c r="F149" s="446"/>
      <c r="G149" s="446"/>
      <c r="H149" s="443"/>
      <c r="I149" s="443"/>
      <c r="J149" s="128"/>
      <c r="K149" s="128"/>
      <c r="L149" s="128"/>
      <c r="M149" s="128"/>
      <c r="N149" s="128"/>
      <c r="O149" s="128"/>
      <c r="P149" s="128"/>
      <c r="Q149" s="128"/>
      <c r="R149" s="128"/>
      <c r="S149" s="128"/>
      <c r="T149" s="128"/>
      <c r="U149" s="128"/>
      <c r="V149" s="128"/>
      <c r="W149" s="128"/>
      <c r="X149" s="128"/>
    </row>
    <row r="150" spans="1:24" ht="14.25" hidden="1" customHeight="1">
      <c r="A150" s="128"/>
      <c r="B150" s="128"/>
      <c r="C150" s="616"/>
      <c r="D150" s="443"/>
      <c r="E150" s="446"/>
      <c r="F150" s="446"/>
      <c r="G150" s="446"/>
      <c r="H150" s="443"/>
      <c r="I150" s="443"/>
      <c r="J150" s="128"/>
      <c r="K150" s="128"/>
      <c r="L150" s="128"/>
      <c r="M150" s="128"/>
      <c r="N150" s="128"/>
      <c r="O150" s="128"/>
      <c r="P150" s="128"/>
      <c r="Q150" s="128"/>
      <c r="R150" s="128"/>
      <c r="S150" s="128"/>
      <c r="T150" s="128"/>
      <c r="U150" s="128"/>
      <c r="V150" s="128"/>
      <c r="W150" s="128"/>
      <c r="X150" s="128"/>
    </row>
    <row r="151" spans="1:24" ht="14.25" hidden="1" customHeight="1">
      <c r="A151" s="128"/>
      <c r="B151" s="128"/>
      <c r="C151" s="128"/>
      <c r="D151" s="443"/>
      <c r="E151" s="446"/>
      <c r="F151" s="446"/>
      <c r="G151" s="446"/>
      <c r="H151" s="443"/>
      <c r="I151" s="443"/>
      <c r="J151" s="128"/>
      <c r="K151" s="128"/>
      <c r="L151" s="128"/>
      <c r="M151" s="128"/>
      <c r="N151" s="128"/>
      <c r="O151" s="128"/>
      <c r="P151" s="128"/>
      <c r="Q151" s="128"/>
      <c r="R151" s="128"/>
      <c r="S151" s="128"/>
      <c r="T151" s="128"/>
      <c r="U151" s="128"/>
      <c r="V151" s="128"/>
      <c r="W151" s="128"/>
      <c r="X151" s="128"/>
    </row>
    <row r="152" spans="1:24" ht="14.25" hidden="1" customHeight="1">
      <c r="A152" s="128"/>
      <c r="B152" s="128"/>
      <c r="C152" s="128"/>
      <c r="D152" s="443"/>
      <c r="E152" s="446"/>
      <c r="F152" s="446"/>
      <c r="G152" s="446"/>
      <c r="H152" s="443"/>
      <c r="I152" s="443"/>
      <c r="J152" s="128"/>
      <c r="K152" s="128"/>
      <c r="L152" s="128"/>
      <c r="M152" s="128"/>
      <c r="N152" s="128"/>
      <c r="O152" s="128"/>
      <c r="P152" s="128"/>
      <c r="Q152" s="128"/>
      <c r="R152" s="128"/>
      <c r="S152" s="128"/>
      <c r="T152" s="128"/>
      <c r="U152" s="128"/>
      <c r="V152" s="128"/>
      <c r="W152" s="128"/>
      <c r="X152" s="128"/>
    </row>
    <row r="153" spans="1:24" ht="14.25" hidden="1" customHeight="1">
      <c r="A153" s="128"/>
      <c r="B153" s="128"/>
      <c r="C153" s="128"/>
      <c r="D153" s="443"/>
      <c r="E153" s="446"/>
      <c r="F153" s="446"/>
      <c r="G153" s="446"/>
      <c r="H153" s="443"/>
      <c r="I153" s="443"/>
      <c r="J153" s="128"/>
      <c r="K153" s="128"/>
      <c r="L153" s="128"/>
      <c r="M153" s="128"/>
      <c r="N153" s="128"/>
      <c r="O153" s="128"/>
      <c r="P153" s="128"/>
      <c r="Q153" s="128"/>
      <c r="R153" s="128"/>
      <c r="S153" s="128"/>
      <c r="T153" s="128"/>
      <c r="U153" s="128"/>
      <c r="V153" s="128"/>
      <c r="W153" s="128"/>
      <c r="X153" s="128"/>
    </row>
    <row r="154" spans="1:24" ht="14.25" hidden="1" customHeight="1">
      <c r="A154" s="128"/>
      <c r="B154" s="128"/>
      <c r="C154" s="128"/>
      <c r="D154" s="443"/>
      <c r="E154" s="446"/>
      <c r="F154" s="446"/>
      <c r="G154" s="446"/>
      <c r="H154" s="443"/>
      <c r="I154" s="443"/>
      <c r="J154" s="128"/>
      <c r="K154" s="128"/>
      <c r="L154" s="128"/>
      <c r="M154" s="128"/>
      <c r="N154" s="128"/>
      <c r="O154" s="128"/>
      <c r="P154" s="128"/>
      <c r="Q154" s="128"/>
      <c r="R154" s="128"/>
      <c r="S154" s="128"/>
      <c r="T154" s="128"/>
      <c r="U154" s="128"/>
      <c r="V154" s="128"/>
      <c r="W154" s="128"/>
      <c r="X154" s="128"/>
    </row>
    <row r="155" spans="1:24" ht="14.25" hidden="1" customHeight="1">
      <c r="A155" s="128"/>
      <c r="B155" s="128"/>
      <c r="C155" s="128"/>
      <c r="D155" s="443"/>
      <c r="E155" s="446"/>
      <c r="F155" s="446"/>
      <c r="G155" s="446"/>
      <c r="H155" s="443"/>
      <c r="I155" s="443"/>
      <c r="J155" s="128"/>
      <c r="K155" s="128"/>
      <c r="L155" s="128"/>
      <c r="M155" s="128"/>
      <c r="N155" s="128"/>
      <c r="O155" s="128"/>
      <c r="P155" s="128"/>
      <c r="Q155" s="128"/>
      <c r="R155" s="128"/>
      <c r="S155" s="128"/>
      <c r="T155" s="128"/>
      <c r="U155" s="128"/>
      <c r="V155" s="128"/>
      <c r="W155" s="128"/>
      <c r="X155" s="128"/>
    </row>
    <row r="156" spans="1:24" ht="14.25" hidden="1" customHeight="1">
      <c r="A156" s="128"/>
      <c r="B156" s="128"/>
      <c r="C156" s="128"/>
      <c r="D156" s="443"/>
      <c r="E156" s="446"/>
      <c r="F156" s="446"/>
      <c r="G156" s="446"/>
      <c r="H156" s="443"/>
      <c r="I156" s="443"/>
      <c r="J156" s="128"/>
      <c r="K156" s="128"/>
      <c r="L156" s="128"/>
      <c r="M156" s="128"/>
      <c r="N156" s="128"/>
      <c r="O156" s="128"/>
      <c r="P156" s="128"/>
      <c r="Q156" s="128"/>
      <c r="R156" s="128"/>
      <c r="S156" s="128"/>
      <c r="T156" s="128"/>
      <c r="U156" s="128"/>
      <c r="V156" s="128"/>
      <c r="W156" s="128"/>
      <c r="X156" s="128"/>
    </row>
    <row r="157" spans="1:24" ht="15" hidden="1" customHeight="1">
      <c r="A157" s="128"/>
      <c r="B157" s="128"/>
      <c r="C157" s="128"/>
      <c r="D157" s="443"/>
      <c r="E157" s="446"/>
      <c r="F157" s="446"/>
      <c r="G157" s="446"/>
      <c r="H157" s="443"/>
      <c r="I157" s="443"/>
      <c r="J157" s="128"/>
      <c r="K157" s="128"/>
      <c r="L157" s="128"/>
      <c r="M157" s="128"/>
      <c r="N157" s="128"/>
      <c r="O157" s="128"/>
      <c r="P157" s="128"/>
      <c r="Q157" s="128"/>
      <c r="R157" s="128"/>
      <c r="S157" s="128"/>
      <c r="T157" s="128"/>
      <c r="U157" s="128"/>
      <c r="V157" s="128"/>
      <c r="W157" s="128"/>
      <c r="X157" s="128"/>
    </row>
    <row r="158" spans="1:24" ht="14.25" hidden="1" customHeight="1" outlineLevel="1">
      <c r="A158" s="128"/>
      <c r="B158" s="128"/>
      <c r="C158" s="128"/>
      <c r="D158" s="443"/>
      <c r="E158" s="446"/>
      <c r="F158" s="446"/>
      <c r="G158" s="446"/>
      <c r="H158" s="443"/>
      <c r="I158" s="443"/>
      <c r="J158" s="128"/>
      <c r="K158" s="128"/>
      <c r="L158" s="128"/>
      <c r="M158" s="128"/>
      <c r="N158" s="128"/>
      <c r="O158" s="128"/>
      <c r="P158" s="128"/>
      <c r="Q158" s="128"/>
      <c r="R158" s="128"/>
      <c r="S158" s="128"/>
      <c r="T158" s="128"/>
      <c r="U158" s="128"/>
      <c r="V158" s="128"/>
      <c r="W158" s="128"/>
      <c r="X158" s="128"/>
    </row>
    <row r="159" spans="1:24" ht="14.25" customHeight="1" outlineLevel="1">
      <c r="A159" s="128"/>
      <c r="B159" s="128"/>
      <c r="C159" s="128"/>
      <c r="D159" s="450"/>
      <c r="E159" s="617"/>
      <c r="F159" s="617"/>
      <c r="G159" s="617"/>
      <c r="H159" s="450"/>
      <c r="I159" s="450"/>
      <c r="J159" s="51"/>
      <c r="K159" s="128"/>
      <c r="L159" s="128"/>
      <c r="M159" s="128"/>
      <c r="N159" s="128"/>
      <c r="O159" s="128"/>
      <c r="P159" s="128"/>
      <c r="Q159" s="128"/>
      <c r="R159" s="128"/>
      <c r="S159" s="128"/>
      <c r="T159" s="128"/>
      <c r="U159" s="128"/>
      <c r="V159" s="128"/>
      <c r="W159" s="128"/>
      <c r="X159" s="128"/>
    </row>
    <row r="160" spans="1:24" ht="30" customHeight="1" outlineLevel="1">
      <c r="A160" s="618"/>
      <c r="B160" s="618"/>
      <c r="C160" s="619"/>
      <c r="D160" s="620"/>
      <c r="E160" s="621"/>
      <c r="F160" s="621"/>
      <c r="G160" s="621"/>
      <c r="H160" s="620"/>
      <c r="I160" s="620"/>
      <c r="J160" s="622"/>
      <c r="K160" s="128"/>
      <c r="L160" s="128"/>
      <c r="M160" s="128"/>
      <c r="N160" s="128"/>
      <c r="O160" s="128"/>
      <c r="P160" s="128"/>
      <c r="Q160" s="128"/>
      <c r="R160" s="128"/>
      <c r="S160" s="128"/>
      <c r="T160" s="128"/>
      <c r="U160" s="128"/>
      <c r="V160" s="128"/>
      <c r="W160" s="128"/>
      <c r="X160" s="128"/>
    </row>
    <row r="161" spans="1:24" ht="14.25" customHeight="1" outlineLevel="1">
      <c r="A161" s="128"/>
      <c r="B161" s="128"/>
      <c r="C161" s="128"/>
      <c r="D161" s="443"/>
      <c r="E161" s="446"/>
      <c r="F161" s="446"/>
      <c r="G161" s="446"/>
      <c r="H161" s="443"/>
      <c r="I161" s="443"/>
      <c r="J161" s="623"/>
      <c r="K161" s="128"/>
      <c r="L161" s="128"/>
      <c r="M161" s="128"/>
      <c r="N161" s="128"/>
      <c r="O161" s="128"/>
      <c r="P161" s="128"/>
      <c r="Q161" s="128"/>
      <c r="R161" s="128"/>
      <c r="S161" s="128"/>
      <c r="T161" s="128"/>
      <c r="U161" s="128"/>
      <c r="V161" s="128"/>
      <c r="W161" s="128"/>
      <c r="X161" s="128"/>
    </row>
    <row r="162" spans="1:24" ht="14.25" customHeight="1" outlineLevel="1">
      <c r="A162" s="128"/>
      <c r="B162" s="128"/>
      <c r="C162" s="128"/>
      <c r="D162" s="584"/>
      <c r="E162" s="585"/>
      <c r="F162" s="585"/>
      <c r="G162" s="585"/>
      <c r="H162" s="584"/>
      <c r="I162" s="584"/>
      <c r="J162" s="623"/>
      <c r="K162" s="128"/>
      <c r="L162" s="128"/>
      <c r="M162" s="128"/>
      <c r="N162" s="128"/>
      <c r="O162" s="128"/>
      <c r="P162" s="128"/>
      <c r="Q162" s="128"/>
      <c r="R162" s="128"/>
      <c r="S162" s="128"/>
      <c r="T162" s="128"/>
      <c r="U162" s="128"/>
      <c r="V162" s="128"/>
      <c r="W162" s="128"/>
      <c r="X162" s="128"/>
    </row>
    <row r="163" spans="1:24" ht="14.25" customHeight="1" outlineLevel="1">
      <c r="A163" s="128"/>
      <c r="B163" s="128"/>
      <c r="C163" s="128"/>
      <c r="D163" s="584"/>
      <c r="E163" s="585"/>
      <c r="F163" s="585"/>
      <c r="G163" s="585"/>
      <c r="H163" s="584"/>
      <c r="I163" s="584"/>
      <c r="J163" s="623"/>
      <c r="K163" s="128"/>
      <c r="L163" s="128"/>
      <c r="M163" s="128"/>
      <c r="N163" s="128"/>
      <c r="O163" s="128"/>
      <c r="P163" s="128"/>
      <c r="Q163" s="128"/>
      <c r="R163" s="128"/>
      <c r="S163" s="128"/>
      <c r="T163" s="128"/>
      <c r="U163" s="128"/>
      <c r="V163" s="128"/>
      <c r="W163" s="128"/>
      <c r="X163" s="128"/>
    </row>
    <row r="164" spans="1:24" ht="20.25" customHeight="1" outlineLevel="1">
      <c r="A164" s="128"/>
      <c r="B164" s="128"/>
      <c r="C164" s="624" t="s">
        <v>360</v>
      </c>
      <c r="D164" s="625">
        <v>2019</v>
      </c>
      <c r="E164" s="625">
        <f>+D164+1</f>
        <v>2020</v>
      </c>
      <c r="F164" s="625">
        <f t="shared" ref="F164:I164" si="38">E164+1</f>
        <v>2021</v>
      </c>
      <c r="G164" s="625">
        <f t="shared" si="38"/>
        <v>2022</v>
      </c>
      <c r="H164" s="625">
        <f t="shared" si="38"/>
        <v>2023</v>
      </c>
      <c r="I164" s="625">
        <f t="shared" si="38"/>
        <v>2024</v>
      </c>
      <c r="J164" s="51">
        <f>+I164+1</f>
        <v>2025</v>
      </c>
      <c r="K164" s="128"/>
      <c r="L164" s="128"/>
      <c r="M164" s="128"/>
      <c r="N164" s="128"/>
      <c r="O164" s="128"/>
      <c r="P164" s="128"/>
      <c r="Q164" s="128"/>
      <c r="R164" s="128"/>
      <c r="S164" s="128"/>
      <c r="T164" s="128"/>
      <c r="U164" s="128"/>
      <c r="V164" s="128"/>
      <c r="W164" s="128"/>
      <c r="X164" s="1"/>
    </row>
    <row r="165" spans="1:24" ht="14.25" customHeight="1" outlineLevel="1">
      <c r="A165" s="128"/>
      <c r="B165" s="128"/>
      <c r="C165" s="1" t="s">
        <v>361</v>
      </c>
      <c r="D165" s="626">
        <f t="shared" ref="D165:I165" si="39">D8</f>
        <v>0</v>
      </c>
      <c r="E165" s="626">
        <f t="shared" si="39"/>
        <v>0</v>
      </c>
      <c r="F165" s="626">
        <f t="shared" si="39"/>
        <v>0</v>
      </c>
      <c r="G165" s="626">
        <f t="shared" si="39"/>
        <v>0</v>
      </c>
      <c r="H165" s="626">
        <f t="shared" si="39"/>
        <v>0</v>
      </c>
      <c r="I165" s="626">
        <f t="shared" si="39"/>
        <v>0</v>
      </c>
      <c r="J165" s="626">
        <f>K8</f>
        <v>0</v>
      </c>
      <c r="K165" s="128"/>
      <c r="L165" s="128"/>
      <c r="M165" s="128"/>
      <c r="N165" s="128"/>
      <c r="O165" s="128"/>
      <c r="P165" s="128"/>
      <c r="Q165" s="128"/>
      <c r="R165" s="128"/>
      <c r="S165" s="128"/>
      <c r="T165" s="128"/>
      <c r="U165" s="128"/>
      <c r="V165" s="128"/>
      <c r="W165" s="128"/>
    </row>
    <row r="166" spans="1:24" ht="14.25" customHeight="1" outlineLevel="1">
      <c r="A166" s="128"/>
      <c r="B166" s="128"/>
      <c r="C166" s="1" t="s">
        <v>362</v>
      </c>
      <c r="D166" s="627">
        <f t="shared" ref="D166:J166" si="40">D206</f>
        <v>0</v>
      </c>
      <c r="E166" s="627">
        <f t="shared" si="40"/>
        <v>0</v>
      </c>
      <c r="F166" s="627">
        <f t="shared" si="40"/>
        <v>0</v>
      </c>
      <c r="G166" s="627">
        <f t="shared" si="40"/>
        <v>0</v>
      </c>
      <c r="H166" s="627">
        <f t="shared" si="40"/>
        <v>0</v>
      </c>
      <c r="I166" s="627">
        <f t="shared" si="40"/>
        <v>0</v>
      </c>
      <c r="J166" s="627">
        <f t="shared" si="40"/>
        <v>0</v>
      </c>
      <c r="K166" s="128"/>
      <c r="L166" s="128"/>
      <c r="M166" s="128"/>
      <c r="N166" s="128"/>
      <c r="O166" s="128"/>
      <c r="P166" s="128"/>
      <c r="Q166" s="128"/>
      <c r="R166" s="128"/>
      <c r="S166" s="128"/>
      <c r="T166" s="128"/>
      <c r="U166" s="128"/>
      <c r="V166" s="128"/>
      <c r="W166" s="128"/>
    </row>
    <row r="167" spans="1:24" ht="14.25" customHeight="1" outlineLevel="1">
      <c r="A167" s="128"/>
      <c r="B167" s="128"/>
      <c r="C167" s="1" t="s">
        <v>313</v>
      </c>
      <c r="D167" s="627">
        <f t="shared" ref="D167:J167" si="41">D207</f>
        <v>0</v>
      </c>
      <c r="E167" s="627">
        <f t="shared" si="41"/>
        <v>0</v>
      </c>
      <c r="F167" s="627">
        <f t="shared" si="41"/>
        <v>0</v>
      </c>
      <c r="G167" s="627">
        <f t="shared" si="41"/>
        <v>0</v>
      </c>
      <c r="H167" s="627">
        <f t="shared" si="41"/>
        <v>0</v>
      </c>
      <c r="I167" s="627">
        <f t="shared" si="41"/>
        <v>0</v>
      </c>
      <c r="J167" s="627">
        <f t="shared" si="41"/>
        <v>0</v>
      </c>
      <c r="K167" s="128"/>
      <c r="L167" s="128"/>
      <c r="M167" s="128"/>
      <c r="N167" s="128"/>
      <c r="O167" s="128"/>
      <c r="P167" s="128"/>
      <c r="Q167" s="128"/>
      <c r="R167" s="128"/>
      <c r="S167" s="128"/>
      <c r="T167" s="128"/>
      <c r="U167" s="128"/>
      <c r="V167" s="128"/>
      <c r="W167" s="128"/>
    </row>
    <row r="168" spans="1:24" ht="14.25" customHeight="1" outlineLevel="1">
      <c r="A168" s="128"/>
      <c r="B168" s="128"/>
      <c r="C168" s="1" t="s">
        <v>363</v>
      </c>
      <c r="D168" s="627">
        <f t="shared" ref="D168:J168" si="42">D208</f>
        <v>0</v>
      </c>
      <c r="E168" s="627">
        <f t="shared" si="42"/>
        <v>0</v>
      </c>
      <c r="F168" s="627">
        <f t="shared" si="42"/>
        <v>0</v>
      </c>
      <c r="G168" s="627">
        <f t="shared" si="42"/>
        <v>0</v>
      </c>
      <c r="H168" s="627">
        <f t="shared" si="42"/>
        <v>0</v>
      </c>
      <c r="I168" s="627">
        <f t="shared" si="42"/>
        <v>0</v>
      </c>
      <c r="J168" s="627">
        <f t="shared" si="42"/>
        <v>0</v>
      </c>
      <c r="K168" s="128"/>
      <c r="L168" s="128"/>
      <c r="M168" s="128"/>
      <c r="N168" s="128"/>
      <c r="O168" s="128"/>
      <c r="P168" s="128"/>
      <c r="Q168" s="128"/>
      <c r="R168" s="128"/>
      <c r="S168" s="128"/>
      <c r="T168" s="128"/>
      <c r="U168" s="128"/>
      <c r="V168" s="128"/>
      <c r="W168" s="128"/>
    </row>
    <row r="169" spans="1:24" ht="14.25" customHeight="1" outlineLevel="1">
      <c r="A169" s="128"/>
      <c r="B169" s="128"/>
      <c r="C169" s="1" t="s">
        <v>364</v>
      </c>
      <c r="D169" s="627">
        <f t="shared" ref="D169:J169" si="43">D209</f>
        <v>0</v>
      </c>
      <c r="E169" s="627">
        <f t="shared" si="43"/>
        <v>0</v>
      </c>
      <c r="F169" s="627">
        <f t="shared" si="43"/>
        <v>0</v>
      </c>
      <c r="G169" s="627">
        <f t="shared" si="43"/>
        <v>0</v>
      </c>
      <c r="H169" s="627">
        <f t="shared" si="43"/>
        <v>0</v>
      </c>
      <c r="I169" s="627">
        <f t="shared" si="43"/>
        <v>0</v>
      </c>
      <c r="J169" s="627">
        <f t="shared" si="43"/>
        <v>0</v>
      </c>
      <c r="K169" s="128"/>
      <c r="L169" s="128"/>
      <c r="M169" s="128"/>
      <c r="N169" s="128"/>
      <c r="O169" s="128"/>
      <c r="P169" s="128"/>
      <c r="Q169" s="128"/>
      <c r="R169" s="128"/>
      <c r="S169" s="128"/>
      <c r="T169" s="128"/>
      <c r="U169" s="128"/>
      <c r="V169" s="128"/>
      <c r="W169" s="128"/>
    </row>
    <row r="170" spans="1:24" ht="14.25" customHeight="1" outlineLevel="1">
      <c r="A170" s="128"/>
      <c r="B170" s="128"/>
      <c r="C170" s="1" t="s">
        <v>321</v>
      </c>
      <c r="D170" s="627">
        <f t="shared" ref="D170:J170" si="44">+D24</f>
        <v>0</v>
      </c>
      <c r="E170" s="627">
        <f t="shared" si="44"/>
        <v>0</v>
      </c>
      <c r="F170" s="627">
        <f t="shared" si="44"/>
        <v>0</v>
      </c>
      <c r="G170" s="627">
        <f t="shared" si="44"/>
        <v>0</v>
      </c>
      <c r="H170" s="627">
        <f t="shared" si="44"/>
        <v>0</v>
      </c>
      <c r="I170" s="627">
        <f t="shared" si="44"/>
        <v>0</v>
      </c>
      <c r="J170" s="627">
        <f t="shared" si="44"/>
        <v>0</v>
      </c>
      <c r="K170" s="128"/>
      <c r="L170" s="128"/>
      <c r="M170" s="128"/>
      <c r="N170" s="128"/>
      <c r="O170" s="128"/>
      <c r="P170" s="128"/>
      <c r="Q170" s="128"/>
      <c r="R170" s="128"/>
      <c r="S170" s="128"/>
      <c r="T170" s="128"/>
      <c r="U170" s="128"/>
      <c r="V170" s="128"/>
      <c r="W170" s="128"/>
    </row>
    <row r="171" spans="1:24" ht="14.25" customHeight="1" outlineLevel="1">
      <c r="A171" s="128"/>
      <c r="B171" s="128"/>
      <c r="C171" s="1" t="s">
        <v>365</v>
      </c>
      <c r="D171" s="627">
        <f>+D169-D170</f>
        <v>0</v>
      </c>
      <c r="E171" s="627">
        <f t="shared" ref="E171:J171" si="45">+SUM(E169:E170)</f>
        <v>0</v>
      </c>
      <c r="F171" s="627">
        <f t="shared" si="45"/>
        <v>0</v>
      </c>
      <c r="G171" s="627">
        <f t="shared" si="45"/>
        <v>0</v>
      </c>
      <c r="H171" s="627">
        <f t="shared" si="45"/>
        <v>0</v>
      </c>
      <c r="I171" s="627">
        <f t="shared" si="45"/>
        <v>0</v>
      </c>
      <c r="J171" s="627">
        <f t="shared" si="45"/>
        <v>0</v>
      </c>
      <c r="K171" s="128"/>
      <c r="L171" s="128"/>
      <c r="M171" s="128"/>
      <c r="N171" s="128"/>
      <c r="O171" s="128"/>
      <c r="P171" s="128"/>
      <c r="Q171" s="128"/>
      <c r="R171" s="128"/>
      <c r="S171" s="128"/>
      <c r="T171" s="128"/>
      <c r="U171" s="128"/>
      <c r="V171" s="128"/>
      <c r="W171" s="128"/>
    </row>
    <row r="172" spans="1:24" ht="14.25" customHeight="1" outlineLevel="1">
      <c r="A172" s="128"/>
      <c r="B172" s="128"/>
      <c r="C172" s="1"/>
      <c r="D172" s="584"/>
      <c r="E172" s="585"/>
      <c r="F172" s="585"/>
      <c r="G172" s="585"/>
      <c r="H172" s="585"/>
      <c r="I172" s="443"/>
      <c r="J172" s="128"/>
      <c r="K172" s="128"/>
      <c r="L172" s="128"/>
      <c r="M172" s="128"/>
      <c r="N172" s="128"/>
      <c r="O172" s="128"/>
      <c r="P172" s="128"/>
      <c r="Q172" s="128"/>
      <c r="R172" s="128"/>
      <c r="S172" s="128"/>
      <c r="T172" s="128"/>
      <c r="U172" s="128"/>
      <c r="V172" s="128"/>
      <c r="W172" s="128"/>
    </row>
    <row r="173" spans="1:24" ht="14.25" customHeight="1" outlineLevel="1">
      <c r="A173" s="128"/>
      <c r="B173" s="128"/>
      <c r="C173" s="1" t="s">
        <v>366</v>
      </c>
      <c r="D173" s="584"/>
      <c r="E173" s="585"/>
      <c r="F173" s="585"/>
      <c r="G173" s="585"/>
      <c r="H173" s="443"/>
      <c r="I173" s="443"/>
      <c r="J173" s="128"/>
      <c r="K173" s="128"/>
      <c r="L173" s="128"/>
      <c r="M173" s="128"/>
      <c r="N173" s="128"/>
      <c r="O173" s="128"/>
      <c r="P173" s="128"/>
      <c r="Q173" s="128"/>
      <c r="R173" s="128"/>
      <c r="S173" s="128"/>
      <c r="T173" s="128"/>
      <c r="U173" s="128"/>
      <c r="V173" s="128"/>
      <c r="W173" s="128"/>
    </row>
    <row r="174" spans="1:24" ht="14.25" customHeight="1" outlineLevel="1">
      <c r="A174" s="128"/>
      <c r="B174" s="128"/>
      <c r="C174" s="1" t="s">
        <v>367</v>
      </c>
      <c r="D174" s="584"/>
      <c r="E174" s="585"/>
      <c r="F174" s="585"/>
      <c r="G174" s="585"/>
      <c r="H174" s="443"/>
      <c r="I174" s="443"/>
      <c r="J174" s="128"/>
      <c r="K174" s="128"/>
      <c r="L174" s="128"/>
      <c r="M174" s="128"/>
      <c r="N174" s="128"/>
      <c r="O174" s="128"/>
      <c r="P174" s="128"/>
      <c r="Q174" s="128"/>
      <c r="R174" s="128"/>
      <c r="S174" s="128"/>
      <c r="T174" s="128"/>
      <c r="U174" s="128"/>
      <c r="V174" s="128"/>
      <c r="W174" s="128"/>
    </row>
    <row r="175" spans="1:24" ht="14.25" customHeight="1" outlineLevel="1">
      <c r="A175" s="128"/>
      <c r="B175" s="128"/>
      <c r="C175" s="128"/>
      <c r="D175" s="584"/>
      <c r="E175" s="585"/>
      <c r="F175" s="585"/>
      <c r="G175" s="585"/>
      <c r="H175" s="443"/>
      <c r="I175" s="443"/>
      <c r="J175" s="128"/>
      <c r="K175" s="128"/>
      <c r="L175" s="128"/>
      <c r="M175" s="128"/>
      <c r="N175" s="128"/>
      <c r="O175" s="128"/>
      <c r="P175" s="128"/>
      <c r="Q175" s="128"/>
      <c r="R175" s="128"/>
      <c r="S175" s="128"/>
      <c r="T175" s="128"/>
      <c r="U175" s="128"/>
      <c r="V175" s="128"/>
      <c r="W175" s="128"/>
    </row>
    <row r="176" spans="1:24" ht="14.25" customHeight="1" outlineLevel="1">
      <c r="A176" s="128"/>
      <c r="B176" s="128"/>
      <c r="C176" s="128"/>
      <c r="D176" s="443"/>
      <c r="E176" s="446"/>
      <c r="F176" s="446"/>
      <c r="G176" s="446"/>
      <c r="H176" s="443"/>
      <c r="I176" s="443"/>
      <c r="J176" s="128"/>
      <c r="K176" s="128"/>
      <c r="L176" s="128"/>
      <c r="M176" s="128"/>
      <c r="N176" s="128"/>
      <c r="O176" s="128"/>
      <c r="P176" s="128"/>
      <c r="Q176" s="128"/>
      <c r="R176" s="128"/>
      <c r="S176" s="128"/>
      <c r="T176" s="128"/>
      <c r="U176" s="128"/>
      <c r="V176" s="128"/>
      <c r="W176" s="128"/>
    </row>
    <row r="177" spans="1:25" ht="14.25" customHeight="1" outlineLevel="1">
      <c r="A177" s="128"/>
      <c r="B177" s="128"/>
      <c r="C177" s="128"/>
      <c r="D177" s="337"/>
      <c r="E177" s="628"/>
      <c r="F177" s="628"/>
      <c r="G177" s="446"/>
      <c r="H177" s="443"/>
      <c r="I177" s="443"/>
      <c r="J177" s="128"/>
      <c r="K177" s="128"/>
      <c r="L177" s="128"/>
      <c r="M177" s="128"/>
      <c r="N177" s="128"/>
      <c r="O177" s="128"/>
      <c r="P177" s="128"/>
      <c r="Q177" s="128"/>
      <c r="R177" s="128"/>
      <c r="S177" s="128"/>
      <c r="T177" s="128"/>
      <c r="U177" s="128"/>
      <c r="V177" s="128"/>
      <c r="W177" s="128"/>
    </row>
    <row r="178" spans="1:25" ht="24" customHeight="1" outlineLevel="1">
      <c r="A178" s="128"/>
      <c r="B178" s="128"/>
      <c r="C178" s="629" t="s">
        <v>368</v>
      </c>
      <c r="D178" s="629">
        <f t="shared" ref="D178:J178" si="46">+D164</f>
        <v>2019</v>
      </c>
      <c r="E178" s="625">
        <f t="shared" si="46"/>
        <v>2020</v>
      </c>
      <c r="F178" s="625">
        <f t="shared" si="46"/>
        <v>2021</v>
      </c>
      <c r="G178" s="625">
        <f t="shared" si="46"/>
        <v>2022</v>
      </c>
      <c r="H178" s="625">
        <f t="shared" si="46"/>
        <v>2023</v>
      </c>
      <c r="I178" s="625">
        <f t="shared" si="46"/>
        <v>2024</v>
      </c>
      <c r="J178" s="625">
        <f t="shared" si="46"/>
        <v>2025</v>
      </c>
      <c r="K178" s="630" t="s">
        <v>369</v>
      </c>
      <c r="L178" s="51" t="s">
        <v>370</v>
      </c>
      <c r="M178" s="631" t="s">
        <v>371</v>
      </c>
      <c r="N178" s="631" t="s">
        <v>372</v>
      </c>
      <c r="O178" s="128"/>
      <c r="P178" s="128"/>
      <c r="Q178" s="128"/>
      <c r="R178" s="128"/>
      <c r="S178" s="128"/>
      <c r="T178" s="128"/>
      <c r="U178" s="128"/>
      <c r="V178" s="128"/>
      <c r="W178" s="128"/>
      <c r="X178" s="128"/>
      <c r="Y178" s="128"/>
    </row>
    <row r="179" spans="1:25" ht="14.25" customHeight="1" outlineLevel="1">
      <c r="A179" s="128"/>
      <c r="B179" s="128"/>
      <c r="C179" s="1" t="s">
        <v>373</v>
      </c>
      <c r="D179" s="632" t="e">
        <f t="shared" ref="D179:J179" si="47">+D165/D$165</f>
        <v>#DIV/0!</v>
      </c>
      <c r="E179" s="632" t="e">
        <f t="shared" si="47"/>
        <v>#DIV/0!</v>
      </c>
      <c r="F179" s="632" t="e">
        <f t="shared" si="47"/>
        <v>#DIV/0!</v>
      </c>
      <c r="G179" s="632" t="e">
        <f t="shared" si="47"/>
        <v>#DIV/0!</v>
      </c>
      <c r="H179" s="632" t="e">
        <f t="shared" si="47"/>
        <v>#DIV/0!</v>
      </c>
      <c r="I179" s="632" t="e">
        <f t="shared" si="47"/>
        <v>#DIV/0!</v>
      </c>
      <c r="J179" s="632" t="e">
        <f t="shared" si="47"/>
        <v>#DIV/0!</v>
      </c>
      <c r="K179" s="633"/>
      <c r="L179" s="634"/>
      <c r="M179" s="634"/>
      <c r="N179" s="128"/>
      <c r="O179" s="128"/>
      <c r="P179" s="128"/>
      <c r="Q179" s="128"/>
      <c r="R179" s="128"/>
      <c r="S179" s="128"/>
      <c r="T179" s="128"/>
      <c r="U179" s="128"/>
      <c r="V179" s="128"/>
      <c r="W179" s="128"/>
      <c r="X179" s="128"/>
    </row>
    <row r="180" spans="1:25" ht="14.25" customHeight="1" outlineLevel="1">
      <c r="A180" s="128"/>
      <c r="B180" s="128"/>
      <c r="C180" s="1" t="s">
        <v>312</v>
      </c>
      <c r="D180" s="632" t="e">
        <f t="shared" ref="D180:J180" si="48">+D166/D$165</f>
        <v>#DIV/0!</v>
      </c>
      <c r="E180" s="632" t="e">
        <f t="shared" si="48"/>
        <v>#DIV/0!</v>
      </c>
      <c r="F180" s="632" t="e">
        <f t="shared" si="48"/>
        <v>#DIV/0!</v>
      </c>
      <c r="G180" s="632" t="e">
        <f t="shared" si="48"/>
        <v>#DIV/0!</v>
      </c>
      <c r="H180" s="632" t="e">
        <f t="shared" si="48"/>
        <v>#DIV/0!</v>
      </c>
      <c r="I180" s="632" t="e">
        <f t="shared" si="48"/>
        <v>#DIV/0!</v>
      </c>
      <c r="J180" s="632" t="e">
        <f t="shared" si="48"/>
        <v>#DIV/0!</v>
      </c>
      <c r="K180" s="635" t="e">
        <f t="shared" ref="K180:K185" si="49">+AVERAGE(F180:J180)</f>
        <v>#DIV/0!</v>
      </c>
      <c r="L180" s="636" t="e">
        <f t="shared" ref="L180:L185" si="50">+STDEV(F180:J180)</f>
        <v>#DIV/0!</v>
      </c>
      <c r="M180" s="636" t="e">
        <f t="shared" ref="M180:M185" si="51">+L180+K180</f>
        <v>#DIV/0!</v>
      </c>
      <c r="N180" s="192" t="e">
        <f t="shared" ref="N180:N185" si="52">+L180-K180</f>
        <v>#DIV/0!</v>
      </c>
      <c r="O180" s="128"/>
      <c r="P180" s="128"/>
      <c r="Q180" s="128"/>
      <c r="R180" s="128"/>
      <c r="S180" s="128"/>
      <c r="T180" s="128"/>
      <c r="U180" s="128"/>
      <c r="V180" s="128"/>
      <c r="W180" s="128"/>
      <c r="X180" s="128"/>
    </row>
    <row r="181" spans="1:25" ht="14.25" customHeight="1" outlineLevel="1">
      <c r="A181" s="128"/>
      <c r="B181" s="128"/>
      <c r="C181" s="1" t="s">
        <v>374</v>
      </c>
      <c r="D181" s="632" t="e">
        <f t="shared" ref="D181:J181" si="53">+D167/D$165</f>
        <v>#DIV/0!</v>
      </c>
      <c r="E181" s="632" t="e">
        <f t="shared" si="53"/>
        <v>#DIV/0!</v>
      </c>
      <c r="F181" s="632" t="e">
        <f t="shared" si="53"/>
        <v>#DIV/0!</v>
      </c>
      <c r="G181" s="632" t="e">
        <f t="shared" si="53"/>
        <v>#DIV/0!</v>
      </c>
      <c r="H181" s="632" t="e">
        <f t="shared" si="53"/>
        <v>#DIV/0!</v>
      </c>
      <c r="I181" s="632" t="e">
        <f t="shared" si="53"/>
        <v>#DIV/0!</v>
      </c>
      <c r="J181" s="632" t="e">
        <f t="shared" si="53"/>
        <v>#DIV/0!</v>
      </c>
      <c r="K181" s="635" t="e">
        <f t="shared" si="49"/>
        <v>#DIV/0!</v>
      </c>
      <c r="L181" s="636" t="e">
        <f t="shared" si="50"/>
        <v>#DIV/0!</v>
      </c>
      <c r="M181" s="636" t="e">
        <f t="shared" si="51"/>
        <v>#DIV/0!</v>
      </c>
      <c r="N181" s="192" t="e">
        <f t="shared" si="52"/>
        <v>#DIV/0!</v>
      </c>
      <c r="O181" s="128"/>
      <c r="P181" s="128"/>
      <c r="Q181" s="128"/>
      <c r="R181" s="128"/>
      <c r="S181" s="128"/>
      <c r="T181" s="128"/>
      <c r="U181" s="128"/>
      <c r="V181" s="128"/>
      <c r="W181" s="128"/>
      <c r="X181" s="128"/>
    </row>
    <row r="182" spans="1:25" ht="15" hidden="1" customHeight="1" outlineLevel="1">
      <c r="A182" s="128"/>
      <c r="B182" s="128"/>
      <c r="C182" s="1" t="e">
        <f>+#REF!</f>
        <v>#REF!</v>
      </c>
      <c r="D182" s="637"/>
      <c r="E182" s="632" t="e">
        <f t="shared" ref="E182:G182" si="54">+E168/E$165</f>
        <v>#DIV/0!</v>
      </c>
      <c r="F182" s="632" t="e">
        <f t="shared" si="54"/>
        <v>#DIV/0!</v>
      </c>
      <c r="G182" s="632" t="e">
        <f t="shared" si="54"/>
        <v>#DIV/0!</v>
      </c>
      <c r="H182" s="443"/>
      <c r="I182" s="443"/>
      <c r="J182" s="443" t="e">
        <f>+AVERAGE(D182:I182)</f>
        <v>#DIV/0!</v>
      </c>
      <c r="K182" s="635" t="e">
        <f t="shared" si="49"/>
        <v>#DIV/0!</v>
      </c>
      <c r="L182" s="636" t="e">
        <f t="shared" si="50"/>
        <v>#DIV/0!</v>
      </c>
      <c r="M182" s="636" t="e">
        <f t="shared" si="51"/>
        <v>#DIV/0!</v>
      </c>
      <c r="N182" s="192" t="e">
        <f t="shared" si="52"/>
        <v>#DIV/0!</v>
      </c>
      <c r="O182" s="128"/>
      <c r="P182" s="128"/>
      <c r="Q182" s="128"/>
      <c r="R182" s="128"/>
      <c r="S182" s="128"/>
      <c r="T182" s="128"/>
      <c r="U182" s="128"/>
      <c r="V182" s="128"/>
      <c r="W182" s="128"/>
      <c r="X182" s="128"/>
    </row>
    <row r="183" spans="1:25" ht="14.25" customHeight="1" outlineLevel="1">
      <c r="A183" s="128"/>
      <c r="B183" s="128"/>
      <c r="C183" s="638" t="s">
        <v>375</v>
      </c>
      <c r="D183" s="639" t="e">
        <f t="shared" ref="D183:J183" si="55">+D169/D$165</f>
        <v>#DIV/0!</v>
      </c>
      <c r="E183" s="639" t="e">
        <f t="shared" si="55"/>
        <v>#DIV/0!</v>
      </c>
      <c r="F183" s="639" t="e">
        <f t="shared" si="55"/>
        <v>#DIV/0!</v>
      </c>
      <c r="G183" s="640" t="e">
        <f t="shared" si="55"/>
        <v>#DIV/0!</v>
      </c>
      <c r="H183" s="641" t="e">
        <f t="shared" si="55"/>
        <v>#DIV/0!</v>
      </c>
      <c r="I183" s="642" t="e">
        <f t="shared" si="55"/>
        <v>#DIV/0!</v>
      </c>
      <c r="J183" s="642" t="e">
        <f t="shared" si="55"/>
        <v>#DIV/0!</v>
      </c>
      <c r="K183" s="635" t="e">
        <f t="shared" si="49"/>
        <v>#DIV/0!</v>
      </c>
      <c r="L183" s="636" t="e">
        <f t="shared" si="50"/>
        <v>#DIV/0!</v>
      </c>
      <c r="M183" s="636" t="e">
        <f t="shared" si="51"/>
        <v>#DIV/0!</v>
      </c>
      <c r="N183" s="192" t="e">
        <f t="shared" si="52"/>
        <v>#DIV/0!</v>
      </c>
      <c r="O183" s="128"/>
      <c r="P183" s="128"/>
      <c r="Q183" s="128"/>
      <c r="R183" s="128"/>
      <c r="S183" s="128"/>
      <c r="T183" s="128"/>
      <c r="U183" s="128"/>
      <c r="V183" s="128"/>
      <c r="W183" s="128"/>
      <c r="X183" s="128"/>
    </row>
    <row r="184" spans="1:25" ht="14.25" customHeight="1" outlineLevel="1">
      <c r="A184" s="128"/>
      <c r="B184" s="128"/>
      <c r="C184" s="1" t="str">
        <f>+C24</f>
        <v>RESULTADO INTEGRAL DE FINANCIAMIENTO</v>
      </c>
      <c r="D184" s="632" t="e">
        <f t="shared" ref="D184:J184" si="56">+D170/D$165</f>
        <v>#DIV/0!</v>
      </c>
      <c r="E184" s="632" t="e">
        <f t="shared" si="56"/>
        <v>#DIV/0!</v>
      </c>
      <c r="F184" s="632" t="e">
        <f t="shared" si="56"/>
        <v>#DIV/0!</v>
      </c>
      <c r="G184" s="632" t="e">
        <f t="shared" si="56"/>
        <v>#DIV/0!</v>
      </c>
      <c r="H184" s="632" t="e">
        <f t="shared" si="56"/>
        <v>#DIV/0!</v>
      </c>
      <c r="I184" s="632" t="e">
        <f t="shared" si="56"/>
        <v>#DIV/0!</v>
      </c>
      <c r="J184" s="632" t="e">
        <f t="shared" si="56"/>
        <v>#DIV/0!</v>
      </c>
      <c r="K184" s="635" t="e">
        <f t="shared" si="49"/>
        <v>#DIV/0!</v>
      </c>
      <c r="L184" s="636" t="e">
        <f t="shared" si="50"/>
        <v>#DIV/0!</v>
      </c>
      <c r="M184" s="636" t="e">
        <f t="shared" si="51"/>
        <v>#DIV/0!</v>
      </c>
      <c r="N184" s="192" t="e">
        <f t="shared" si="52"/>
        <v>#DIV/0!</v>
      </c>
      <c r="O184" s="128"/>
      <c r="P184" s="128"/>
      <c r="Q184" s="128"/>
      <c r="R184" s="128"/>
      <c r="S184" s="128"/>
      <c r="T184" s="128"/>
      <c r="U184" s="128"/>
      <c r="V184" s="128"/>
      <c r="W184" s="128"/>
      <c r="X184" s="128"/>
    </row>
    <row r="185" spans="1:25" ht="14.25" customHeight="1" outlineLevel="1">
      <c r="A185" s="128"/>
      <c r="B185" s="128"/>
      <c r="C185" s="1" t="s">
        <v>376</v>
      </c>
      <c r="D185" s="632" t="e">
        <f t="shared" ref="D185:J185" si="57">+D171/D$165</f>
        <v>#DIV/0!</v>
      </c>
      <c r="E185" s="632" t="e">
        <f t="shared" si="57"/>
        <v>#DIV/0!</v>
      </c>
      <c r="F185" s="632" t="e">
        <f t="shared" si="57"/>
        <v>#DIV/0!</v>
      </c>
      <c r="G185" s="632" t="e">
        <f t="shared" si="57"/>
        <v>#DIV/0!</v>
      </c>
      <c r="H185" s="632" t="e">
        <f t="shared" si="57"/>
        <v>#DIV/0!</v>
      </c>
      <c r="I185" s="632" t="e">
        <f t="shared" si="57"/>
        <v>#DIV/0!</v>
      </c>
      <c r="J185" s="632" t="e">
        <f t="shared" si="57"/>
        <v>#DIV/0!</v>
      </c>
      <c r="K185" s="635" t="e">
        <f t="shared" si="49"/>
        <v>#DIV/0!</v>
      </c>
      <c r="L185" s="636" t="e">
        <f t="shared" si="50"/>
        <v>#DIV/0!</v>
      </c>
      <c r="M185" s="636" t="e">
        <f t="shared" si="51"/>
        <v>#DIV/0!</v>
      </c>
      <c r="N185" s="192" t="e">
        <f t="shared" si="52"/>
        <v>#DIV/0!</v>
      </c>
      <c r="O185" s="128"/>
      <c r="P185" s="128"/>
      <c r="Q185" s="128"/>
      <c r="R185" s="128"/>
      <c r="S185" s="128"/>
      <c r="T185" s="128"/>
      <c r="U185" s="128"/>
      <c r="V185" s="128"/>
      <c r="W185" s="128"/>
      <c r="X185" s="128"/>
    </row>
    <row r="186" spans="1:25" ht="14.25" customHeight="1" outlineLevel="1">
      <c r="A186" s="128"/>
      <c r="B186" s="128"/>
      <c r="C186" s="1"/>
      <c r="D186" s="637"/>
      <c r="E186" s="632"/>
      <c r="F186" s="632"/>
      <c r="G186" s="446"/>
      <c r="H186" s="443"/>
      <c r="I186" s="643"/>
      <c r="J186" s="644"/>
      <c r="K186" s="644"/>
      <c r="L186" s="644"/>
      <c r="M186" s="128"/>
      <c r="N186" s="128"/>
      <c r="O186" s="128"/>
      <c r="P186" s="128"/>
      <c r="Q186" s="128"/>
      <c r="R186" s="128"/>
      <c r="S186" s="128"/>
      <c r="T186" s="128"/>
      <c r="U186" s="128"/>
      <c r="V186" s="128"/>
      <c r="W186" s="128"/>
    </row>
    <row r="187" spans="1:25" ht="14.25" customHeight="1" outlineLevel="1">
      <c r="A187" s="128"/>
      <c r="B187" s="128"/>
      <c r="C187" s="1"/>
      <c r="D187" s="637"/>
      <c r="E187" s="632"/>
      <c r="F187" s="632"/>
      <c r="G187" s="446"/>
      <c r="H187" s="443"/>
      <c r="I187" s="443"/>
      <c r="J187" s="128"/>
      <c r="K187" s="128"/>
      <c r="L187" s="128"/>
      <c r="M187" s="128"/>
      <c r="N187" s="128"/>
      <c r="O187" s="128"/>
      <c r="P187" s="128"/>
      <c r="Q187" s="128"/>
      <c r="R187" s="128"/>
      <c r="S187" s="128"/>
      <c r="T187" s="128"/>
      <c r="U187" s="128"/>
      <c r="V187" s="128"/>
      <c r="W187" s="128"/>
    </row>
    <row r="188" spans="1:25" ht="10.5" customHeight="1" outlineLevel="1">
      <c r="A188" s="128"/>
      <c r="B188" s="128"/>
      <c r="C188" s="1"/>
      <c r="D188" s="637"/>
      <c r="E188" s="632"/>
      <c r="F188" s="632"/>
      <c r="G188" s="446"/>
      <c r="H188" s="443"/>
      <c r="I188" s="443"/>
      <c r="J188" s="128"/>
      <c r="K188" s="128"/>
      <c r="L188" s="128"/>
      <c r="M188" s="128"/>
      <c r="N188" s="128"/>
      <c r="O188" s="128"/>
      <c r="P188" s="128"/>
      <c r="Q188" s="128"/>
      <c r="R188" s="128"/>
      <c r="S188" s="128"/>
      <c r="T188" s="128"/>
      <c r="U188" s="128"/>
      <c r="V188" s="128"/>
      <c r="W188" s="128"/>
    </row>
    <row r="189" spans="1:25" ht="14.25" customHeight="1" outlineLevel="1">
      <c r="A189" s="128"/>
      <c r="B189" s="128"/>
      <c r="C189" s="1"/>
      <c r="D189" s="637"/>
      <c r="E189" s="632"/>
      <c r="F189" s="632"/>
      <c r="G189" s="446"/>
      <c r="H189" s="443"/>
      <c r="I189" s="443"/>
      <c r="J189" s="128"/>
      <c r="K189" s="128"/>
      <c r="L189" s="128"/>
      <c r="M189" s="128"/>
      <c r="N189" s="128"/>
      <c r="O189" s="128"/>
      <c r="P189" s="128"/>
      <c r="Q189" s="128"/>
      <c r="R189" s="128"/>
      <c r="S189" s="128"/>
      <c r="T189" s="128"/>
      <c r="U189" s="128"/>
      <c r="V189" s="128"/>
      <c r="W189" s="128"/>
    </row>
    <row r="190" spans="1:25" ht="14.25" customHeight="1" outlineLevel="1">
      <c r="A190" s="128"/>
      <c r="B190" s="128"/>
      <c r="C190" s="128"/>
      <c r="D190" s="443"/>
      <c r="E190" s="446"/>
      <c r="F190" s="446"/>
      <c r="G190" s="446"/>
      <c r="H190" s="443"/>
      <c r="I190" s="443"/>
      <c r="J190" s="128"/>
      <c r="K190" s="128"/>
      <c r="L190" s="128"/>
      <c r="M190" s="128"/>
      <c r="N190" s="128"/>
      <c r="O190" s="128"/>
      <c r="P190" s="128"/>
      <c r="Q190" s="128"/>
      <c r="R190" s="128"/>
      <c r="S190" s="128"/>
      <c r="T190" s="128"/>
      <c r="U190" s="128"/>
      <c r="V190" s="128"/>
      <c r="W190" s="128"/>
    </row>
    <row r="191" spans="1:25" ht="26.25" customHeight="1" outlineLevel="1">
      <c r="A191" s="128"/>
      <c r="B191" s="128"/>
      <c r="C191" s="629" t="s">
        <v>377</v>
      </c>
      <c r="D191" s="625">
        <f t="shared" ref="D191:J191" si="58">+D178</f>
        <v>2019</v>
      </c>
      <c r="E191" s="645">
        <f t="shared" si="58"/>
        <v>2020</v>
      </c>
      <c r="F191" s="645">
        <f t="shared" si="58"/>
        <v>2021</v>
      </c>
      <c r="G191" s="645">
        <f t="shared" si="58"/>
        <v>2022</v>
      </c>
      <c r="H191" s="645">
        <f t="shared" si="58"/>
        <v>2023</v>
      </c>
      <c r="I191" s="625">
        <f t="shared" si="58"/>
        <v>2024</v>
      </c>
      <c r="J191" s="625">
        <f t="shared" si="58"/>
        <v>2025</v>
      </c>
      <c r="K191" s="630" t="s">
        <v>378</v>
      </c>
      <c r="L191" s="630" t="s">
        <v>379</v>
      </c>
      <c r="M191" s="646"/>
      <c r="N191" s="128"/>
      <c r="O191" s="128"/>
      <c r="P191" s="128"/>
      <c r="Q191" s="128"/>
      <c r="R191" s="128"/>
      <c r="S191" s="128"/>
      <c r="T191" s="128"/>
      <c r="U191" s="128"/>
      <c r="V191" s="128"/>
      <c r="W191" s="128"/>
      <c r="X191" s="128"/>
      <c r="Y191" s="128"/>
    </row>
    <row r="192" spans="1:25" ht="14.25" customHeight="1" outlineLevel="1">
      <c r="A192" s="128"/>
      <c r="B192" s="128"/>
      <c r="C192" s="1" t="s">
        <v>373</v>
      </c>
      <c r="D192" s="627">
        <f t="shared" ref="D192:I192" si="59">+D8</f>
        <v>0</v>
      </c>
      <c r="E192" s="627">
        <f t="shared" si="59"/>
        <v>0</v>
      </c>
      <c r="F192" s="627">
        <f t="shared" si="59"/>
        <v>0</v>
      </c>
      <c r="G192" s="627">
        <f t="shared" si="59"/>
        <v>0</v>
      </c>
      <c r="H192" s="627">
        <f t="shared" si="59"/>
        <v>0</v>
      </c>
      <c r="I192" s="627">
        <f t="shared" si="59"/>
        <v>0</v>
      </c>
      <c r="J192" s="627">
        <f t="shared" ref="J192:J194" si="60">+K8</f>
        <v>0</v>
      </c>
      <c r="K192" s="647" t="e">
        <f t="shared" ref="K192:K196" si="61">+(J192/G192)^(1/4)</f>
        <v>#DIV/0!</v>
      </c>
      <c r="L192" s="159" t="e">
        <f t="shared" ref="L192:L194" si="62">+K192-1</f>
        <v>#DIV/0!</v>
      </c>
      <c r="M192" s="646"/>
      <c r="N192" s="128"/>
      <c r="O192" s="128"/>
      <c r="P192" s="128"/>
      <c r="Q192" s="128"/>
      <c r="R192" s="128"/>
      <c r="S192" s="128"/>
      <c r="T192" s="128"/>
      <c r="U192" s="128"/>
      <c r="V192" s="128"/>
      <c r="W192" s="128"/>
      <c r="X192" s="128"/>
      <c r="Y192" s="128"/>
    </row>
    <row r="193" spans="1:26" ht="14.25" customHeight="1" outlineLevel="1">
      <c r="A193" s="128"/>
      <c r="B193" s="128"/>
      <c r="C193" s="1" t="s">
        <v>312</v>
      </c>
      <c r="D193" s="627">
        <f t="shared" ref="D193:I193" si="63">+D9</f>
        <v>0</v>
      </c>
      <c r="E193" s="627">
        <f t="shared" si="63"/>
        <v>0</v>
      </c>
      <c r="F193" s="627">
        <f t="shared" si="63"/>
        <v>0</v>
      </c>
      <c r="G193" s="627">
        <f t="shared" si="63"/>
        <v>0</v>
      </c>
      <c r="H193" s="627">
        <f t="shared" si="63"/>
        <v>0</v>
      </c>
      <c r="I193" s="627">
        <f t="shared" si="63"/>
        <v>0</v>
      </c>
      <c r="J193" s="627">
        <f t="shared" si="60"/>
        <v>0</v>
      </c>
      <c r="K193" s="647" t="e">
        <f t="shared" si="61"/>
        <v>#DIV/0!</v>
      </c>
      <c r="L193" s="611" t="e">
        <f t="shared" si="62"/>
        <v>#DIV/0!</v>
      </c>
      <c r="M193" s="646"/>
      <c r="N193" s="128" t="s">
        <v>380</v>
      </c>
      <c r="O193" s="128"/>
      <c r="P193" s="128"/>
      <c r="Q193" s="128"/>
      <c r="R193" s="128"/>
      <c r="S193" s="128"/>
      <c r="T193" s="128"/>
      <c r="U193" s="128"/>
      <c r="V193" s="128"/>
      <c r="W193" s="128"/>
      <c r="X193" s="128"/>
      <c r="Y193" s="128"/>
    </row>
    <row r="194" spans="1:26" ht="14.25" customHeight="1">
      <c r="A194" s="128"/>
      <c r="B194" s="128"/>
      <c r="C194" s="1" t="s">
        <v>374</v>
      </c>
      <c r="D194" s="627">
        <f t="shared" ref="D194:I194" si="64">+D10</f>
        <v>0</v>
      </c>
      <c r="E194" s="627">
        <f t="shared" si="64"/>
        <v>0</v>
      </c>
      <c r="F194" s="627">
        <f t="shared" si="64"/>
        <v>0</v>
      </c>
      <c r="G194" s="627">
        <f t="shared" si="64"/>
        <v>0</v>
      </c>
      <c r="H194" s="627">
        <f t="shared" si="64"/>
        <v>0</v>
      </c>
      <c r="I194" s="627">
        <f t="shared" si="64"/>
        <v>0</v>
      </c>
      <c r="J194" s="627">
        <f t="shared" si="60"/>
        <v>0</v>
      </c>
      <c r="K194" s="647" t="e">
        <f t="shared" si="61"/>
        <v>#DIV/0!</v>
      </c>
      <c r="L194" s="611" t="e">
        <f t="shared" si="62"/>
        <v>#DIV/0!</v>
      </c>
      <c r="M194" s="647" t="e">
        <f>+(J194/G194)^(1/3)</f>
        <v>#DIV/0!</v>
      </c>
      <c r="N194" s="192" t="e">
        <f>M194-1</f>
        <v>#DIV/0!</v>
      </c>
      <c r="O194" s="191"/>
      <c r="P194" s="128"/>
      <c r="Q194" s="128"/>
      <c r="R194" s="128"/>
      <c r="S194" s="128"/>
      <c r="T194" s="128"/>
      <c r="U194" s="128"/>
      <c r="V194" s="128"/>
      <c r="W194" s="128"/>
      <c r="X194" s="128"/>
      <c r="Y194" s="128"/>
    </row>
    <row r="195" spans="1:26" ht="15.75" hidden="1" customHeight="1">
      <c r="A195" s="128"/>
      <c r="B195" s="128"/>
      <c r="C195" s="1" t="e">
        <f>+C182</f>
        <v>#REF!</v>
      </c>
      <c r="D195" s="627"/>
      <c r="E195" s="648"/>
      <c r="F195" s="648"/>
      <c r="G195" s="648"/>
      <c r="H195" s="443"/>
      <c r="I195" s="443"/>
      <c r="J195" s="443"/>
      <c r="K195" s="647" t="e">
        <f t="shared" si="61"/>
        <v>#DIV/0!</v>
      </c>
      <c r="L195" s="630">
        <v>1.2280604521880401</v>
      </c>
      <c r="M195" s="646"/>
      <c r="N195" s="128"/>
      <c r="O195" s="128"/>
      <c r="P195" s="128"/>
      <c r="Q195" s="128"/>
      <c r="R195" s="128"/>
      <c r="S195" s="128"/>
      <c r="T195" s="128"/>
      <c r="U195" s="128"/>
      <c r="V195" s="128"/>
      <c r="W195" s="128"/>
      <c r="X195" s="128"/>
      <c r="Y195" s="128"/>
    </row>
    <row r="196" spans="1:26" ht="14.25" customHeight="1">
      <c r="A196" s="128"/>
      <c r="B196" s="128"/>
      <c r="C196" s="649" t="s">
        <v>375</v>
      </c>
      <c r="D196" s="650">
        <f t="shared" ref="D196:J196" si="65">+D19</f>
        <v>0</v>
      </c>
      <c r="E196" s="650">
        <f t="shared" si="65"/>
        <v>0</v>
      </c>
      <c r="F196" s="650">
        <f t="shared" si="65"/>
        <v>0</v>
      </c>
      <c r="G196" s="650">
        <f t="shared" si="65"/>
        <v>0</v>
      </c>
      <c r="H196" s="650">
        <f t="shared" si="65"/>
        <v>0</v>
      </c>
      <c r="I196" s="650">
        <f t="shared" si="65"/>
        <v>0</v>
      </c>
      <c r="J196" s="648">
        <f t="shared" si="65"/>
        <v>0</v>
      </c>
      <c r="K196" s="647" t="e">
        <f t="shared" si="61"/>
        <v>#DIV/0!</v>
      </c>
      <c r="L196" s="611" t="e">
        <f t="shared" ref="L196:L197" si="66">+K196-1</f>
        <v>#DIV/0!</v>
      </c>
      <c r="M196" s="646"/>
      <c r="N196" s="128"/>
      <c r="O196" s="128"/>
      <c r="P196" s="128"/>
      <c r="Q196" s="128"/>
      <c r="R196" s="128"/>
      <c r="S196" s="128"/>
      <c r="T196" s="128"/>
      <c r="U196" s="128"/>
      <c r="V196" s="128"/>
      <c r="W196" s="128"/>
      <c r="X196" s="128"/>
      <c r="Y196" s="128"/>
    </row>
    <row r="197" spans="1:26" ht="14.25" customHeight="1">
      <c r="A197" s="128"/>
      <c r="B197" s="128"/>
      <c r="C197" s="1" t="str">
        <f>+C184</f>
        <v>RESULTADO INTEGRAL DE FINANCIAMIENTO</v>
      </c>
      <c r="D197" s="627">
        <f t="shared" ref="D197:J197" si="67">+D170</f>
        <v>0</v>
      </c>
      <c r="E197" s="627">
        <f t="shared" si="67"/>
        <v>0</v>
      </c>
      <c r="F197" s="627">
        <f t="shared" si="67"/>
        <v>0</v>
      </c>
      <c r="G197" s="627">
        <f t="shared" si="67"/>
        <v>0</v>
      </c>
      <c r="H197" s="627">
        <f t="shared" si="67"/>
        <v>0</v>
      </c>
      <c r="I197" s="627">
        <f t="shared" si="67"/>
        <v>0</v>
      </c>
      <c r="J197" s="627">
        <f t="shared" si="67"/>
        <v>0</v>
      </c>
      <c r="K197" s="647"/>
      <c r="L197" s="611">
        <f t="shared" si="66"/>
        <v>-1</v>
      </c>
      <c r="M197" s="128"/>
      <c r="N197" s="128"/>
      <c r="O197" s="128"/>
      <c r="P197" s="128"/>
      <c r="Q197" s="128"/>
      <c r="R197" s="128"/>
      <c r="S197" s="128"/>
      <c r="T197" s="128"/>
      <c r="U197" s="128"/>
      <c r="V197" s="128"/>
      <c r="W197" s="128"/>
      <c r="X197" s="128"/>
      <c r="Y197" s="128"/>
    </row>
    <row r="198" spans="1:26" ht="14.25" customHeight="1">
      <c r="A198" s="128"/>
      <c r="B198" s="128"/>
      <c r="C198" s="1" t="s">
        <v>376</v>
      </c>
      <c r="D198" s="627"/>
      <c r="E198" s="648"/>
      <c r="F198" s="648"/>
      <c r="G198" s="648"/>
      <c r="H198" s="627"/>
      <c r="I198" s="443"/>
      <c r="J198" s="128"/>
      <c r="K198" s="128"/>
      <c r="L198" s="128"/>
      <c r="M198" s="128"/>
      <c r="N198" s="128"/>
      <c r="O198" s="128"/>
      <c r="P198" s="128"/>
      <c r="Q198" s="128"/>
      <c r="R198" s="128"/>
      <c r="S198" s="128"/>
      <c r="T198" s="128"/>
      <c r="U198" s="128"/>
      <c r="V198" s="128"/>
      <c r="W198" s="128"/>
      <c r="X198" s="128"/>
    </row>
    <row r="199" spans="1:26" ht="14.25" customHeight="1">
      <c r="A199" s="128"/>
      <c r="B199" s="128"/>
      <c r="C199" s="1"/>
      <c r="D199" s="651"/>
      <c r="E199" s="652"/>
      <c r="F199" s="652"/>
      <c r="G199" s="446"/>
      <c r="H199" s="443"/>
      <c r="I199" s="443"/>
      <c r="J199" s="128"/>
      <c r="K199" s="128"/>
      <c r="L199" s="128"/>
      <c r="M199" s="128"/>
      <c r="N199" s="128"/>
      <c r="O199" s="128"/>
      <c r="P199" s="128"/>
      <c r="Q199" s="128"/>
      <c r="R199" s="128"/>
      <c r="S199" s="128"/>
      <c r="T199" s="128"/>
      <c r="U199" s="128"/>
      <c r="V199" s="128"/>
      <c r="W199" s="128"/>
      <c r="X199" s="128"/>
    </row>
    <row r="200" spans="1:26" ht="14.25" customHeight="1">
      <c r="A200" s="128"/>
      <c r="B200" s="128"/>
      <c r="C200" s="1"/>
      <c r="D200" s="651"/>
      <c r="E200" s="652"/>
      <c r="F200" s="652"/>
      <c r="G200" s="446"/>
      <c r="H200" s="443"/>
      <c r="I200" s="443"/>
      <c r="J200" s="128"/>
      <c r="K200" s="128"/>
      <c r="L200" s="128"/>
      <c r="M200" s="128"/>
      <c r="N200" s="128"/>
      <c r="O200" s="128"/>
      <c r="P200" s="128"/>
      <c r="Q200" s="128"/>
      <c r="R200" s="128"/>
      <c r="S200" s="128"/>
      <c r="T200" s="128"/>
      <c r="U200" s="128"/>
      <c r="V200" s="128"/>
      <c r="W200" s="128"/>
      <c r="X200" s="128"/>
    </row>
    <row r="201" spans="1:26" ht="27" customHeight="1">
      <c r="A201" s="128"/>
      <c r="B201" s="128"/>
      <c r="C201" s="128"/>
      <c r="D201" s="443"/>
      <c r="E201" s="446"/>
      <c r="F201" s="446"/>
      <c r="G201" s="446"/>
      <c r="H201" s="443"/>
      <c r="I201" s="443"/>
      <c r="J201" s="128"/>
      <c r="K201" s="128"/>
      <c r="L201" s="128"/>
      <c r="M201" s="128"/>
      <c r="N201" s="128"/>
      <c r="O201" s="128"/>
      <c r="P201" s="128"/>
      <c r="Q201" s="128"/>
      <c r="R201" s="128"/>
      <c r="S201" s="128"/>
      <c r="T201" s="128"/>
      <c r="U201" s="128"/>
      <c r="V201" s="128"/>
      <c r="W201" s="128"/>
      <c r="X201" s="128"/>
    </row>
    <row r="202" spans="1:26" ht="72.75" customHeight="1">
      <c r="A202" s="128"/>
      <c r="B202" s="128"/>
      <c r="C202" s="1398"/>
      <c r="D202" s="1334"/>
      <c r="E202" s="1334"/>
      <c r="F202" s="1334"/>
      <c r="G202" s="1334"/>
      <c r="H202" s="1334"/>
      <c r="I202" s="443"/>
      <c r="J202" s="644"/>
      <c r="K202" s="644"/>
      <c r="L202" s="128"/>
      <c r="M202" s="128"/>
      <c r="N202" s="128"/>
      <c r="O202" s="128"/>
      <c r="P202" s="128"/>
      <c r="Q202" s="128"/>
      <c r="R202" s="128"/>
      <c r="S202" s="128"/>
      <c r="T202" s="128"/>
      <c r="U202" s="128"/>
      <c r="V202" s="128"/>
      <c r="W202" s="128"/>
      <c r="X202" s="128"/>
    </row>
    <row r="203" spans="1:26" ht="14.25" customHeight="1">
      <c r="A203" s="128"/>
      <c r="B203" s="128"/>
      <c r="C203" s="1"/>
      <c r="D203" s="637"/>
      <c r="E203" s="632"/>
      <c r="F203" s="632"/>
      <c r="G203" s="446"/>
      <c r="H203" s="443"/>
      <c r="I203" s="443"/>
      <c r="J203" s="128"/>
      <c r="K203" s="128"/>
      <c r="L203" s="128"/>
      <c r="M203" s="128"/>
      <c r="N203" s="128"/>
      <c r="O203" s="128"/>
      <c r="P203" s="128"/>
      <c r="Q203" s="128"/>
      <c r="R203" s="128"/>
      <c r="S203" s="128"/>
      <c r="T203" s="128"/>
      <c r="U203" s="128"/>
      <c r="V203" s="128"/>
      <c r="W203" s="128"/>
      <c r="X203" s="128"/>
    </row>
    <row r="204" spans="1:26" ht="23.25" customHeight="1">
      <c r="A204" s="128"/>
      <c r="B204" s="128"/>
      <c r="C204" s="653" t="s">
        <v>381</v>
      </c>
      <c r="D204" s="654">
        <f t="shared" ref="D204:J204" si="68">+D191</f>
        <v>2019</v>
      </c>
      <c r="E204" s="654">
        <f t="shared" si="68"/>
        <v>2020</v>
      </c>
      <c r="F204" s="654">
        <f t="shared" si="68"/>
        <v>2021</v>
      </c>
      <c r="G204" s="654">
        <f t="shared" si="68"/>
        <v>2022</v>
      </c>
      <c r="H204" s="654">
        <f t="shared" si="68"/>
        <v>2023</v>
      </c>
      <c r="I204" s="654">
        <f t="shared" si="68"/>
        <v>2024</v>
      </c>
      <c r="J204" s="654">
        <f t="shared" si="68"/>
        <v>2025</v>
      </c>
      <c r="K204" s="655" t="s">
        <v>378</v>
      </c>
      <c r="L204" s="655" t="s">
        <v>379</v>
      </c>
      <c r="M204" s="128"/>
      <c r="N204" s="128"/>
      <c r="O204" s="128"/>
      <c r="P204" s="128"/>
      <c r="Q204" s="128"/>
      <c r="R204" s="128"/>
      <c r="S204" s="128"/>
      <c r="T204" s="128"/>
      <c r="U204" s="128"/>
      <c r="V204" s="128"/>
      <c r="W204" s="128"/>
      <c r="X204" s="128"/>
      <c r="Y204" s="128"/>
      <c r="Z204" s="1"/>
    </row>
    <row r="205" spans="1:26" ht="15.75" customHeight="1">
      <c r="A205" s="128"/>
      <c r="B205" s="128"/>
      <c r="C205" s="1" t="s">
        <v>311</v>
      </c>
      <c r="D205" s="626">
        <f t="shared" ref="D205:J205" si="69">D165</f>
        <v>0</v>
      </c>
      <c r="E205" s="656">
        <f t="shared" si="69"/>
        <v>0</v>
      </c>
      <c r="F205" s="656">
        <f t="shared" si="69"/>
        <v>0</v>
      </c>
      <c r="G205" s="656">
        <f t="shared" si="69"/>
        <v>0</v>
      </c>
      <c r="H205" s="656">
        <f t="shared" si="69"/>
        <v>0</v>
      </c>
      <c r="I205" s="626">
        <f t="shared" si="69"/>
        <v>0</v>
      </c>
      <c r="J205" s="626">
        <f t="shared" si="69"/>
        <v>0</v>
      </c>
      <c r="K205" s="647" t="e">
        <f t="shared" ref="K205:K213" si="70">+(J205/G205)^(1/5)</f>
        <v>#DIV/0!</v>
      </c>
      <c r="L205" s="657" t="e">
        <f t="shared" ref="L205:L211" si="71">+K205-1</f>
        <v>#DIV/0!</v>
      </c>
      <c r="M205" s="128"/>
      <c r="N205" s="128"/>
      <c r="O205" s="128"/>
      <c r="P205" s="128"/>
      <c r="Q205" s="128"/>
      <c r="R205" s="128"/>
      <c r="S205" s="128"/>
      <c r="T205" s="128"/>
      <c r="U205" s="128"/>
      <c r="V205" s="128"/>
      <c r="W205" s="128"/>
      <c r="X205" s="128"/>
      <c r="Y205" s="128"/>
      <c r="Z205" s="1"/>
    </row>
    <row r="206" spans="1:26" ht="14.25" customHeight="1">
      <c r="A206" s="128"/>
      <c r="B206" s="128"/>
      <c r="C206" s="1" t="s">
        <v>382</v>
      </c>
      <c r="D206" s="627">
        <f t="shared" ref="D206:J206" si="72">+D9</f>
        <v>0</v>
      </c>
      <c r="E206" s="648">
        <f t="shared" si="72"/>
        <v>0</v>
      </c>
      <c r="F206" s="648">
        <f t="shared" si="72"/>
        <v>0</v>
      </c>
      <c r="G206" s="648">
        <f t="shared" si="72"/>
        <v>0</v>
      </c>
      <c r="H206" s="648">
        <f t="shared" si="72"/>
        <v>0</v>
      </c>
      <c r="I206" s="627">
        <f t="shared" si="72"/>
        <v>0</v>
      </c>
      <c r="J206" s="627">
        <f t="shared" si="72"/>
        <v>0</v>
      </c>
      <c r="K206" s="647" t="e">
        <f t="shared" si="70"/>
        <v>#DIV/0!</v>
      </c>
      <c r="L206" s="658" t="e">
        <f t="shared" si="71"/>
        <v>#DIV/0!</v>
      </c>
      <c r="M206" s="128"/>
      <c r="N206" s="128"/>
      <c r="O206" s="128"/>
      <c r="P206" s="128"/>
      <c r="Q206" s="128"/>
      <c r="R206" s="128"/>
      <c r="S206" s="128"/>
      <c r="T206" s="128"/>
      <c r="U206" s="128"/>
      <c r="V206" s="128"/>
      <c r="W206" s="128"/>
      <c r="X206" s="128"/>
      <c r="Y206" s="128"/>
      <c r="Z206" s="1"/>
    </row>
    <row r="207" spans="1:26" ht="14.25" customHeight="1">
      <c r="A207" s="128"/>
      <c r="B207" s="128"/>
      <c r="C207" s="1" t="s">
        <v>313</v>
      </c>
      <c r="D207" s="627">
        <f t="shared" ref="D207:J207" si="73">+D205-D206</f>
        <v>0</v>
      </c>
      <c r="E207" s="648">
        <f t="shared" si="73"/>
        <v>0</v>
      </c>
      <c r="F207" s="648">
        <f t="shared" si="73"/>
        <v>0</v>
      </c>
      <c r="G207" s="648">
        <f t="shared" si="73"/>
        <v>0</v>
      </c>
      <c r="H207" s="648">
        <f t="shared" si="73"/>
        <v>0</v>
      </c>
      <c r="I207" s="627">
        <f t="shared" si="73"/>
        <v>0</v>
      </c>
      <c r="J207" s="627">
        <f t="shared" si="73"/>
        <v>0</v>
      </c>
      <c r="K207" s="647" t="e">
        <f t="shared" si="70"/>
        <v>#DIV/0!</v>
      </c>
      <c r="L207" s="658" t="e">
        <f t="shared" si="71"/>
        <v>#DIV/0!</v>
      </c>
      <c r="M207" s="128"/>
      <c r="N207" s="128"/>
      <c r="O207" s="128"/>
      <c r="P207" s="128"/>
      <c r="Q207" s="128"/>
      <c r="R207" s="128"/>
      <c r="S207" s="128"/>
      <c r="T207" s="128"/>
      <c r="U207" s="128"/>
      <c r="V207" s="128"/>
      <c r="W207" s="128"/>
      <c r="X207" s="128"/>
      <c r="Y207" s="128"/>
      <c r="Z207" s="1"/>
    </row>
    <row r="208" spans="1:26" ht="14.25" customHeight="1">
      <c r="A208" s="128"/>
      <c r="B208" s="128"/>
      <c r="C208" s="1" t="s">
        <v>383</v>
      </c>
      <c r="D208" s="627">
        <f t="shared" ref="D208:I208" si="74">+D12</f>
        <v>0</v>
      </c>
      <c r="E208" s="627">
        <f t="shared" si="74"/>
        <v>0</v>
      </c>
      <c r="F208" s="627">
        <f t="shared" si="74"/>
        <v>0</v>
      </c>
      <c r="G208" s="627">
        <f t="shared" si="74"/>
        <v>0</v>
      </c>
      <c r="H208" s="627">
        <f t="shared" si="74"/>
        <v>0</v>
      </c>
      <c r="I208" s="627">
        <f t="shared" si="74"/>
        <v>0</v>
      </c>
      <c r="J208" s="627">
        <f>+K12</f>
        <v>0</v>
      </c>
      <c r="K208" s="647" t="e">
        <f t="shared" si="70"/>
        <v>#DIV/0!</v>
      </c>
      <c r="L208" s="658" t="e">
        <f t="shared" si="71"/>
        <v>#DIV/0!</v>
      </c>
      <c r="M208" s="128"/>
      <c r="N208" s="128"/>
      <c r="O208" s="128"/>
      <c r="P208" s="128"/>
      <c r="Q208" s="128"/>
      <c r="R208" s="128"/>
      <c r="S208" s="128"/>
      <c r="T208" s="128"/>
      <c r="U208" s="128"/>
      <c r="V208" s="128"/>
      <c r="W208" s="128"/>
      <c r="X208" s="128"/>
      <c r="Y208" s="128"/>
      <c r="Z208" s="1"/>
    </row>
    <row r="209" spans="1:26" ht="14.25" customHeight="1">
      <c r="A209" s="128"/>
      <c r="B209" s="128"/>
      <c r="C209" s="1" t="s">
        <v>384</v>
      </c>
      <c r="D209" s="627">
        <f t="shared" ref="D209:J209" si="75">+D207-D208</f>
        <v>0</v>
      </c>
      <c r="E209" s="648">
        <f t="shared" si="75"/>
        <v>0</v>
      </c>
      <c r="F209" s="648">
        <f t="shared" si="75"/>
        <v>0</v>
      </c>
      <c r="G209" s="648">
        <f t="shared" si="75"/>
        <v>0</v>
      </c>
      <c r="H209" s="648">
        <f t="shared" si="75"/>
        <v>0</v>
      </c>
      <c r="I209" s="627">
        <f t="shared" si="75"/>
        <v>0</v>
      </c>
      <c r="J209" s="627">
        <f t="shared" si="75"/>
        <v>0</v>
      </c>
      <c r="K209" s="647" t="e">
        <f t="shared" si="70"/>
        <v>#DIV/0!</v>
      </c>
      <c r="L209" s="657" t="e">
        <f t="shared" si="71"/>
        <v>#DIV/0!</v>
      </c>
      <c r="M209" s="128"/>
      <c r="N209" s="128"/>
      <c r="O209" s="128"/>
      <c r="P209" s="128"/>
      <c r="Q209" s="128"/>
      <c r="R209" s="128"/>
      <c r="S209" s="128"/>
      <c r="T209" s="128"/>
      <c r="U209" s="128"/>
      <c r="V209" s="128"/>
      <c r="W209" s="128"/>
      <c r="X209" s="128"/>
      <c r="Y209" s="128"/>
      <c r="Z209" s="1"/>
    </row>
    <row r="210" spans="1:26" ht="14.25" customHeight="1">
      <c r="A210" s="128"/>
      <c r="B210" s="128"/>
      <c r="C210" s="1" t="s">
        <v>376</v>
      </c>
      <c r="D210" s="627">
        <f t="shared" ref="D210:J210" si="76">+D209</f>
        <v>0</v>
      </c>
      <c r="E210" s="648">
        <f t="shared" si="76"/>
        <v>0</v>
      </c>
      <c r="F210" s="648">
        <f t="shared" si="76"/>
        <v>0</v>
      </c>
      <c r="G210" s="648">
        <f t="shared" si="76"/>
        <v>0</v>
      </c>
      <c r="H210" s="648">
        <f t="shared" si="76"/>
        <v>0</v>
      </c>
      <c r="I210" s="627">
        <f t="shared" si="76"/>
        <v>0</v>
      </c>
      <c r="J210" s="627">
        <f t="shared" si="76"/>
        <v>0</v>
      </c>
      <c r="K210" s="647" t="e">
        <f t="shared" si="70"/>
        <v>#DIV/0!</v>
      </c>
      <c r="L210" s="658" t="e">
        <f t="shared" si="71"/>
        <v>#DIV/0!</v>
      </c>
      <c r="M210" s="128"/>
      <c r="N210" s="128"/>
      <c r="O210" s="128"/>
      <c r="P210" s="128"/>
      <c r="Q210" s="128"/>
      <c r="R210" s="128"/>
      <c r="S210" s="128"/>
      <c r="T210" s="128"/>
      <c r="U210" s="128"/>
      <c r="V210" s="128"/>
      <c r="W210" s="128"/>
      <c r="X210" s="128"/>
      <c r="Y210" s="128"/>
      <c r="Z210" s="1"/>
    </row>
    <row r="211" spans="1:26" ht="14.25" customHeight="1">
      <c r="A211" s="128"/>
      <c r="B211" s="128"/>
      <c r="C211" s="1" t="s">
        <v>385</v>
      </c>
      <c r="D211" s="627">
        <f t="shared" ref="D211:J211" si="77">+D210*(1-0.3)</f>
        <v>0</v>
      </c>
      <c r="E211" s="648">
        <f t="shared" si="77"/>
        <v>0</v>
      </c>
      <c r="F211" s="648">
        <f t="shared" si="77"/>
        <v>0</v>
      </c>
      <c r="G211" s="648">
        <f t="shared" si="77"/>
        <v>0</v>
      </c>
      <c r="H211" s="648">
        <f t="shared" si="77"/>
        <v>0</v>
      </c>
      <c r="I211" s="627">
        <f t="shared" si="77"/>
        <v>0</v>
      </c>
      <c r="J211" s="627">
        <f t="shared" si="77"/>
        <v>0</v>
      </c>
      <c r="K211" s="647" t="e">
        <f t="shared" si="70"/>
        <v>#DIV/0!</v>
      </c>
      <c r="L211" s="658" t="e">
        <f t="shared" si="71"/>
        <v>#DIV/0!</v>
      </c>
      <c r="M211" s="128"/>
      <c r="N211" s="128"/>
      <c r="O211" s="128"/>
      <c r="P211" s="128"/>
      <c r="Q211" s="128"/>
      <c r="R211" s="128"/>
      <c r="S211" s="128"/>
      <c r="T211" s="128"/>
      <c r="U211" s="128"/>
      <c r="V211" s="128"/>
      <c r="W211" s="128"/>
      <c r="X211" s="128"/>
      <c r="Y211" s="128"/>
      <c r="Z211" s="1"/>
    </row>
    <row r="212" spans="1:26" ht="14.25" customHeight="1">
      <c r="A212" s="128"/>
      <c r="B212" s="128"/>
      <c r="C212" s="1" t="s">
        <v>386</v>
      </c>
      <c r="D212" s="659">
        <v>0.3</v>
      </c>
      <c r="E212" s="660" t="e">
        <f t="shared" ref="E212:J212" si="78">(E210-E211)/E210</f>
        <v>#DIV/0!</v>
      </c>
      <c r="F212" s="660" t="e">
        <f t="shared" si="78"/>
        <v>#DIV/0!</v>
      </c>
      <c r="G212" s="660" t="e">
        <f t="shared" si="78"/>
        <v>#DIV/0!</v>
      </c>
      <c r="H212" s="660" t="e">
        <f t="shared" si="78"/>
        <v>#DIV/0!</v>
      </c>
      <c r="I212" s="659" t="e">
        <f t="shared" si="78"/>
        <v>#DIV/0!</v>
      </c>
      <c r="J212" s="659" t="e">
        <f t="shared" si="78"/>
        <v>#DIV/0!</v>
      </c>
      <c r="K212" s="647" t="e">
        <f t="shared" si="70"/>
        <v>#DIV/0!</v>
      </c>
      <c r="L212" s="658"/>
      <c r="M212" s="128"/>
      <c r="N212" s="128"/>
      <c r="O212" s="128"/>
      <c r="P212" s="128"/>
      <c r="Q212" s="128"/>
      <c r="R212" s="128"/>
      <c r="S212" s="128"/>
      <c r="T212" s="128"/>
      <c r="U212" s="128"/>
      <c r="V212" s="128"/>
      <c r="W212" s="128"/>
      <c r="X212" s="128"/>
      <c r="Y212" s="128"/>
      <c r="Z212" s="1"/>
    </row>
    <row r="213" spans="1:26" ht="14.25" customHeight="1">
      <c r="A213" s="128"/>
      <c r="B213" s="128"/>
      <c r="C213" s="1" t="s">
        <v>387</v>
      </c>
      <c r="D213" s="661">
        <f t="shared" ref="D213:J213" si="79">D209*(1-D212)</f>
        <v>0</v>
      </c>
      <c r="E213" s="661" t="e">
        <f t="shared" si="79"/>
        <v>#DIV/0!</v>
      </c>
      <c r="F213" s="661" t="e">
        <f t="shared" si="79"/>
        <v>#DIV/0!</v>
      </c>
      <c r="G213" s="661" t="e">
        <f t="shared" si="79"/>
        <v>#DIV/0!</v>
      </c>
      <c r="H213" s="661" t="e">
        <f t="shared" si="79"/>
        <v>#DIV/0!</v>
      </c>
      <c r="I213" s="662" t="e">
        <f t="shared" si="79"/>
        <v>#DIV/0!</v>
      </c>
      <c r="J213" s="662" t="e">
        <f t="shared" si="79"/>
        <v>#DIV/0!</v>
      </c>
      <c r="K213" s="647" t="e">
        <f t="shared" si="70"/>
        <v>#DIV/0!</v>
      </c>
      <c r="L213" s="658" t="e">
        <f>+K213-1</f>
        <v>#DIV/0!</v>
      </c>
      <c r="M213" s="128"/>
      <c r="N213" s="128"/>
      <c r="O213" s="128"/>
      <c r="P213" s="128"/>
      <c r="Q213" s="128"/>
      <c r="R213" s="128"/>
      <c r="S213" s="128"/>
      <c r="T213" s="128"/>
      <c r="U213" s="128"/>
      <c r="V213" s="128"/>
      <c r="W213" s="128"/>
      <c r="X213" s="128"/>
      <c r="Y213" s="128"/>
    </row>
    <row r="214" spans="1:26" ht="14.25" customHeight="1">
      <c r="A214" s="128"/>
      <c r="B214" s="128"/>
      <c r="C214" s="1"/>
      <c r="D214" s="337"/>
      <c r="E214" s="628"/>
      <c r="F214" s="628"/>
      <c r="G214" s="628"/>
      <c r="H214" s="443"/>
      <c r="I214" s="643"/>
      <c r="J214" s="663"/>
      <c r="K214" s="647"/>
      <c r="L214" s="128"/>
      <c r="M214" s="128"/>
      <c r="N214" s="128"/>
      <c r="O214" s="128"/>
      <c r="P214" s="128"/>
      <c r="Q214" s="128"/>
      <c r="R214" s="128"/>
      <c r="S214" s="128"/>
      <c r="T214" s="128"/>
      <c r="U214" s="128"/>
      <c r="V214" s="128"/>
      <c r="W214" s="128"/>
    </row>
    <row r="215" spans="1:26" ht="14.25" hidden="1" customHeight="1">
      <c r="A215" s="128"/>
      <c r="B215" s="128"/>
      <c r="C215" s="1" t="s">
        <v>388</v>
      </c>
      <c r="D215" s="627" t="e">
        <f t="shared" ref="D215:G215" si="80">+D213*D216</f>
        <v>#REF!</v>
      </c>
      <c r="E215" s="648" t="e">
        <f t="shared" si="80"/>
        <v>#DIV/0!</v>
      </c>
      <c r="F215" s="648" t="e">
        <f t="shared" si="80"/>
        <v>#DIV/0!</v>
      </c>
      <c r="G215" s="648" t="e">
        <f t="shared" si="80"/>
        <v>#DIV/0!</v>
      </c>
      <c r="H215" s="443"/>
      <c r="I215" s="443"/>
      <c r="J215" s="128"/>
      <c r="K215" s="128"/>
      <c r="L215" s="128"/>
      <c r="M215" s="128"/>
      <c r="N215" s="128"/>
      <c r="O215" s="128"/>
      <c r="P215" s="128"/>
      <c r="Q215" s="128"/>
      <c r="R215" s="128"/>
      <c r="S215" s="128"/>
      <c r="T215" s="128"/>
      <c r="U215" s="128"/>
      <c r="V215" s="128"/>
      <c r="W215" s="128"/>
    </row>
    <row r="216" spans="1:26" ht="14.25" hidden="1" customHeight="1">
      <c r="A216" s="128"/>
      <c r="B216" s="128"/>
      <c r="C216" s="1" t="s">
        <v>389</v>
      </c>
      <c r="D216" s="659" t="e">
        <f>'Reinvestment Rate 25'!#REF!</f>
        <v>#REF!</v>
      </c>
      <c r="E216" s="660" t="e">
        <f>'Reinvestment Rate 25'!#REF!</f>
        <v>#REF!</v>
      </c>
      <c r="F216" s="660" t="e">
        <f>'Reinvestment Rate 25'!#REF!</f>
        <v>#REF!</v>
      </c>
      <c r="G216" s="660" t="e">
        <f>'Reinvestment Rate 25'!#REF!</f>
        <v>#REF!</v>
      </c>
      <c r="H216" s="443"/>
      <c r="I216" s="443"/>
      <c r="J216" s="128"/>
      <c r="K216" s="128"/>
      <c r="L216" s="128"/>
      <c r="M216" s="128"/>
      <c r="N216" s="128"/>
      <c r="O216" s="128"/>
      <c r="P216" s="128"/>
      <c r="Q216" s="128"/>
      <c r="R216" s="128"/>
      <c r="S216" s="128"/>
      <c r="T216" s="128"/>
      <c r="U216" s="128"/>
      <c r="V216" s="128"/>
      <c r="W216" s="128"/>
    </row>
    <row r="217" spans="1:26" ht="12" hidden="1" customHeight="1">
      <c r="A217" s="128"/>
      <c r="B217" s="128"/>
      <c r="C217" s="504" t="s">
        <v>390</v>
      </c>
      <c r="D217" s="664" t="e">
        <f t="shared" ref="D217:G217" si="81">D213-D215</f>
        <v>#REF!</v>
      </c>
      <c r="E217" s="665" t="e">
        <f t="shared" si="81"/>
        <v>#DIV/0!</v>
      </c>
      <c r="F217" s="665" t="e">
        <f t="shared" si="81"/>
        <v>#DIV/0!</v>
      </c>
      <c r="G217" s="665" t="e">
        <f t="shared" si="81"/>
        <v>#DIV/0!</v>
      </c>
      <c r="H217" s="443"/>
      <c r="I217" s="443"/>
      <c r="J217" s="128"/>
      <c r="K217" s="128"/>
      <c r="L217" s="128"/>
      <c r="M217" s="128"/>
      <c r="N217" s="128"/>
      <c r="O217" s="128"/>
      <c r="P217" s="128"/>
      <c r="Q217" s="128"/>
      <c r="R217" s="128"/>
      <c r="S217" s="128"/>
      <c r="T217" s="128"/>
      <c r="U217" s="128"/>
      <c r="V217" s="128"/>
      <c r="W217" s="128"/>
    </row>
    <row r="218" spans="1:26" ht="14.25" customHeight="1">
      <c r="A218" s="128"/>
      <c r="B218" s="128"/>
      <c r="C218" s="128"/>
      <c r="D218" s="443"/>
      <c r="E218" s="446"/>
      <c r="F218" s="446"/>
      <c r="G218" s="446"/>
      <c r="H218" s="443"/>
      <c r="I218" s="443"/>
      <c r="J218" s="128"/>
      <c r="K218" s="128"/>
      <c r="L218" s="128"/>
      <c r="M218" s="128"/>
      <c r="N218" s="128"/>
      <c r="O218" s="128"/>
      <c r="P218" s="128"/>
      <c r="Q218" s="128"/>
      <c r="R218" s="128"/>
      <c r="S218" s="128"/>
      <c r="T218" s="128"/>
      <c r="U218" s="128"/>
      <c r="V218" s="128"/>
      <c r="W218" s="128"/>
    </row>
    <row r="219" spans="1:26" ht="14.25" customHeight="1">
      <c r="A219" s="128"/>
      <c r="B219" s="128"/>
      <c r="C219" s="128"/>
      <c r="D219" s="443"/>
      <c r="E219" s="446"/>
      <c r="F219" s="446"/>
      <c r="G219" s="446"/>
      <c r="H219" s="443"/>
      <c r="I219" s="443"/>
      <c r="J219" s="128"/>
      <c r="K219" s="128"/>
      <c r="L219" s="128"/>
      <c r="M219" s="128"/>
      <c r="N219" s="128"/>
      <c r="O219" s="128"/>
      <c r="P219" s="128"/>
      <c r="Q219" s="128"/>
      <c r="R219" s="128"/>
      <c r="S219" s="128"/>
      <c r="T219" s="128"/>
      <c r="U219" s="128"/>
      <c r="V219" s="128"/>
      <c r="W219" s="128"/>
    </row>
    <row r="220" spans="1:26" ht="14.25" hidden="1" customHeight="1">
      <c r="A220" s="128"/>
      <c r="B220" s="128"/>
      <c r="C220" s="624" t="s">
        <v>391</v>
      </c>
      <c r="D220" s="666">
        <f>+D204</f>
        <v>2019</v>
      </c>
      <c r="E220" s="667">
        <v>2019</v>
      </c>
      <c r="F220" s="667"/>
      <c r="G220" s="668" t="s">
        <v>378</v>
      </c>
      <c r="H220" s="443"/>
      <c r="I220" s="443"/>
      <c r="J220" s="128"/>
      <c r="K220" s="128"/>
      <c r="L220" s="128"/>
      <c r="M220" s="128"/>
      <c r="N220" s="128"/>
      <c r="O220" s="128"/>
      <c r="P220" s="128"/>
      <c r="Q220" s="128"/>
      <c r="R220" s="128"/>
      <c r="S220" s="128"/>
      <c r="T220" s="128"/>
      <c r="U220" s="128"/>
      <c r="V220" s="128"/>
      <c r="W220" s="128"/>
    </row>
    <row r="221" spans="1:26" ht="14.25" hidden="1" customHeight="1">
      <c r="A221" s="128"/>
      <c r="B221" s="128"/>
      <c r="C221" s="669" t="s">
        <v>392</v>
      </c>
      <c r="D221" s="670" t="e">
        <f t="shared" ref="D221:E221" si="82">+#REF!</f>
        <v>#REF!</v>
      </c>
      <c r="E221" s="671" t="e">
        <f t="shared" si="82"/>
        <v>#REF!</v>
      </c>
      <c r="F221" s="671"/>
      <c r="G221" s="628"/>
      <c r="H221" s="443"/>
      <c r="I221" s="443"/>
      <c r="J221" s="128"/>
      <c r="K221" s="128"/>
      <c r="L221" s="128"/>
      <c r="M221" s="128"/>
      <c r="N221" s="128"/>
      <c r="O221" s="128"/>
      <c r="P221" s="128"/>
      <c r="Q221" s="128"/>
      <c r="R221" s="128"/>
      <c r="S221" s="128"/>
      <c r="T221" s="128"/>
      <c r="U221" s="128"/>
      <c r="V221" s="128"/>
      <c r="W221" s="128"/>
    </row>
    <row r="222" spans="1:26" ht="14.25" hidden="1" customHeight="1">
      <c r="A222" s="128"/>
      <c r="B222" s="128"/>
      <c r="C222" s="669" t="s">
        <v>393</v>
      </c>
      <c r="D222" s="670" t="e">
        <f t="shared" ref="D222:E222" si="83">+D216</f>
        <v>#REF!</v>
      </c>
      <c r="E222" s="671" t="e">
        <f t="shared" si="83"/>
        <v>#REF!</v>
      </c>
      <c r="F222" s="671"/>
      <c r="G222" s="672" t="e">
        <f>(E222/#REF!)^(1/5-1)</f>
        <v>#REF!</v>
      </c>
      <c r="H222" s="443"/>
      <c r="I222" s="443"/>
      <c r="J222" s="128"/>
      <c r="K222" s="128"/>
      <c r="L222" s="128"/>
      <c r="M222" s="128"/>
      <c r="N222" s="128"/>
      <c r="O222" s="128"/>
      <c r="P222" s="128"/>
      <c r="Q222" s="128"/>
      <c r="R222" s="128"/>
      <c r="S222" s="128"/>
      <c r="T222" s="128"/>
      <c r="U222" s="128"/>
      <c r="V222" s="128"/>
      <c r="W222" s="128"/>
    </row>
    <row r="223" spans="1:26" ht="14.25" hidden="1" customHeight="1">
      <c r="A223" s="128"/>
      <c r="B223" s="128"/>
      <c r="C223" s="673" t="s">
        <v>394</v>
      </c>
      <c r="D223" s="670" t="e">
        <f t="shared" ref="D223:E223" si="84">+D221*D222</f>
        <v>#REF!</v>
      </c>
      <c r="E223" s="671" t="e">
        <f t="shared" si="84"/>
        <v>#REF!</v>
      </c>
      <c r="F223" s="671"/>
      <c r="G223" s="674" t="e">
        <f>+AVERAGE(D223:E223)</f>
        <v>#REF!</v>
      </c>
      <c r="H223" s="443"/>
      <c r="I223" s="443"/>
      <c r="J223" s="128"/>
      <c r="K223" s="128"/>
      <c r="L223" s="128"/>
      <c r="M223" s="128"/>
      <c r="N223" s="128"/>
      <c r="O223" s="128"/>
      <c r="P223" s="128"/>
      <c r="Q223" s="128"/>
      <c r="R223" s="128"/>
      <c r="S223" s="128"/>
      <c r="T223" s="128"/>
      <c r="U223" s="128"/>
      <c r="V223" s="128"/>
      <c r="W223" s="128"/>
    </row>
    <row r="224" spans="1:26" ht="14.25" hidden="1" customHeight="1">
      <c r="A224" s="128"/>
      <c r="B224" s="128"/>
      <c r="C224" s="673" t="s">
        <v>395</v>
      </c>
      <c r="D224" s="670"/>
      <c r="E224" s="671"/>
      <c r="F224" s="671"/>
      <c r="G224" s="628"/>
      <c r="H224" s="443"/>
      <c r="I224" s="443"/>
      <c r="J224" s="128"/>
      <c r="K224" s="128"/>
      <c r="L224" s="128"/>
      <c r="M224" s="128"/>
      <c r="N224" s="128"/>
      <c r="O224" s="128"/>
      <c r="P224" s="128"/>
      <c r="Q224" s="128"/>
      <c r="R224" s="128"/>
      <c r="S224" s="128"/>
      <c r="T224" s="128"/>
      <c r="U224" s="128"/>
      <c r="V224" s="128"/>
      <c r="W224" s="128"/>
    </row>
    <row r="225" spans="1:23" ht="14.25" hidden="1" customHeight="1">
      <c r="A225" s="128"/>
      <c r="B225" s="128"/>
      <c r="C225" s="673" t="s">
        <v>396</v>
      </c>
      <c r="D225" s="675">
        <f t="shared" ref="D225:E225" si="85">+D213</f>
        <v>0</v>
      </c>
      <c r="E225" s="676" t="e">
        <f t="shared" si="85"/>
        <v>#DIV/0!</v>
      </c>
      <c r="F225" s="676"/>
      <c r="G225" s="677" t="e">
        <f>+((E225/#REF!)^(1/4))-1</f>
        <v>#DIV/0!</v>
      </c>
      <c r="H225" s="443"/>
      <c r="I225" s="443"/>
      <c r="J225" s="128"/>
      <c r="K225" s="128"/>
      <c r="L225" s="128"/>
      <c r="M225" s="128"/>
      <c r="N225" s="128"/>
      <c r="O225" s="128"/>
      <c r="P225" s="128"/>
      <c r="Q225" s="128"/>
      <c r="R225" s="128"/>
      <c r="S225" s="128"/>
      <c r="T225" s="128"/>
      <c r="U225" s="128"/>
      <c r="V225" s="128"/>
      <c r="W225" s="128"/>
    </row>
    <row r="226" spans="1:23" ht="21.75" hidden="1" customHeight="1">
      <c r="A226" s="128"/>
      <c r="B226" s="128"/>
      <c r="C226" s="678" t="s">
        <v>397</v>
      </c>
      <c r="D226" s="443"/>
      <c r="E226" s="446"/>
      <c r="F226" s="446"/>
      <c r="G226" s="628"/>
      <c r="H226" s="443"/>
      <c r="I226" s="443"/>
      <c r="J226" s="128"/>
      <c r="K226" s="128"/>
      <c r="L226" s="128"/>
      <c r="M226" s="128"/>
      <c r="N226" s="128"/>
      <c r="O226" s="128"/>
      <c r="P226" s="128"/>
      <c r="Q226" s="128"/>
      <c r="R226" s="128"/>
      <c r="S226" s="128"/>
      <c r="T226" s="128"/>
      <c r="U226" s="128"/>
      <c r="V226" s="128"/>
      <c r="W226" s="128"/>
    </row>
    <row r="227" spans="1:23" ht="14.25" hidden="1" customHeight="1">
      <c r="A227" s="128"/>
      <c r="B227" s="128"/>
      <c r="C227" s="679" t="s">
        <v>398</v>
      </c>
      <c r="D227" s="337"/>
      <c r="E227" s="628"/>
      <c r="F227" s="628"/>
      <c r="G227" s="628"/>
      <c r="H227" s="443"/>
      <c r="I227" s="443"/>
      <c r="J227" s="128"/>
      <c r="K227" s="128"/>
      <c r="L227" s="128"/>
      <c r="M227" s="128"/>
      <c r="N227" s="128"/>
      <c r="O227" s="128"/>
      <c r="P227" s="128"/>
      <c r="Q227" s="128"/>
      <c r="R227" s="128"/>
      <c r="S227" s="128"/>
      <c r="T227" s="128"/>
      <c r="U227" s="128"/>
      <c r="V227" s="128"/>
      <c r="W227" s="128"/>
    </row>
    <row r="228" spans="1:23" ht="14.25" hidden="1" customHeight="1">
      <c r="A228" s="128"/>
      <c r="B228" s="128"/>
      <c r="C228" s="128"/>
      <c r="D228" s="443"/>
      <c r="E228" s="446"/>
      <c r="F228" s="446"/>
      <c r="G228" s="446"/>
      <c r="H228" s="443"/>
      <c r="I228" s="443"/>
      <c r="J228" s="680"/>
      <c r="K228" s="128"/>
      <c r="L228" s="128"/>
      <c r="M228" s="128"/>
      <c r="N228" s="128"/>
      <c r="O228" s="128"/>
      <c r="P228" s="128"/>
      <c r="Q228" s="128"/>
      <c r="R228" s="128"/>
      <c r="S228" s="128"/>
      <c r="T228" s="128"/>
      <c r="U228" s="128"/>
      <c r="V228" s="128"/>
      <c r="W228" s="128"/>
    </row>
    <row r="229" spans="1:23" ht="14.25" hidden="1" customHeight="1">
      <c r="A229" s="128"/>
      <c r="B229" s="128"/>
      <c r="C229" s="679" t="s">
        <v>399</v>
      </c>
      <c r="D229" s="443"/>
      <c r="E229" s="681">
        <v>0.05</v>
      </c>
      <c r="F229" s="613"/>
      <c r="G229" s="446"/>
      <c r="H229" s="443"/>
      <c r="I229" s="443"/>
      <c r="J229" s="128"/>
      <c r="K229" s="128"/>
      <c r="L229" s="128"/>
      <c r="M229" s="128"/>
      <c r="N229" s="128"/>
      <c r="O229" s="128"/>
      <c r="P229" s="128"/>
      <c r="Q229" s="128"/>
      <c r="R229" s="128"/>
      <c r="S229" s="128"/>
      <c r="T229" s="128"/>
      <c r="U229" s="128"/>
      <c r="V229" s="128"/>
      <c r="W229" s="128"/>
    </row>
    <row r="230" spans="1:23" ht="14.25" hidden="1" customHeight="1">
      <c r="A230" s="128"/>
      <c r="B230" s="128"/>
      <c r="C230" s="624" t="s">
        <v>400</v>
      </c>
      <c r="D230" s="337"/>
      <c r="E230" s="628"/>
      <c r="F230" s="628"/>
      <c r="G230" s="446"/>
      <c r="H230" s="443"/>
      <c r="I230" s="443"/>
      <c r="J230" s="128"/>
      <c r="K230" s="128"/>
      <c r="L230" s="128"/>
      <c r="M230" s="128"/>
      <c r="N230" s="128"/>
      <c r="O230" s="128"/>
      <c r="P230" s="128"/>
      <c r="Q230" s="128"/>
      <c r="R230" s="128"/>
      <c r="S230" s="128"/>
      <c r="T230" s="128"/>
      <c r="U230" s="128"/>
      <c r="V230" s="128"/>
      <c r="W230" s="128"/>
    </row>
    <row r="231" spans="1:23" ht="14.25" hidden="1" customHeight="1">
      <c r="A231" s="128"/>
      <c r="B231" s="128"/>
      <c r="C231" s="682" t="e">
        <f>+#REF!</f>
        <v>#REF!</v>
      </c>
      <c r="D231" s="683" t="e">
        <f>+#REF!-$E$229</f>
        <v>#REF!</v>
      </c>
      <c r="E231" s="684" t="e">
        <f>+#REF!</f>
        <v>#REF!</v>
      </c>
      <c r="F231" s="685"/>
      <c r="G231" s="446"/>
      <c r="H231" s="443"/>
      <c r="I231" s="443"/>
      <c r="J231" s="128"/>
      <c r="K231" s="128"/>
      <c r="L231" s="128"/>
      <c r="M231" s="128"/>
      <c r="N231" s="128"/>
      <c r="O231" s="128"/>
      <c r="P231" s="128"/>
      <c r="Q231" s="128"/>
      <c r="R231" s="128"/>
      <c r="S231" s="128"/>
      <c r="T231" s="128"/>
      <c r="U231" s="128"/>
      <c r="V231" s="128"/>
      <c r="W231" s="128"/>
    </row>
    <row r="232" spans="1:23" ht="14.25" hidden="1" customHeight="1">
      <c r="A232" s="128"/>
      <c r="B232" s="128"/>
      <c r="C232" s="1399" t="s">
        <v>401</v>
      </c>
      <c r="D232" s="686">
        <v>3</v>
      </c>
      <c r="E232" s="687">
        <v>5</v>
      </c>
      <c r="F232" s="688"/>
      <c r="G232" s="446"/>
      <c r="H232" s="443"/>
      <c r="I232" s="443"/>
      <c r="J232" s="128"/>
      <c r="K232" s="128"/>
      <c r="L232" s="128"/>
      <c r="M232" s="128"/>
      <c r="N232" s="128"/>
      <c r="O232" s="128"/>
      <c r="P232" s="128"/>
      <c r="Q232" s="128"/>
      <c r="R232" s="128"/>
      <c r="S232" s="128"/>
      <c r="T232" s="128"/>
      <c r="U232" s="128"/>
      <c r="V232" s="128"/>
      <c r="W232" s="128"/>
    </row>
    <row r="233" spans="1:23" ht="14.25" hidden="1" customHeight="1">
      <c r="A233" s="128"/>
      <c r="B233" s="128"/>
      <c r="C233" s="1337"/>
      <c r="D233" s="689" t="e">
        <f>#REF!+1</f>
        <v>#REF!</v>
      </c>
      <c r="E233" s="690" t="e">
        <f>#REF!</f>
        <v>#REF!</v>
      </c>
      <c r="F233" s="690"/>
      <c r="G233" s="446"/>
      <c r="H233" s="443"/>
      <c r="I233" s="443"/>
      <c r="J233" s="128"/>
      <c r="K233" s="128"/>
      <c r="L233" s="128"/>
      <c r="M233" s="128"/>
      <c r="N233" s="128"/>
      <c r="O233" s="128"/>
      <c r="P233" s="128"/>
      <c r="Q233" s="128"/>
      <c r="R233" s="128"/>
      <c r="S233" s="128"/>
      <c r="T233" s="128"/>
      <c r="U233" s="128"/>
      <c r="V233" s="128"/>
      <c r="W233" s="128"/>
    </row>
    <row r="234" spans="1:23" ht="14.25" hidden="1" customHeight="1">
      <c r="A234" s="128"/>
      <c r="B234" s="128"/>
      <c r="C234" s="691" t="s">
        <v>387</v>
      </c>
      <c r="D234" s="692" t="e">
        <f>+#REF!*(1+D231)</f>
        <v>#REF!</v>
      </c>
      <c r="E234" s="693" t="e">
        <f>#REF!*(1+#REF!)</f>
        <v>#REF!</v>
      </c>
      <c r="F234" s="694"/>
      <c r="G234" s="446"/>
      <c r="H234" s="443"/>
      <c r="I234" s="443"/>
      <c r="J234" s="128"/>
      <c r="K234" s="128"/>
      <c r="L234" s="128"/>
      <c r="M234" s="128"/>
      <c r="N234" s="128"/>
      <c r="O234" s="128"/>
      <c r="P234" s="128"/>
      <c r="Q234" s="128"/>
      <c r="R234" s="128"/>
      <c r="S234" s="128"/>
      <c r="T234" s="128"/>
      <c r="U234" s="128"/>
      <c r="V234" s="128"/>
      <c r="W234" s="128"/>
    </row>
    <row r="235" spans="1:23" ht="14.25" hidden="1" customHeight="1">
      <c r="A235" s="128"/>
      <c r="B235" s="128"/>
      <c r="C235" s="695" t="s">
        <v>388</v>
      </c>
      <c r="D235" s="670" t="e">
        <f>#REF!*$G$222</f>
        <v>#REF!</v>
      </c>
      <c r="E235" s="671" t="e">
        <f>+#REF!</f>
        <v>#REF!</v>
      </c>
      <c r="F235" s="671"/>
      <c r="G235" s="446"/>
      <c r="H235" s="443"/>
      <c r="I235" s="443"/>
      <c r="J235" s="128"/>
      <c r="K235" s="128"/>
      <c r="L235" s="128"/>
      <c r="M235" s="128"/>
      <c r="N235" s="128"/>
      <c r="O235" s="128"/>
      <c r="P235" s="128"/>
      <c r="Q235" s="128"/>
      <c r="R235" s="128"/>
      <c r="S235" s="128"/>
      <c r="T235" s="128"/>
      <c r="U235" s="128"/>
      <c r="V235" s="128"/>
      <c r="W235" s="128"/>
    </row>
    <row r="236" spans="1:23" ht="14.25" hidden="1" customHeight="1">
      <c r="A236" s="128"/>
      <c r="B236" s="128"/>
      <c r="C236" s="695" t="s">
        <v>390</v>
      </c>
      <c r="D236" s="692" t="e">
        <f>D234-(D234*D235)</f>
        <v>#REF!</v>
      </c>
      <c r="E236" s="693" t="e">
        <f>(E234*(1-E235))/(C231-#REF!)</f>
        <v>#REF!</v>
      </c>
      <c r="F236" s="694"/>
      <c r="G236" s="446"/>
      <c r="H236" s="443"/>
      <c r="I236" s="443"/>
      <c r="J236" s="128"/>
      <c r="K236" s="128"/>
      <c r="L236" s="128"/>
      <c r="M236" s="128"/>
      <c r="N236" s="128"/>
      <c r="O236" s="128"/>
      <c r="P236" s="128"/>
      <c r="Q236" s="128"/>
      <c r="R236" s="128"/>
      <c r="S236" s="128"/>
      <c r="T236" s="128"/>
      <c r="U236" s="128"/>
      <c r="V236" s="128"/>
      <c r="W236" s="128"/>
    </row>
    <row r="237" spans="1:23" ht="14.25" hidden="1" customHeight="1">
      <c r="A237" s="128"/>
      <c r="B237" s="128"/>
      <c r="C237" s="695" t="s">
        <v>402</v>
      </c>
      <c r="D237" s="696" t="e">
        <f t="shared" ref="D237:E237" si="86">1/(1+$C$231)^D232</f>
        <v>#REF!</v>
      </c>
      <c r="E237" s="697" t="e">
        <f t="shared" si="86"/>
        <v>#REF!</v>
      </c>
      <c r="F237" s="697"/>
      <c r="G237" s="446"/>
      <c r="H237" s="443"/>
      <c r="I237" s="443"/>
      <c r="J237" s="128"/>
      <c r="K237" s="128"/>
      <c r="L237" s="128"/>
      <c r="M237" s="128"/>
      <c r="N237" s="128"/>
      <c r="O237" s="128"/>
      <c r="P237" s="128"/>
      <c r="Q237" s="128"/>
      <c r="R237" s="128"/>
      <c r="S237" s="128"/>
      <c r="T237" s="128"/>
      <c r="U237" s="128"/>
      <c r="V237" s="128"/>
      <c r="W237" s="128"/>
    </row>
    <row r="238" spans="1:23" ht="14.25" hidden="1" customHeight="1">
      <c r="A238" s="128"/>
      <c r="B238" s="128"/>
      <c r="C238" s="698" t="s">
        <v>403</v>
      </c>
      <c r="D238" s="699" t="e">
        <f t="shared" ref="D238:E238" si="87">D236*D237</f>
        <v>#REF!</v>
      </c>
      <c r="E238" s="700" t="e">
        <f t="shared" si="87"/>
        <v>#REF!</v>
      </c>
      <c r="F238" s="676"/>
      <c r="G238" s="446"/>
      <c r="H238" s="443"/>
      <c r="I238" s="443"/>
      <c r="J238" s="128"/>
      <c r="K238" s="128"/>
      <c r="L238" s="128"/>
      <c r="M238" s="128"/>
      <c r="N238" s="128"/>
      <c r="O238" s="128"/>
      <c r="P238" s="128"/>
      <c r="Q238" s="128"/>
      <c r="R238" s="128"/>
      <c r="S238" s="128"/>
      <c r="T238" s="128"/>
      <c r="U238" s="128"/>
      <c r="V238" s="128"/>
      <c r="W238" s="128"/>
    </row>
    <row r="239" spans="1:23" ht="14.25" hidden="1" customHeight="1">
      <c r="A239" s="128"/>
      <c r="B239" s="128"/>
      <c r="C239" s="128"/>
      <c r="D239" s="443"/>
      <c r="E239" s="446"/>
      <c r="F239" s="446"/>
      <c r="G239" s="446"/>
      <c r="H239" s="443"/>
      <c r="I239" s="443"/>
      <c r="J239" s="128"/>
      <c r="K239" s="128"/>
      <c r="L239" s="128"/>
      <c r="M239" s="128"/>
      <c r="N239" s="128"/>
      <c r="O239" s="128"/>
      <c r="P239" s="128"/>
      <c r="Q239" s="128"/>
      <c r="R239" s="128"/>
      <c r="S239" s="128"/>
      <c r="T239" s="128"/>
      <c r="U239" s="128"/>
      <c r="V239" s="128"/>
      <c r="W239" s="128"/>
    </row>
    <row r="240" spans="1:23" ht="14.25" hidden="1" customHeight="1">
      <c r="A240" s="128"/>
      <c r="B240" s="128"/>
      <c r="C240" s="128"/>
      <c r="D240" s="443"/>
      <c r="E240" s="446"/>
      <c r="F240" s="446"/>
      <c r="G240" s="446"/>
      <c r="H240" s="443"/>
      <c r="I240" s="443"/>
      <c r="J240" s="128"/>
      <c r="K240" s="128"/>
      <c r="L240" s="128"/>
      <c r="M240" s="128"/>
      <c r="N240" s="128"/>
      <c r="O240" s="128"/>
      <c r="P240" s="128"/>
      <c r="Q240" s="128"/>
      <c r="R240" s="128"/>
      <c r="S240" s="128"/>
      <c r="T240" s="128"/>
      <c r="U240" s="128"/>
      <c r="V240" s="128"/>
      <c r="W240" s="128"/>
    </row>
    <row r="241" spans="1:23" ht="14.25" hidden="1" customHeight="1">
      <c r="A241" s="128"/>
      <c r="B241" s="128"/>
      <c r="C241" s="701" t="s">
        <v>404</v>
      </c>
      <c r="D241" s="443"/>
      <c r="E241" s="446"/>
      <c r="F241" s="446"/>
      <c r="G241" s="446"/>
      <c r="H241" s="443"/>
      <c r="I241" s="443"/>
      <c r="J241" s="128"/>
      <c r="K241" s="128"/>
      <c r="L241" s="128"/>
      <c r="M241" s="128"/>
      <c r="N241" s="128"/>
      <c r="O241" s="128"/>
      <c r="P241" s="128"/>
      <c r="Q241" s="128"/>
      <c r="R241" s="128"/>
      <c r="S241" s="128"/>
      <c r="T241" s="128"/>
      <c r="U241" s="128"/>
      <c r="V241" s="128"/>
      <c r="W241" s="128"/>
    </row>
    <row r="242" spans="1:23" ht="14.25" hidden="1" customHeight="1">
      <c r="A242" s="128"/>
      <c r="B242" s="128"/>
      <c r="C242" s="702" t="s">
        <v>405</v>
      </c>
      <c r="D242" s="443"/>
      <c r="E242" s="446"/>
      <c r="F242" s="446"/>
      <c r="G242" s="446"/>
      <c r="H242" s="443"/>
      <c r="I242" s="443"/>
      <c r="J242" s="128"/>
      <c r="K242" s="128"/>
      <c r="L242" s="128"/>
      <c r="M242" s="128"/>
      <c r="N242" s="128"/>
      <c r="O242" s="128"/>
      <c r="P242" s="128"/>
      <c r="Q242" s="128"/>
      <c r="R242" s="128"/>
      <c r="S242" s="128"/>
      <c r="T242" s="128"/>
      <c r="U242" s="128"/>
      <c r="V242" s="128"/>
      <c r="W242" s="128"/>
    </row>
    <row r="243" spans="1:23" ht="14.25" hidden="1" customHeight="1">
      <c r="A243" s="128"/>
      <c r="B243" s="128"/>
      <c r="C243" s="702"/>
      <c r="D243" s="443"/>
      <c r="E243" s="446"/>
      <c r="F243" s="446"/>
      <c r="G243" s="446"/>
      <c r="H243" s="443"/>
      <c r="I243" s="443"/>
      <c r="J243" s="128"/>
      <c r="K243" s="128"/>
      <c r="L243" s="128"/>
      <c r="M243" s="128"/>
      <c r="N243" s="128"/>
      <c r="O243" s="128"/>
      <c r="P243" s="128"/>
      <c r="Q243" s="128"/>
      <c r="R243" s="128"/>
      <c r="S243" s="128"/>
      <c r="T243" s="128"/>
      <c r="U243" s="128"/>
      <c r="V243" s="128"/>
      <c r="W243" s="128"/>
    </row>
    <row r="244" spans="1:23" ht="14.25" hidden="1" customHeight="1">
      <c r="A244" s="128"/>
      <c r="B244" s="128"/>
      <c r="C244" s="703" t="s">
        <v>406</v>
      </c>
      <c r="D244" s="443"/>
      <c r="E244" s="446"/>
      <c r="F244" s="446"/>
      <c r="G244" s="446"/>
      <c r="H244" s="443"/>
      <c r="I244" s="443"/>
      <c r="J244" s="128"/>
      <c r="K244" s="128"/>
      <c r="L244" s="128"/>
      <c r="M244" s="128"/>
      <c r="N244" s="128"/>
      <c r="O244" s="128"/>
      <c r="P244" s="128"/>
      <c r="Q244" s="128"/>
      <c r="R244" s="128"/>
      <c r="S244" s="128"/>
      <c r="T244" s="128"/>
      <c r="U244" s="128"/>
      <c r="V244" s="128"/>
      <c r="W244" s="128"/>
    </row>
    <row r="245" spans="1:23" ht="14.25" hidden="1" customHeight="1">
      <c r="A245" s="128"/>
      <c r="B245" s="128"/>
      <c r="C245" s="702" t="s">
        <v>407</v>
      </c>
      <c r="D245" s="443" t="s">
        <v>408</v>
      </c>
      <c r="E245" s="446"/>
      <c r="F245" s="446"/>
      <c r="G245" s="446"/>
      <c r="H245" s="443"/>
      <c r="I245" s="443"/>
      <c r="J245" s="128"/>
      <c r="K245" s="128"/>
      <c r="L245" s="128"/>
      <c r="M245" s="128"/>
      <c r="N245" s="128"/>
      <c r="O245" s="128"/>
      <c r="P245" s="128"/>
      <c r="Q245" s="128"/>
      <c r="R245" s="128"/>
      <c r="S245" s="128"/>
      <c r="T245" s="128"/>
      <c r="U245" s="128"/>
      <c r="V245" s="128"/>
      <c r="W245" s="128"/>
    </row>
    <row r="246" spans="1:23" ht="14.25" hidden="1" customHeight="1">
      <c r="A246" s="128"/>
      <c r="B246" s="128"/>
      <c r="C246" s="702" t="s">
        <v>409</v>
      </c>
      <c r="D246" s="443"/>
      <c r="E246" s="446"/>
      <c r="F246" s="446"/>
      <c r="G246" s="446"/>
      <c r="H246" s="443"/>
      <c r="I246" s="443"/>
      <c r="J246" s="128"/>
      <c r="K246" s="128"/>
      <c r="L246" s="128"/>
      <c r="M246" s="128"/>
      <c r="N246" s="128"/>
      <c r="O246" s="128"/>
      <c r="P246" s="128"/>
      <c r="Q246" s="128"/>
      <c r="R246" s="128"/>
      <c r="S246" s="128"/>
      <c r="T246" s="128"/>
      <c r="U246" s="128"/>
      <c r="V246" s="128"/>
      <c r="W246" s="128"/>
    </row>
    <row r="247" spans="1:23" ht="14.25" hidden="1" customHeight="1">
      <c r="A247" s="128"/>
      <c r="B247" s="128"/>
      <c r="C247" s="703" t="s">
        <v>410</v>
      </c>
      <c r="D247" s="443"/>
      <c r="E247" s="446"/>
      <c r="F247" s="446"/>
      <c r="G247" s="446"/>
      <c r="H247" s="443"/>
      <c r="I247" s="443"/>
      <c r="J247" s="128"/>
      <c r="K247" s="128"/>
      <c r="L247" s="128"/>
      <c r="M247" s="128"/>
      <c r="N247" s="128"/>
      <c r="O247" s="128"/>
      <c r="P247" s="128"/>
      <c r="Q247" s="128"/>
      <c r="R247" s="128"/>
      <c r="S247" s="128"/>
      <c r="T247" s="128"/>
      <c r="U247" s="128"/>
      <c r="V247" s="128"/>
      <c r="W247" s="128"/>
    </row>
    <row r="248" spans="1:23" ht="14.25" hidden="1" customHeight="1">
      <c r="A248" s="128"/>
      <c r="B248" s="128"/>
      <c r="C248" s="128"/>
      <c r="D248" s="443"/>
      <c r="E248" s="446"/>
      <c r="F248" s="446"/>
      <c r="G248" s="446"/>
      <c r="H248" s="443"/>
      <c r="I248" s="443"/>
      <c r="J248" s="128"/>
      <c r="K248" s="128"/>
      <c r="L248" s="128"/>
      <c r="M248" s="128"/>
      <c r="N248" s="128"/>
      <c r="O248" s="128"/>
      <c r="P248" s="128"/>
      <c r="Q248" s="128"/>
      <c r="R248" s="128"/>
      <c r="S248" s="128"/>
      <c r="T248" s="128"/>
      <c r="U248" s="128"/>
      <c r="V248" s="128"/>
      <c r="W248" s="128"/>
    </row>
    <row r="249" spans="1:23" ht="14.25" hidden="1" customHeight="1">
      <c r="A249" s="128"/>
      <c r="B249" s="128"/>
      <c r="C249" s="128"/>
      <c r="D249" s="443"/>
      <c r="E249" s="446"/>
      <c r="F249" s="446"/>
      <c r="G249" s="446"/>
      <c r="H249" s="443"/>
      <c r="I249" s="443"/>
      <c r="J249" s="128"/>
      <c r="K249" s="128"/>
      <c r="L249" s="128"/>
      <c r="M249" s="128"/>
      <c r="N249" s="128"/>
      <c r="O249" s="128"/>
      <c r="P249" s="128"/>
      <c r="Q249" s="128"/>
      <c r="R249" s="128"/>
      <c r="S249" s="128"/>
      <c r="T249" s="128"/>
      <c r="U249" s="128"/>
      <c r="V249" s="128"/>
      <c r="W249" s="128"/>
    </row>
    <row r="250" spans="1:23" ht="14.25" hidden="1" customHeight="1">
      <c r="A250" s="128"/>
      <c r="B250" s="128"/>
      <c r="C250" s="128"/>
      <c r="D250" s="443"/>
      <c r="E250" s="446"/>
      <c r="F250" s="446"/>
      <c r="G250" s="446"/>
      <c r="H250" s="443"/>
      <c r="I250" s="443"/>
      <c r="J250" s="128"/>
      <c r="K250" s="128"/>
      <c r="L250" s="128"/>
      <c r="M250" s="128"/>
      <c r="N250" s="128"/>
      <c r="O250" s="128"/>
      <c r="P250" s="128"/>
      <c r="Q250" s="128"/>
      <c r="R250" s="128"/>
      <c r="S250" s="128"/>
      <c r="T250" s="128"/>
      <c r="U250" s="128"/>
      <c r="V250" s="128"/>
      <c r="W250" s="128"/>
    </row>
    <row r="251" spans="1:23" ht="14.25" hidden="1" customHeight="1">
      <c r="A251" s="128"/>
      <c r="B251" s="128"/>
      <c r="C251" s="624" t="s">
        <v>381</v>
      </c>
      <c r="D251" s="704">
        <v>2021</v>
      </c>
      <c r="E251" s="705">
        <v>2024</v>
      </c>
      <c r="F251" s="705"/>
      <c r="G251" s="668" t="s">
        <v>378</v>
      </c>
      <c r="H251" s="443"/>
      <c r="I251" s="443"/>
      <c r="J251" s="128"/>
      <c r="K251" s="128"/>
      <c r="L251" s="128"/>
      <c r="M251" s="128"/>
      <c r="N251" s="128"/>
      <c r="O251" s="128"/>
      <c r="P251" s="128"/>
      <c r="Q251" s="128"/>
      <c r="R251" s="128"/>
      <c r="S251" s="128"/>
      <c r="T251" s="128"/>
      <c r="U251" s="128"/>
      <c r="V251" s="128"/>
      <c r="W251" s="128"/>
    </row>
    <row r="252" spans="1:23" ht="14.25" hidden="1" customHeight="1">
      <c r="A252" s="128"/>
      <c r="B252" s="128"/>
      <c r="C252" s="1" t="s">
        <v>411</v>
      </c>
      <c r="D252" s="626">
        <v>90845000</v>
      </c>
      <c r="E252" s="656">
        <v>122066000</v>
      </c>
      <c r="F252" s="656"/>
      <c r="G252" s="706" t="e">
        <f t="shared" ref="G252:G257" si="88">+(E252/#REF!)^(1/4)</f>
        <v>#REF!</v>
      </c>
      <c r="H252" s="443"/>
      <c r="I252" s="443"/>
      <c r="J252" s="680"/>
      <c r="K252" s="128"/>
      <c r="L252" s="128"/>
      <c r="M252" s="128"/>
      <c r="N252" s="128"/>
      <c r="O252" s="128"/>
      <c r="P252" s="128"/>
      <c r="Q252" s="128"/>
      <c r="R252" s="128"/>
      <c r="S252" s="128"/>
      <c r="T252" s="128"/>
      <c r="U252" s="128"/>
      <c r="V252" s="128"/>
      <c r="W252" s="128"/>
    </row>
    <row r="253" spans="1:23" ht="14.25" hidden="1" customHeight="1">
      <c r="A253" s="128"/>
      <c r="B253" s="128"/>
      <c r="C253" s="1" t="s">
        <v>375</v>
      </c>
      <c r="D253" s="627" t="e">
        <f t="shared" ref="D253:E253" si="89">+D$252*#REF!</f>
        <v>#REF!</v>
      </c>
      <c r="E253" s="648" t="e">
        <f t="shared" si="89"/>
        <v>#REF!</v>
      </c>
      <c r="F253" s="648"/>
      <c r="G253" s="706" t="e">
        <f t="shared" si="88"/>
        <v>#REF!</v>
      </c>
      <c r="H253" s="443"/>
      <c r="I253" s="443"/>
      <c r="J253" s="128"/>
      <c r="K253" s="128"/>
      <c r="L253" s="128"/>
      <c r="M253" s="128"/>
      <c r="N253" s="128"/>
      <c r="O253" s="128"/>
      <c r="P253" s="128"/>
      <c r="Q253" s="128"/>
      <c r="R253" s="128"/>
      <c r="S253" s="128"/>
      <c r="T253" s="128"/>
      <c r="U253" s="128"/>
      <c r="V253" s="128"/>
      <c r="W253" s="128"/>
    </row>
    <row r="254" spans="1:23" ht="14.25" hidden="1" customHeight="1">
      <c r="A254" s="128"/>
      <c r="B254" s="128"/>
      <c r="C254" s="1" t="s">
        <v>376</v>
      </c>
      <c r="D254" s="627" t="e">
        <f t="shared" ref="D254:E254" si="90">+D$205*#REF!</f>
        <v>#REF!</v>
      </c>
      <c r="E254" s="648" t="e">
        <f t="shared" si="90"/>
        <v>#REF!</v>
      </c>
      <c r="F254" s="648"/>
      <c r="G254" s="706" t="e">
        <f t="shared" si="88"/>
        <v>#REF!</v>
      </c>
      <c r="H254" s="443"/>
      <c r="I254" s="443"/>
      <c r="J254" s="128"/>
      <c r="K254" s="128"/>
      <c r="L254" s="128"/>
      <c r="M254" s="128"/>
      <c r="N254" s="128"/>
      <c r="O254" s="128"/>
      <c r="P254" s="128"/>
      <c r="Q254" s="128"/>
      <c r="R254" s="128"/>
      <c r="S254" s="128"/>
      <c r="T254" s="128"/>
      <c r="U254" s="128"/>
      <c r="V254" s="128"/>
      <c r="W254" s="128"/>
    </row>
    <row r="255" spans="1:23" ht="14.25" hidden="1" customHeight="1">
      <c r="A255" s="128"/>
      <c r="B255" s="128"/>
      <c r="C255" s="1" t="s">
        <v>385</v>
      </c>
      <c r="D255" s="627" t="e">
        <f t="shared" ref="D255:E255" si="91">+D254*(1-0.3)</f>
        <v>#REF!</v>
      </c>
      <c r="E255" s="648" t="e">
        <f t="shared" si="91"/>
        <v>#REF!</v>
      </c>
      <c r="F255" s="648"/>
      <c r="G255" s="706" t="e">
        <f t="shared" si="88"/>
        <v>#REF!</v>
      </c>
      <c r="H255" s="443"/>
      <c r="I255" s="443"/>
      <c r="J255" s="128"/>
      <c r="K255" s="128"/>
      <c r="L255" s="128"/>
      <c r="M255" s="128"/>
      <c r="N255" s="128"/>
      <c r="O255" s="128"/>
      <c r="P255" s="128"/>
      <c r="Q255" s="128"/>
      <c r="R255" s="128"/>
      <c r="S255" s="128"/>
      <c r="T255" s="128"/>
      <c r="U255" s="128"/>
      <c r="V255" s="128"/>
      <c r="W255" s="128"/>
    </row>
    <row r="256" spans="1:23" ht="14.25" hidden="1" customHeight="1">
      <c r="A256" s="128"/>
      <c r="B256" s="128"/>
      <c r="C256" s="1" t="s">
        <v>386</v>
      </c>
      <c r="D256" s="659" t="e">
        <f t="shared" ref="D256:E256" si="92">(D254-D255)/D254</f>
        <v>#REF!</v>
      </c>
      <c r="E256" s="660" t="e">
        <f t="shared" si="92"/>
        <v>#REF!</v>
      </c>
      <c r="F256" s="660"/>
      <c r="G256" s="706" t="e">
        <f t="shared" si="88"/>
        <v>#REF!</v>
      </c>
      <c r="H256" s="443"/>
      <c r="I256" s="443"/>
      <c r="J256" s="128"/>
      <c r="K256" s="128"/>
      <c r="L256" s="128"/>
      <c r="M256" s="128"/>
      <c r="N256" s="128"/>
      <c r="O256" s="128"/>
      <c r="P256" s="128"/>
      <c r="Q256" s="128"/>
      <c r="R256" s="128"/>
      <c r="S256" s="128"/>
      <c r="T256" s="128"/>
      <c r="U256" s="128"/>
      <c r="V256" s="128"/>
      <c r="W256" s="128"/>
    </row>
    <row r="257" spans="1:23" ht="14.25" hidden="1" customHeight="1">
      <c r="A257" s="128"/>
      <c r="B257" s="128"/>
      <c r="C257" s="1" t="s">
        <v>387</v>
      </c>
      <c r="D257" s="662" t="e">
        <f t="shared" ref="D257:E257" si="93">D253*(1-D256)</f>
        <v>#REF!</v>
      </c>
      <c r="E257" s="661" t="e">
        <f t="shared" si="93"/>
        <v>#REF!</v>
      </c>
      <c r="F257" s="661"/>
      <c r="G257" s="706" t="e">
        <f t="shared" si="88"/>
        <v>#REF!</v>
      </c>
      <c r="H257" s="443"/>
      <c r="I257" s="443"/>
      <c r="J257" s="128"/>
      <c r="K257" s="128"/>
      <c r="L257" s="128"/>
      <c r="M257" s="128"/>
      <c r="N257" s="128"/>
      <c r="O257" s="128"/>
      <c r="P257" s="128"/>
      <c r="Q257" s="128"/>
      <c r="R257" s="128"/>
      <c r="S257" s="128"/>
      <c r="T257" s="128"/>
      <c r="U257" s="128"/>
      <c r="V257" s="128"/>
      <c r="W257" s="128"/>
    </row>
    <row r="258" spans="1:23" ht="14.25" hidden="1" customHeight="1">
      <c r="A258" s="128"/>
      <c r="B258" s="128"/>
      <c r="C258" s="1"/>
      <c r="D258" s="337"/>
      <c r="E258" s="628"/>
      <c r="F258" s="628"/>
      <c r="G258" s="706"/>
      <c r="H258" s="443"/>
      <c r="I258" s="443"/>
      <c r="J258" s="128"/>
      <c r="K258" s="128"/>
      <c r="L258" s="128"/>
      <c r="M258" s="128"/>
      <c r="N258" s="128"/>
      <c r="O258" s="128"/>
      <c r="P258" s="128"/>
      <c r="Q258" s="128"/>
      <c r="R258" s="128"/>
      <c r="S258" s="128"/>
      <c r="T258" s="128"/>
      <c r="U258" s="128"/>
      <c r="V258" s="128"/>
      <c r="W258" s="128"/>
    </row>
    <row r="259" spans="1:23" ht="14.25" hidden="1" customHeight="1">
      <c r="A259" s="128"/>
      <c r="B259" s="128"/>
      <c r="C259" s="1" t="s">
        <v>388</v>
      </c>
      <c r="D259" s="627" t="e">
        <f t="shared" ref="D259:E259" si="94">+D257*D260</f>
        <v>#REF!</v>
      </c>
      <c r="E259" s="648" t="e">
        <f t="shared" si="94"/>
        <v>#REF!</v>
      </c>
      <c r="F259" s="648"/>
      <c r="G259" s="706"/>
      <c r="H259" s="443"/>
      <c r="I259" s="443"/>
      <c r="J259" s="128"/>
      <c r="K259" s="128"/>
      <c r="L259" s="128"/>
      <c r="M259" s="128"/>
      <c r="N259" s="128"/>
      <c r="O259" s="128"/>
      <c r="P259" s="128"/>
      <c r="Q259" s="128"/>
      <c r="R259" s="128"/>
      <c r="S259" s="128"/>
      <c r="T259" s="128"/>
      <c r="U259" s="128"/>
      <c r="V259" s="128"/>
      <c r="W259" s="128"/>
    </row>
    <row r="260" spans="1:23" ht="14.25" hidden="1" customHeight="1">
      <c r="A260" s="128"/>
      <c r="B260" s="128"/>
      <c r="C260" s="1" t="s">
        <v>389</v>
      </c>
      <c r="D260" s="659" t="e">
        <f>'Reinvestment Rate 25'!#REF!</f>
        <v>#REF!</v>
      </c>
      <c r="E260" s="660" t="e">
        <f>'Reinvestment Rate 25'!#REF!</f>
        <v>#REF!</v>
      </c>
      <c r="F260" s="660"/>
      <c r="G260" s="706" t="e">
        <f>+(E260/D260)^(1/3)</f>
        <v>#REF!</v>
      </c>
      <c r="H260" s="443"/>
      <c r="I260" s="443"/>
      <c r="J260" s="128"/>
      <c r="K260" s="128"/>
      <c r="L260" s="128"/>
      <c r="M260" s="128"/>
      <c r="N260" s="128"/>
      <c r="O260" s="128"/>
      <c r="P260" s="128"/>
      <c r="Q260" s="128"/>
      <c r="R260" s="128"/>
      <c r="S260" s="128"/>
      <c r="T260" s="128"/>
      <c r="U260" s="128"/>
      <c r="V260" s="128"/>
      <c r="W260" s="128"/>
    </row>
    <row r="261" spans="1:23" ht="14.25" hidden="1" customHeight="1">
      <c r="A261" s="128"/>
      <c r="B261" s="128"/>
      <c r="C261" s="504" t="s">
        <v>390</v>
      </c>
      <c r="D261" s="664" t="e">
        <f t="shared" ref="D261:E261" si="95">D257-D259</f>
        <v>#REF!</v>
      </c>
      <c r="E261" s="665" t="e">
        <f t="shared" si="95"/>
        <v>#REF!</v>
      </c>
      <c r="F261" s="707"/>
      <c r="G261" s="446"/>
      <c r="H261" s="443"/>
      <c r="I261" s="443"/>
      <c r="J261" s="128"/>
      <c r="K261" s="128"/>
      <c r="L261" s="128"/>
      <c r="M261" s="128"/>
      <c r="N261" s="128"/>
      <c r="O261" s="128"/>
      <c r="P261" s="128"/>
      <c r="Q261" s="128"/>
      <c r="R261" s="128"/>
      <c r="S261" s="128"/>
      <c r="T261" s="128"/>
      <c r="U261" s="128"/>
      <c r="V261" s="128"/>
      <c r="W261" s="128"/>
    </row>
    <row r="262" spans="1:23" ht="14.25" hidden="1" customHeight="1">
      <c r="A262" s="128"/>
      <c r="B262" s="128"/>
      <c r="C262" s="128"/>
      <c r="D262" s="443"/>
      <c r="E262" s="446"/>
      <c r="F262" s="446"/>
      <c r="G262" s="446"/>
      <c r="H262" s="443"/>
      <c r="I262" s="443"/>
      <c r="J262" s="128"/>
      <c r="K262" s="128"/>
      <c r="L262" s="128"/>
      <c r="M262" s="128"/>
      <c r="N262" s="128"/>
      <c r="O262" s="128"/>
      <c r="P262" s="128"/>
      <c r="Q262" s="128"/>
      <c r="R262" s="128"/>
      <c r="S262" s="128"/>
      <c r="T262" s="128"/>
      <c r="U262" s="128"/>
      <c r="V262" s="128"/>
      <c r="W262" s="128"/>
    </row>
    <row r="263" spans="1:23" ht="14.25" hidden="1" customHeight="1">
      <c r="A263" s="128"/>
      <c r="B263" s="128"/>
      <c r="C263" s="128"/>
      <c r="D263" s="443"/>
      <c r="E263" s="446"/>
      <c r="F263" s="446"/>
      <c r="G263" s="446"/>
      <c r="H263" s="443"/>
      <c r="I263" s="443"/>
      <c r="J263" s="128"/>
      <c r="K263" s="128"/>
      <c r="L263" s="128"/>
      <c r="M263" s="128"/>
      <c r="N263" s="128"/>
      <c r="O263" s="128"/>
      <c r="P263" s="128"/>
      <c r="Q263" s="128"/>
      <c r="R263" s="128"/>
      <c r="S263" s="128"/>
      <c r="T263" s="128"/>
      <c r="U263" s="128"/>
      <c r="V263" s="128"/>
      <c r="W263" s="128"/>
    </row>
    <row r="264" spans="1:23" ht="14.25" hidden="1" customHeight="1">
      <c r="A264" s="128"/>
      <c r="B264" s="128"/>
      <c r="C264" s="624" t="s">
        <v>391</v>
      </c>
      <c r="D264" s="708">
        <f t="shared" ref="D264:E264" si="96">+D251</f>
        <v>2021</v>
      </c>
      <c r="E264" s="709">
        <f t="shared" si="96"/>
        <v>2024</v>
      </c>
      <c r="F264" s="709"/>
      <c r="G264" s="668" t="s">
        <v>378</v>
      </c>
      <c r="H264" s="443"/>
      <c r="I264" s="443"/>
      <c r="J264" s="128"/>
      <c r="K264" s="128"/>
      <c r="L264" s="128"/>
      <c r="M264" s="128"/>
      <c r="N264" s="128"/>
      <c r="O264" s="128"/>
      <c r="P264" s="128"/>
      <c r="Q264" s="128"/>
      <c r="R264" s="128"/>
      <c r="S264" s="128"/>
      <c r="T264" s="128"/>
      <c r="U264" s="128"/>
      <c r="V264" s="128"/>
      <c r="W264" s="128"/>
    </row>
    <row r="265" spans="1:23" ht="14.25" hidden="1" customHeight="1">
      <c r="A265" s="128"/>
      <c r="B265" s="128"/>
      <c r="C265" s="669" t="s">
        <v>412</v>
      </c>
      <c r="D265" s="670" t="e">
        <f>'Reinvestment Rate 25'!#REF!</f>
        <v>#REF!</v>
      </c>
      <c r="E265" s="671" t="e">
        <f>'Reinvestment Rate 25'!#REF!</f>
        <v>#REF!</v>
      </c>
      <c r="F265" s="671"/>
      <c r="G265" s="628"/>
      <c r="H265" s="443"/>
      <c r="I265" s="443"/>
      <c r="J265" s="128"/>
      <c r="K265" s="128"/>
      <c r="L265" s="128"/>
      <c r="M265" s="128"/>
      <c r="N265" s="128"/>
      <c r="O265" s="128"/>
      <c r="P265" s="128"/>
      <c r="Q265" s="128"/>
      <c r="R265" s="128"/>
      <c r="S265" s="128"/>
      <c r="T265" s="128"/>
      <c r="U265" s="128"/>
      <c r="V265" s="128"/>
      <c r="W265" s="128"/>
    </row>
    <row r="266" spans="1:23" ht="14.25" hidden="1" customHeight="1">
      <c r="A266" s="128"/>
      <c r="B266" s="128"/>
      <c r="C266" s="669" t="s">
        <v>388</v>
      </c>
      <c r="D266" s="670" t="e">
        <f t="shared" ref="D266:E266" si="97">+D260</f>
        <v>#REF!</v>
      </c>
      <c r="E266" s="671" t="e">
        <f t="shared" si="97"/>
        <v>#REF!</v>
      </c>
      <c r="F266" s="671"/>
      <c r="G266" s="672" t="e">
        <f>(E266/#REF!)^(1/5-1)</f>
        <v>#REF!</v>
      </c>
      <c r="H266" s="443"/>
      <c r="I266" s="443"/>
      <c r="J266" s="128"/>
      <c r="K266" s="128"/>
      <c r="L266" s="128"/>
      <c r="M266" s="128"/>
      <c r="N266" s="128"/>
      <c r="O266" s="128"/>
      <c r="P266" s="128"/>
      <c r="Q266" s="128"/>
      <c r="R266" s="128"/>
      <c r="S266" s="128"/>
      <c r="T266" s="128"/>
      <c r="U266" s="128"/>
      <c r="V266" s="128"/>
      <c r="W266" s="128"/>
    </row>
    <row r="267" spans="1:23" ht="14.25" hidden="1" customHeight="1">
      <c r="A267" s="128"/>
      <c r="B267" s="128"/>
      <c r="C267" s="673" t="s">
        <v>395</v>
      </c>
      <c r="D267" s="670"/>
      <c r="E267" s="671"/>
      <c r="F267" s="671"/>
      <c r="G267" s="628"/>
      <c r="H267" s="443"/>
      <c r="I267" s="443"/>
      <c r="J267" s="128"/>
      <c r="K267" s="128"/>
      <c r="L267" s="128"/>
      <c r="M267" s="128"/>
      <c r="N267" s="128"/>
      <c r="O267" s="128"/>
      <c r="P267" s="128"/>
      <c r="Q267" s="128"/>
      <c r="R267" s="128"/>
      <c r="S267" s="128"/>
      <c r="T267" s="128"/>
      <c r="U267" s="128"/>
      <c r="V267" s="128"/>
      <c r="W267" s="128"/>
    </row>
    <row r="268" spans="1:23" ht="14.25" hidden="1" customHeight="1">
      <c r="A268" s="128"/>
      <c r="B268" s="128"/>
      <c r="C268" s="695" t="s">
        <v>413</v>
      </c>
      <c r="D268" s="670" t="e">
        <f t="shared" ref="D268:E268" si="98">D265*D266</f>
        <v>#REF!</v>
      </c>
      <c r="E268" s="671" t="e">
        <f t="shared" si="98"/>
        <v>#REF!</v>
      </c>
      <c r="F268" s="671"/>
      <c r="G268" s="628"/>
      <c r="H268" s="443"/>
      <c r="I268" s="443"/>
      <c r="J268" s="128"/>
      <c r="K268" s="128"/>
      <c r="L268" s="128"/>
      <c r="M268" s="128"/>
      <c r="N268" s="128"/>
      <c r="O268" s="128"/>
      <c r="P268" s="128"/>
      <c r="Q268" s="128"/>
      <c r="R268" s="128"/>
      <c r="S268" s="128"/>
      <c r="T268" s="128"/>
      <c r="U268" s="128"/>
      <c r="V268" s="128"/>
      <c r="W268" s="128"/>
    </row>
    <row r="269" spans="1:23" ht="14.25" hidden="1" customHeight="1">
      <c r="A269" s="128"/>
      <c r="B269" s="128"/>
      <c r="C269" s="679" t="s">
        <v>414</v>
      </c>
      <c r="D269" s="337"/>
      <c r="E269" s="628"/>
      <c r="F269" s="628"/>
      <c r="G269" s="628"/>
      <c r="H269" s="443"/>
      <c r="I269" s="443"/>
      <c r="J269" s="128"/>
      <c r="K269" s="128"/>
      <c r="L269" s="128"/>
      <c r="M269" s="128"/>
      <c r="N269" s="128"/>
      <c r="O269" s="128"/>
      <c r="P269" s="128"/>
      <c r="Q269" s="128"/>
      <c r="R269" s="128"/>
      <c r="S269" s="128"/>
      <c r="T269" s="128"/>
      <c r="U269" s="128"/>
      <c r="V269" s="128"/>
      <c r="W269" s="128"/>
    </row>
    <row r="270" spans="1:23" ht="14.25" hidden="1" customHeight="1">
      <c r="A270" s="128"/>
      <c r="B270" s="128"/>
      <c r="C270" s="128"/>
      <c r="D270" s="443"/>
      <c r="E270" s="446"/>
      <c r="F270" s="446"/>
      <c r="G270" s="446"/>
      <c r="H270" s="443"/>
      <c r="I270" s="443"/>
      <c r="J270" s="128"/>
      <c r="K270" s="128"/>
      <c r="L270" s="128"/>
      <c r="M270" s="128"/>
      <c r="N270" s="128"/>
      <c r="O270" s="128"/>
      <c r="P270" s="128"/>
      <c r="Q270" s="128"/>
      <c r="R270" s="128"/>
      <c r="S270" s="128"/>
      <c r="T270" s="128"/>
      <c r="U270" s="128"/>
      <c r="V270" s="128"/>
      <c r="W270" s="128"/>
    </row>
    <row r="271" spans="1:23" ht="14.25" hidden="1" customHeight="1">
      <c r="A271" s="128"/>
      <c r="B271" s="128"/>
      <c r="C271" s="679" t="s">
        <v>399</v>
      </c>
      <c r="D271" s="443"/>
      <c r="E271" s="446"/>
      <c r="F271" s="446"/>
      <c r="G271" s="446"/>
      <c r="H271" s="443"/>
      <c r="I271" s="443"/>
      <c r="J271" s="128"/>
      <c r="K271" s="128"/>
      <c r="L271" s="128"/>
      <c r="M271" s="128"/>
      <c r="N271" s="128"/>
      <c r="O271" s="128"/>
      <c r="P271" s="128"/>
      <c r="Q271" s="128"/>
      <c r="R271" s="128"/>
      <c r="S271" s="128"/>
      <c r="T271" s="128"/>
      <c r="U271" s="128"/>
      <c r="V271" s="128"/>
      <c r="W271" s="128"/>
    </row>
    <row r="272" spans="1:23" ht="14.25" hidden="1" customHeight="1">
      <c r="A272" s="128"/>
      <c r="B272" s="128"/>
      <c r="C272" s="624" t="s">
        <v>400</v>
      </c>
      <c r="D272" s="337"/>
      <c r="E272" s="628"/>
      <c r="F272" s="628"/>
      <c r="G272" s="446"/>
      <c r="H272" s="443"/>
      <c r="I272" s="443"/>
      <c r="J272" s="128"/>
      <c r="K272" s="128"/>
      <c r="L272" s="128"/>
      <c r="M272" s="128"/>
      <c r="N272" s="128"/>
      <c r="O272" s="128"/>
      <c r="P272" s="128"/>
      <c r="Q272" s="128"/>
      <c r="R272" s="128"/>
      <c r="S272" s="128"/>
      <c r="T272" s="128"/>
      <c r="U272" s="128"/>
      <c r="V272" s="128"/>
      <c r="W272" s="128"/>
    </row>
    <row r="273" spans="1:23" ht="14.25" hidden="1" customHeight="1">
      <c r="A273" s="128"/>
      <c r="B273" s="128"/>
      <c r="C273" s="682" t="e">
        <f>+#REF!</f>
        <v>#REF!</v>
      </c>
      <c r="D273" s="337"/>
      <c r="E273" s="628"/>
      <c r="F273" s="628"/>
      <c r="G273" s="446"/>
      <c r="H273" s="443"/>
      <c r="I273" s="443"/>
      <c r="J273" s="128"/>
      <c r="K273" s="128"/>
      <c r="L273" s="128"/>
      <c r="M273" s="128"/>
      <c r="N273" s="128"/>
      <c r="O273" s="128"/>
      <c r="P273" s="128"/>
      <c r="Q273" s="128"/>
      <c r="R273" s="128"/>
      <c r="S273" s="128"/>
      <c r="T273" s="128"/>
      <c r="U273" s="128"/>
      <c r="V273" s="128"/>
      <c r="W273" s="128"/>
    </row>
    <row r="274" spans="1:23" ht="14.25" hidden="1" customHeight="1">
      <c r="A274" s="128"/>
      <c r="B274" s="128"/>
      <c r="C274" s="1399" t="s">
        <v>401</v>
      </c>
      <c r="D274" s="686">
        <v>3</v>
      </c>
      <c r="E274" s="687">
        <v>5</v>
      </c>
      <c r="F274" s="688"/>
      <c r="G274" s="446"/>
      <c r="H274" s="443"/>
      <c r="I274" s="443"/>
      <c r="J274" s="128"/>
      <c r="K274" s="128"/>
      <c r="L274" s="128"/>
      <c r="M274" s="128"/>
      <c r="N274" s="128"/>
      <c r="O274" s="128"/>
      <c r="P274" s="128"/>
      <c r="Q274" s="128"/>
      <c r="R274" s="128"/>
      <c r="S274" s="128"/>
      <c r="T274" s="128"/>
      <c r="U274" s="128"/>
      <c r="V274" s="128"/>
      <c r="W274" s="128"/>
    </row>
    <row r="275" spans="1:23" ht="14.25" hidden="1" customHeight="1">
      <c r="A275" s="128"/>
      <c r="B275" s="128"/>
      <c r="C275" s="1337"/>
      <c r="D275" s="689" t="e">
        <f>#REF!+1</f>
        <v>#REF!</v>
      </c>
      <c r="E275" s="690" t="e">
        <f>#REF!</f>
        <v>#REF!</v>
      </c>
      <c r="F275" s="690"/>
      <c r="G275" s="446"/>
      <c r="H275" s="443"/>
      <c r="I275" s="443"/>
      <c r="J275" s="128"/>
      <c r="K275" s="128"/>
      <c r="L275" s="128"/>
      <c r="M275" s="128"/>
      <c r="N275" s="128"/>
      <c r="O275" s="128"/>
      <c r="P275" s="128"/>
      <c r="Q275" s="128"/>
      <c r="R275" s="128"/>
      <c r="S275" s="128"/>
      <c r="T275" s="128"/>
      <c r="U275" s="128"/>
      <c r="V275" s="128"/>
      <c r="W275" s="128"/>
    </row>
    <row r="276" spans="1:23" ht="14.25" hidden="1" customHeight="1">
      <c r="A276" s="128"/>
      <c r="B276" s="128"/>
      <c r="C276" s="691" t="s">
        <v>387</v>
      </c>
      <c r="D276" s="692" t="e">
        <f>+#REF!</f>
        <v>#REF!</v>
      </c>
      <c r="E276" s="693" t="e">
        <f>#REF!*(1+#REF!)</f>
        <v>#REF!</v>
      </c>
      <c r="F276" s="694"/>
      <c r="G276" s="446"/>
      <c r="H276" s="443"/>
      <c r="I276" s="443"/>
      <c r="J276" s="128"/>
      <c r="K276" s="128"/>
      <c r="L276" s="128"/>
      <c r="M276" s="128"/>
      <c r="N276" s="128"/>
      <c r="O276" s="128"/>
      <c r="P276" s="128"/>
      <c r="Q276" s="128"/>
      <c r="R276" s="128"/>
      <c r="S276" s="128"/>
      <c r="T276" s="128"/>
      <c r="U276" s="128"/>
      <c r="V276" s="128"/>
      <c r="W276" s="128"/>
    </row>
    <row r="277" spans="1:23" ht="14.25" hidden="1" customHeight="1">
      <c r="A277" s="128"/>
      <c r="B277" s="128"/>
      <c r="C277" s="695" t="s">
        <v>388</v>
      </c>
      <c r="D277" s="670" t="e">
        <f>#REF!*$G$222</f>
        <v>#REF!</v>
      </c>
      <c r="E277" s="671" t="e">
        <f>+#REF!</f>
        <v>#REF!</v>
      </c>
      <c r="F277" s="671"/>
      <c r="G277" s="446"/>
      <c r="H277" s="443"/>
      <c r="I277" s="443"/>
      <c r="J277" s="128"/>
      <c r="K277" s="128"/>
      <c r="L277" s="128"/>
      <c r="M277" s="128"/>
      <c r="N277" s="128"/>
      <c r="O277" s="128"/>
      <c r="P277" s="128"/>
      <c r="Q277" s="128"/>
      <c r="R277" s="128"/>
      <c r="S277" s="128"/>
      <c r="T277" s="128"/>
      <c r="U277" s="128"/>
      <c r="V277" s="128"/>
      <c r="W277" s="128"/>
    </row>
    <row r="278" spans="1:23" ht="14.25" hidden="1" customHeight="1">
      <c r="A278" s="128"/>
      <c r="B278" s="128"/>
      <c r="C278" s="695" t="s">
        <v>390</v>
      </c>
      <c r="D278" s="692" t="e">
        <f>D276-(D276*D277)</f>
        <v>#REF!</v>
      </c>
      <c r="E278" s="693" t="e">
        <f>(E276*(1-E277))/(C273-#REF!)</f>
        <v>#REF!</v>
      </c>
      <c r="F278" s="694"/>
      <c r="G278" s="446"/>
      <c r="H278" s="443"/>
      <c r="I278" s="443"/>
      <c r="J278" s="128"/>
      <c r="K278" s="128"/>
      <c r="L278" s="128"/>
      <c r="M278" s="128"/>
      <c r="N278" s="128"/>
      <c r="O278" s="128"/>
      <c r="P278" s="128"/>
      <c r="Q278" s="128"/>
      <c r="R278" s="128"/>
      <c r="S278" s="128"/>
      <c r="T278" s="128"/>
      <c r="U278" s="128"/>
      <c r="V278" s="128"/>
      <c r="W278" s="128"/>
    </row>
    <row r="279" spans="1:23" ht="14.25" hidden="1" customHeight="1">
      <c r="A279" s="128"/>
      <c r="B279" s="128"/>
      <c r="C279" s="695" t="s">
        <v>402</v>
      </c>
      <c r="D279" s="696" t="e">
        <f t="shared" ref="D279:E279" si="99">1/(1+$C$273)^D274</f>
        <v>#REF!</v>
      </c>
      <c r="E279" s="697" t="e">
        <f t="shared" si="99"/>
        <v>#REF!</v>
      </c>
      <c r="F279" s="697"/>
      <c r="G279" s="446"/>
      <c r="H279" s="443"/>
      <c r="I279" s="443"/>
      <c r="J279" s="128"/>
      <c r="K279" s="128"/>
      <c r="L279" s="128"/>
      <c r="M279" s="128"/>
      <c r="N279" s="128"/>
      <c r="O279" s="128"/>
      <c r="P279" s="128"/>
      <c r="Q279" s="128"/>
      <c r="R279" s="128"/>
      <c r="S279" s="128"/>
      <c r="T279" s="128"/>
      <c r="U279" s="128"/>
      <c r="V279" s="128"/>
      <c r="W279" s="128"/>
    </row>
    <row r="280" spans="1:23" ht="14.25" hidden="1" customHeight="1">
      <c r="A280" s="128"/>
      <c r="B280" s="128"/>
      <c r="C280" s="698" t="s">
        <v>403</v>
      </c>
      <c r="D280" s="699" t="e">
        <f t="shared" ref="D280:E280" si="100">D278*D279</f>
        <v>#REF!</v>
      </c>
      <c r="E280" s="700" t="e">
        <f t="shared" si="100"/>
        <v>#REF!</v>
      </c>
      <c r="F280" s="676"/>
      <c r="G280" s="446"/>
      <c r="H280" s="443"/>
      <c r="I280" s="443"/>
      <c r="J280" s="128"/>
      <c r="K280" s="128"/>
      <c r="L280" s="128"/>
      <c r="M280" s="128"/>
      <c r="N280" s="128"/>
      <c r="O280" s="128"/>
      <c r="P280" s="128"/>
      <c r="Q280" s="128"/>
      <c r="R280" s="128"/>
      <c r="S280" s="128"/>
      <c r="T280" s="128"/>
      <c r="U280" s="128"/>
      <c r="V280" s="128"/>
      <c r="W280" s="128"/>
    </row>
    <row r="281" spans="1:23" ht="14.25" hidden="1" customHeight="1">
      <c r="A281" s="128"/>
      <c r="B281" s="128"/>
      <c r="C281" s="128"/>
      <c r="D281" s="443"/>
      <c r="E281" s="446"/>
      <c r="F281" s="446"/>
      <c r="G281" s="446"/>
      <c r="H281" s="443"/>
      <c r="I281" s="443"/>
      <c r="J281" s="128"/>
      <c r="K281" s="128"/>
      <c r="L281" s="128"/>
      <c r="M281" s="128"/>
      <c r="N281" s="128"/>
      <c r="O281" s="128"/>
      <c r="P281" s="128"/>
      <c r="Q281" s="128"/>
      <c r="R281" s="128"/>
      <c r="S281" s="128"/>
      <c r="T281" s="128"/>
      <c r="U281" s="128"/>
      <c r="V281" s="128"/>
      <c r="W281" s="128"/>
    </row>
    <row r="282" spans="1:23" ht="14.25" hidden="1" customHeight="1">
      <c r="A282" s="128"/>
      <c r="B282" s="128"/>
      <c r="C282" s="128"/>
      <c r="D282" s="443"/>
      <c r="E282" s="446"/>
      <c r="F282" s="446"/>
      <c r="G282" s="446"/>
      <c r="H282" s="443"/>
      <c r="I282" s="443"/>
      <c r="J282" s="128"/>
      <c r="K282" s="128"/>
      <c r="L282" s="128"/>
      <c r="M282" s="128"/>
      <c r="N282" s="128"/>
      <c r="O282" s="128"/>
      <c r="P282" s="128"/>
      <c r="Q282" s="128"/>
      <c r="R282" s="128"/>
      <c r="S282" s="128"/>
      <c r="T282" s="128"/>
      <c r="U282" s="128"/>
      <c r="V282" s="128"/>
      <c r="W282" s="128"/>
    </row>
    <row r="283" spans="1:23" ht="14.25" hidden="1" customHeight="1">
      <c r="A283" s="128"/>
      <c r="B283" s="128"/>
      <c r="C283" s="701" t="s">
        <v>404</v>
      </c>
      <c r="D283" s="443"/>
      <c r="E283" s="446"/>
      <c r="F283" s="446"/>
      <c r="G283" s="446"/>
      <c r="H283" s="443"/>
      <c r="I283" s="443"/>
      <c r="J283" s="128"/>
      <c r="K283" s="128"/>
      <c r="L283" s="128"/>
      <c r="M283" s="128"/>
      <c r="N283" s="128"/>
      <c r="O283" s="128"/>
      <c r="P283" s="128"/>
      <c r="Q283" s="128"/>
      <c r="R283" s="128"/>
      <c r="S283" s="128"/>
      <c r="T283" s="128"/>
      <c r="U283" s="128"/>
      <c r="V283" s="128"/>
      <c r="W283" s="128"/>
    </row>
    <row r="284" spans="1:23" ht="14.25" hidden="1" customHeight="1">
      <c r="A284" s="128"/>
      <c r="B284" s="128"/>
      <c r="C284" s="702" t="s">
        <v>405</v>
      </c>
      <c r="D284" s="443"/>
      <c r="E284" s="446"/>
      <c r="F284" s="446"/>
      <c r="G284" s="446"/>
      <c r="H284" s="443"/>
      <c r="I284" s="443"/>
      <c r="J284" s="128"/>
      <c r="K284" s="128"/>
      <c r="L284" s="128"/>
      <c r="M284" s="128"/>
      <c r="N284" s="128"/>
      <c r="O284" s="128"/>
      <c r="P284" s="128"/>
      <c r="Q284" s="128"/>
      <c r="R284" s="128"/>
      <c r="S284" s="128"/>
      <c r="T284" s="128"/>
      <c r="U284" s="128"/>
      <c r="V284" s="128"/>
      <c r="W284" s="128"/>
    </row>
    <row r="285" spans="1:23" ht="14.25" hidden="1" customHeight="1">
      <c r="A285" s="128"/>
      <c r="B285" s="128"/>
      <c r="C285" s="702"/>
      <c r="D285" s="443"/>
      <c r="E285" s="446"/>
      <c r="F285" s="446"/>
      <c r="G285" s="446"/>
      <c r="H285" s="443"/>
      <c r="I285" s="443"/>
      <c r="J285" s="128"/>
      <c r="K285" s="128"/>
      <c r="L285" s="128"/>
      <c r="M285" s="128"/>
      <c r="N285" s="128"/>
      <c r="O285" s="128"/>
      <c r="P285" s="128"/>
      <c r="Q285" s="128"/>
      <c r="R285" s="128"/>
      <c r="S285" s="128"/>
      <c r="T285" s="128"/>
      <c r="U285" s="128"/>
      <c r="V285" s="128"/>
      <c r="W285" s="128"/>
    </row>
    <row r="286" spans="1:23" ht="14.25" hidden="1" customHeight="1">
      <c r="A286" s="128"/>
      <c r="B286" s="128"/>
      <c r="C286" s="703" t="s">
        <v>406</v>
      </c>
      <c r="D286" s="443"/>
      <c r="E286" s="446"/>
      <c r="F286" s="446"/>
      <c r="G286" s="446"/>
      <c r="H286" s="443"/>
      <c r="I286" s="443"/>
      <c r="J286" s="128"/>
      <c r="K286" s="128"/>
      <c r="L286" s="128"/>
      <c r="M286" s="128"/>
      <c r="N286" s="128"/>
      <c r="O286" s="128"/>
      <c r="P286" s="128"/>
      <c r="Q286" s="128"/>
      <c r="R286" s="128"/>
      <c r="S286" s="128"/>
      <c r="T286" s="128"/>
      <c r="U286" s="128"/>
      <c r="V286" s="128"/>
      <c r="W286" s="128"/>
    </row>
    <row r="287" spans="1:23" ht="14.25" hidden="1" customHeight="1">
      <c r="A287" s="128"/>
      <c r="B287" s="128"/>
      <c r="C287" s="702" t="s">
        <v>407</v>
      </c>
      <c r="D287" s="443" t="s">
        <v>408</v>
      </c>
      <c r="E287" s="446"/>
      <c r="F287" s="446"/>
      <c r="G287" s="446"/>
      <c r="H287" s="443"/>
      <c r="I287" s="443"/>
      <c r="J287" s="128"/>
      <c r="K287" s="128"/>
      <c r="L287" s="128"/>
      <c r="M287" s="128"/>
      <c r="N287" s="128"/>
      <c r="O287" s="128"/>
      <c r="P287" s="128"/>
      <c r="Q287" s="128"/>
      <c r="R287" s="128"/>
      <c r="S287" s="128"/>
      <c r="T287" s="128"/>
      <c r="U287" s="128"/>
      <c r="V287" s="128"/>
      <c r="W287" s="128"/>
    </row>
    <row r="288" spans="1:23" ht="14.25" hidden="1" customHeight="1">
      <c r="A288" s="128"/>
      <c r="B288" s="128"/>
      <c r="C288" s="702" t="s">
        <v>409</v>
      </c>
      <c r="D288" s="443"/>
      <c r="E288" s="446"/>
      <c r="F288" s="446"/>
      <c r="G288" s="446"/>
      <c r="H288" s="443"/>
      <c r="I288" s="443"/>
      <c r="J288" s="128"/>
      <c r="K288" s="128"/>
      <c r="L288" s="128"/>
      <c r="M288" s="128"/>
      <c r="N288" s="128"/>
      <c r="O288" s="128"/>
      <c r="P288" s="128"/>
      <c r="Q288" s="128"/>
      <c r="R288" s="128"/>
      <c r="S288" s="128"/>
      <c r="T288" s="128"/>
      <c r="U288" s="128"/>
      <c r="V288" s="128"/>
      <c r="W288" s="128"/>
    </row>
    <row r="289" spans="1:23" ht="14.25" hidden="1" customHeight="1">
      <c r="A289" s="128"/>
      <c r="B289" s="128"/>
      <c r="C289" s="703" t="s">
        <v>410</v>
      </c>
      <c r="D289" s="443"/>
      <c r="E289" s="446"/>
      <c r="F289" s="446"/>
      <c r="G289" s="446"/>
      <c r="H289" s="443"/>
      <c r="I289" s="443"/>
      <c r="J289" s="128"/>
      <c r="K289" s="128"/>
      <c r="L289" s="128"/>
      <c r="M289" s="128"/>
      <c r="N289" s="128"/>
      <c r="O289" s="128"/>
      <c r="P289" s="128"/>
      <c r="Q289" s="128"/>
      <c r="R289" s="128"/>
      <c r="S289" s="128"/>
      <c r="T289" s="128"/>
      <c r="U289" s="128"/>
      <c r="V289" s="128"/>
      <c r="W289" s="128"/>
    </row>
    <row r="290" spans="1:23" ht="14.25" hidden="1" customHeight="1">
      <c r="A290" s="128"/>
      <c r="B290" s="128"/>
      <c r="C290" s="128"/>
      <c r="D290" s="443"/>
      <c r="E290" s="446"/>
      <c r="F290" s="446"/>
      <c r="G290" s="446"/>
      <c r="H290" s="443"/>
      <c r="I290" s="443"/>
      <c r="J290" s="128"/>
      <c r="K290" s="128"/>
      <c r="L290" s="128"/>
      <c r="M290" s="128"/>
      <c r="N290" s="128"/>
      <c r="O290" s="128"/>
      <c r="P290" s="128"/>
      <c r="Q290" s="128"/>
      <c r="R290" s="128"/>
      <c r="S290" s="128"/>
      <c r="T290" s="128"/>
      <c r="U290" s="128"/>
      <c r="V290" s="128"/>
      <c r="W290" s="128"/>
    </row>
    <row r="291" spans="1:23" ht="14.25" hidden="1" customHeight="1">
      <c r="A291" s="128"/>
      <c r="B291" s="128"/>
      <c r="C291" s="128"/>
      <c r="D291" s="443"/>
      <c r="E291" s="446"/>
      <c r="F291" s="446"/>
      <c r="G291" s="446"/>
      <c r="H291" s="443"/>
      <c r="I291" s="443"/>
      <c r="J291" s="128"/>
      <c r="K291" s="128"/>
      <c r="L291" s="128"/>
      <c r="M291" s="128"/>
      <c r="N291" s="128"/>
      <c r="O291" s="128"/>
      <c r="P291" s="128"/>
      <c r="Q291" s="128"/>
      <c r="R291" s="128"/>
      <c r="S291" s="128"/>
      <c r="T291" s="128"/>
      <c r="U291" s="128"/>
      <c r="V291" s="128"/>
      <c r="W291" s="128"/>
    </row>
    <row r="292" spans="1:23" ht="14.25" hidden="1" customHeight="1">
      <c r="A292" s="128"/>
      <c r="B292" s="128"/>
      <c r="C292" s="128"/>
      <c r="D292" s="443"/>
      <c r="E292" s="446"/>
      <c r="F292" s="446"/>
      <c r="G292" s="446"/>
      <c r="H292" s="443"/>
      <c r="I292" s="443"/>
      <c r="J292" s="128"/>
      <c r="K292" s="128"/>
      <c r="L292" s="128"/>
      <c r="M292" s="128"/>
      <c r="N292" s="128"/>
      <c r="O292" s="128"/>
      <c r="P292" s="128"/>
      <c r="Q292" s="128"/>
      <c r="R292" s="128"/>
      <c r="S292" s="128"/>
      <c r="T292" s="128"/>
      <c r="U292" s="128"/>
      <c r="V292" s="128"/>
      <c r="W292" s="128"/>
    </row>
    <row r="293" spans="1:23" ht="14.25" customHeight="1">
      <c r="A293" s="128"/>
      <c r="B293" s="128"/>
      <c r="C293" s="128"/>
      <c r="D293" s="443"/>
      <c r="E293" s="446"/>
      <c r="F293" s="446"/>
      <c r="G293" s="446"/>
      <c r="H293" s="443"/>
      <c r="I293" s="443"/>
      <c r="J293" s="128"/>
      <c r="K293" s="128"/>
      <c r="L293" s="128"/>
      <c r="M293" s="128"/>
      <c r="N293" s="128"/>
      <c r="O293" s="128"/>
      <c r="P293" s="128"/>
      <c r="Q293" s="128"/>
      <c r="R293" s="128"/>
      <c r="S293" s="128"/>
      <c r="T293" s="128"/>
      <c r="U293" s="128"/>
      <c r="V293" s="128"/>
      <c r="W293" s="128"/>
    </row>
    <row r="294" spans="1:23" ht="14.25" customHeight="1">
      <c r="A294" s="128"/>
      <c r="B294" s="128"/>
      <c r="C294" s="128"/>
      <c r="D294" s="443"/>
      <c r="E294" s="446"/>
      <c r="F294" s="446"/>
      <c r="G294" s="446"/>
      <c r="H294" s="443"/>
      <c r="I294" s="443"/>
      <c r="J294" s="128"/>
      <c r="K294" s="128"/>
      <c r="L294" s="128"/>
      <c r="M294" s="128"/>
      <c r="N294" s="128"/>
      <c r="O294" s="128"/>
      <c r="P294" s="128"/>
      <c r="Q294" s="128"/>
      <c r="R294" s="128"/>
      <c r="S294" s="128"/>
      <c r="T294" s="128"/>
      <c r="U294" s="128"/>
      <c r="V294" s="128"/>
      <c r="W294" s="128"/>
    </row>
    <row r="295" spans="1:23" ht="14.25" customHeight="1">
      <c r="A295" s="128"/>
      <c r="B295" s="128"/>
      <c r="C295" s="128"/>
      <c r="D295" s="443"/>
      <c r="E295" s="446"/>
      <c r="F295" s="446"/>
      <c r="G295" s="446"/>
      <c r="H295" s="443"/>
      <c r="I295" s="443"/>
      <c r="J295" s="128"/>
      <c r="K295" s="128"/>
      <c r="L295" s="128"/>
      <c r="M295" s="128"/>
      <c r="N295" s="128"/>
      <c r="O295" s="128"/>
      <c r="P295" s="128"/>
      <c r="Q295" s="128"/>
      <c r="R295" s="128"/>
      <c r="S295" s="128"/>
      <c r="T295" s="128"/>
      <c r="U295" s="128"/>
      <c r="V295" s="128"/>
      <c r="W295" s="128"/>
    </row>
    <row r="296" spans="1:23" ht="14.25" customHeight="1">
      <c r="A296" s="128"/>
      <c r="B296" s="128"/>
      <c r="C296" s="128"/>
      <c r="D296" s="443"/>
      <c r="E296" s="446"/>
      <c r="F296" s="446"/>
      <c r="G296" s="446"/>
      <c r="H296" s="443"/>
      <c r="I296" s="443"/>
      <c r="J296" s="128"/>
      <c r="K296" s="128"/>
      <c r="L296" s="128"/>
      <c r="M296" s="128"/>
      <c r="N296" s="128"/>
      <c r="O296" s="128"/>
      <c r="P296" s="128"/>
      <c r="Q296" s="128"/>
      <c r="R296" s="128"/>
      <c r="S296" s="128"/>
      <c r="T296" s="128"/>
      <c r="U296" s="128"/>
      <c r="V296" s="128"/>
      <c r="W296" s="128"/>
    </row>
    <row r="297" spans="1:23" ht="14.25" customHeight="1">
      <c r="A297" s="128"/>
      <c r="B297" s="128"/>
      <c r="C297" s="128"/>
      <c r="D297" s="443"/>
      <c r="E297" s="446"/>
      <c r="F297" s="446"/>
      <c r="G297" s="446"/>
      <c r="H297" s="443"/>
      <c r="I297" s="443"/>
      <c r="J297" s="128"/>
      <c r="K297" s="128"/>
      <c r="L297" s="128"/>
      <c r="M297" s="128"/>
      <c r="N297" s="128"/>
      <c r="O297" s="128"/>
      <c r="P297" s="128"/>
      <c r="Q297" s="128"/>
      <c r="R297" s="128"/>
      <c r="S297" s="128"/>
      <c r="T297" s="128"/>
      <c r="U297" s="128"/>
      <c r="V297" s="128"/>
      <c r="W297" s="128"/>
    </row>
    <row r="298" spans="1:23" ht="14.25" customHeight="1">
      <c r="A298" s="128"/>
      <c r="B298" s="128"/>
      <c r="C298" s="710"/>
      <c r="D298" s="711">
        <f>+'reinvestment us'!E35</f>
        <v>0.24784014921827127</v>
      </c>
      <c r="E298" s="446"/>
      <c r="F298" s="446"/>
      <c r="G298" s="446"/>
      <c r="H298" s="443"/>
      <c r="I298" s="443"/>
      <c r="J298" s="128"/>
      <c r="K298" s="128"/>
      <c r="L298" s="128"/>
      <c r="M298" s="128"/>
      <c r="N298" s="128"/>
      <c r="O298" s="128"/>
      <c r="P298" s="128"/>
      <c r="Q298" s="128"/>
      <c r="R298" s="128"/>
      <c r="S298" s="128"/>
      <c r="T298" s="128"/>
      <c r="U298" s="128"/>
      <c r="V298" s="128"/>
      <c r="W298" s="128"/>
    </row>
    <row r="299" spans="1:23" ht="14.25" customHeight="1">
      <c r="A299" s="128"/>
      <c r="B299" s="128"/>
      <c r="C299" s="128"/>
      <c r="D299" s="443"/>
      <c r="E299" s="446"/>
      <c r="F299" s="446"/>
      <c r="G299" s="446"/>
      <c r="H299" s="443"/>
      <c r="I299" s="443"/>
      <c r="J299" s="128"/>
      <c r="K299" s="128"/>
      <c r="L299" s="128"/>
      <c r="M299" s="128"/>
      <c r="N299" s="128"/>
      <c r="O299" s="128"/>
      <c r="P299" s="128"/>
      <c r="Q299" s="128"/>
      <c r="R299" s="128"/>
      <c r="S299" s="128"/>
      <c r="T299" s="128"/>
      <c r="U299" s="128"/>
      <c r="V299" s="128"/>
      <c r="W299" s="128"/>
    </row>
    <row r="300" spans="1:23" ht="14.25" customHeight="1">
      <c r="A300" s="128"/>
      <c r="B300" s="128"/>
      <c r="C300" s="128"/>
      <c r="D300" s="443"/>
      <c r="E300" s="446"/>
      <c r="F300" s="446"/>
      <c r="G300" s="446"/>
      <c r="H300" s="443"/>
      <c r="I300" s="443"/>
      <c r="J300" s="128"/>
      <c r="K300" s="128"/>
      <c r="L300" s="128"/>
      <c r="M300" s="128"/>
      <c r="N300" s="128"/>
      <c r="O300" s="128"/>
      <c r="P300" s="128"/>
      <c r="Q300" s="128"/>
      <c r="R300" s="128"/>
      <c r="S300" s="128"/>
      <c r="T300" s="128"/>
      <c r="U300" s="128"/>
      <c r="V300" s="128"/>
      <c r="W300" s="128"/>
    </row>
    <row r="301" spans="1:23" ht="14.25" customHeight="1">
      <c r="A301" s="128"/>
      <c r="B301" s="128"/>
      <c r="C301" s="128"/>
      <c r="D301" s="443"/>
      <c r="E301" s="446"/>
      <c r="F301" s="446"/>
      <c r="G301" s="446"/>
      <c r="H301" s="443"/>
      <c r="I301" s="443"/>
      <c r="J301" s="128"/>
      <c r="K301" s="128"/>
      <c r="L301" s="128"/>
      <c r="M301" s="128"/>
      <c r="N301" s="128"/>
      <c r="O301" s="128"/>
      <c r="P301" s="128"/>
      <c r="Q301" s="128"/>
      <c r="R301" s="128"/>
      <c r="S301" s="128"/>
      <c r="T301" s="128"/>
      <c r="U301" s="128"/>
      <c r="V301" s="128"/>
      <c r="W301" s="128"/>
    </row>
    <row r="302" spans="1:23" ht="24" customHeight="1">
      <c r="A302" s="128"/>
      <c r="B302" s="128"/>
      <c r="C302" s="712" t="s">
        <v>381</v>
      </c>
      <c r="D302" s="713">
        <v>2018</v>
      </c>
      <c r="E302" s="713">
        <v>2021</v>
      </c>
      <c r="F302" s="713">
        <v>2022</v>
      </c>
      <c r="G302" s="713">
        <v>2023</v>
      </c>
      <c r="H302" s="713">
        <v>2024</v>
      </c>
      <c r="I302" s="443">
        <v>2025</v>
      </c>
      <c r="J302" s="128"/>
      <c r="K302" s="128"/>
      <c r="L302" s="128"/>
      <c r="M302" s="128"/>
      <c r="N302" s="128"/>
      <c r="O302" s="128"/>
      <c r="P302" s="128"/>
      <c r="Q302" s="128"/>
      <c r="R302" s="128"/>
      <c r="S302" s="128"/>
      <c r="T302" s="128"/>
      <c r="U302" s="128"/>
      <c r="V302" s="128"/>
      <c r="W302" s="128"/>
    </row>
    <row r="303" spans="1:23" ht="14.25" customHeight="1">
      <c r="A303" s="128"/>
      <c r="B303" s="128"/>
      <c r="C303" s="128" t="s">
        <v>415</v>
      </c>
      <c r="D303" s="714">
        <f t="shared" ref="D303:I303" si="101">+D205</f>
        <v>0</v>
      </c>
      <c r="E303" s="714">
        <f t="shared" si="101"/>
        <v>0</v>
      </c>
      <c r="F303" s="714">
        <f t="shared" si="101"/>
        <v>0</v>
      </c>
      <c r="G303" s="714">
        <f t="shared" si="101"/>
        <v>0</v>
      </c>
      <c r="H303" s="714">
        <f t="shared" si="101"/>
        <v>0</v>
      </c>
      <c r="I303" s="714">
        <f t="shared" si="101"/>
        <v>0</v>
      </c>
      <c r="J303" s="128"/>
      <c r="K303" s="128"/>
      <c r="L303" s="128"/>
      <c r="M303" s="128"/>
      <c r="N303" s="128"/>
      <c r="O303" s="128"/>
      <c r="P303" s="128"/>
      <c r="Q303" s="128"/>
      <c r="R303" s="128"/>
      <c r="S303" s="128"/>
      <c r="T303" s="128"/>
      <c r="U303" s="128"/>
      <c r="V303" s="128"/>
      <c r="W303" s="128"/>
    </row>
    <row r="304" spans="1:23" ht="14.25" customHeight="1">
      <c r="A304" s="128"/>
      <c r="B304" s="128"/>
      <c r="C304" s="128" t="s">
        <v>375</v>
      </c>
      <c r="D304" s="715">
        <f t="shared" ref="D304:I304" si="102">+D303*$D$298</f>
        <v>0</v>
      </c>
      <c r="E304" s="715">
        <f t="shared" si="102"/>
        <v>0</v>
      </c>
      <c r="F304" s="715">
        <f t="shared" si="102"/>
        <v>0</v>
      </c>
      <c r="G304" s="715">
        <f t="shared" si="102"/>
        <v>0</v>
      </c>
      <c r="H304" s="715">
        <f t="shared" si="102"/>
        <v>0</v>
      </c>
      <c r="I304" s="715">
        <f t="shared" si="102"/>
        <v>0</v>
      </c>
      <c r="J304" s="128"/>
      <c r="K304" s="128"/>
      <c r="L304" s="128"/>
      <c r="M304" s="128"/>
      <c r="N304" s="128"/>
      <c r="O304" s="128"/>
      <c r="P304" s="128"/>
      <c r="Q304" s="128"/>
      <c r="R304" s="128"/>
      <c r="S304" s="128"/>
      <c r="T304" s="128"/>
      <c r="U304" s="128"/>
      <c r="V304" s="128"/>
      <c r="W304" s="128"/>
    </row>
    <row r="305" spans="1:24" ht="14.25" customHeight="1">
      <c r="A305" s="128"/>
      <c r="B305" s="128"/>
      <c r="C305" s="128" t="s">
        <v>416</v>
      </c>
      <c r="D305" s="192">
        <v>0.3</v>
      </c>
      <c r="E305" s="192">
        <v>0.3</v>
      </c>
      <c r="F305" s="192">
        <v>0.3</v>
      </c>
      <c r="G305" s="192">
        <v>0.3</v>
      </c>
      <c r="H305" s="192">
        <v>0.3</v>
      </c>
      <c r="I305" s="192">
        <v>0.3</v>
      </c>
      <c r="J305" s="128"/>
      <c r="K305" s="128"/>
      <c r="L305" s="128"/>
      <c r="M305" s="128"/>
      <c r="N305" s="128"/>
      <c r="O305" s="128"/>
      <c r="P305" s="128"/>
      <c r="Q305" s="128"/>
      <c r="R305" s="128"/>
      <c r="S305" s="128"/>
      <c r="T305" s="128"/>
      <c r="U305" s="128"/>
      <c r="V305" s="128"/>
      <c r="W305" s="128"/>
    </row>
    <row r="306" spans="1:24" ht="14.25" customHeight="1">
      <c r="A306" s="128"/>
      <c r="B306" s="128"/>
      <c r="C306" s="128" t="s">
        <v>387</v>
      </c>
      <c r="D306" s="583">
        <f t="shared" ref="D306:I306" si="103">+D304*(1-D305)</f>
        <v>0</v>
      </c>
      <c r="E306" s="583">
        <f t="shared" si="103"/>
        <v>0</v>
      </c>
      <c r="F306" s="583">
        <f t="shared" si="103"/>
        <v>0</v>
      </c>
      <c r="G306" s="583">
        <f t="shared" si="103"/>
        <v>0</v>
      </c>
      <c r="H306" s="583">
        <f t="shared" si="103"/>
        <v>0</v>
      </c>
      <c r="I306" s="583">
        <f t="shared" si="103"/>
        <v>0</v>
      </c>
      <c r="J306" s="128"/>
      <c r="K306" s="128"/>
      <c r="L306" s="128"/>
      <c r="M306" s="128"/>
      <c r="N306" s="128"/>
      <c r="O306" s="128"/>
      <c r="P306" s="128"/>
      <c r="Q306" s="128"/>
      <c r="R306" s="128"/>
      <c r="S306" s="128"/>
      <c r="T306" s="128"/>
      <c r="U306" s="128"/>
      <c r="V306" s="128"/>
      <c r="W306" s="128"/>
    </row>
    <row r="307" spans="1:24" ht="14.25" customHeight="1">
      <c r="A307" s="128"/>
      <c r="B307" s="128"/>
      <c r="C307" s="128"/>
      <c r="D307" s="443"/>
      <c r="E307" s="446"/>
      <c r="F307" s="446"/>
      <c r="G307" s="446"/>
      <c r="H307" s="443"/>
      <c r="I307" s="443"/>
      <c r="J307" s="128"/>
      <c r="K307" s="128"/>
      <c r="L307" s="128"/>
      <c r="M307" s="128"/>
      <c r="N307" s="128"/>
      <c r="O307" s="128"/>
      <c r="P307" s="128"/>
      <c r="Q307" s="128"/>
      <c r="R307" s="128"/>
      <c r="S307" s="128"/>
      <c r="T307" s="128"/>
      <c r="U307" s="128"/>
      <c r="V307" s="128"/>
      <c r="W307" s="128"/>
    </row>
    <row r="308" spans="1:24" ht="14.25" customHeight="1">
      <c r="A308" s="128"/>
      <c r="B308" s="128"/>
      <c r="C308" s="128"/>
      <c r="D308" s="443"/>
      <c r="E308" s="446"/>
      <c r="F308" s="446"/>
      <c r="G308" s="446"/>
      <c r="H308" s="443"/>
      <c r="I308" s="443"/>
      <c r="J308" s="128"/>
      <c r="K308" s="128"/>
      <c r="L308" s="128"/>
      <c r="M308" s="128"/>
      <c r="N308" s="128"/>
      <c r="O308" s="128"/>
      <c r="P308" s="128"/>
      <c r="Q308" s="128"/>
      <c r="R308" s="128"/>
      <c r="S308" s="128"/>
      <c r="T308" s="128"/>
      <c r="U308" s="128"/>
      <c r="V308" s="128"/>
      <c r="W308" s="128"/>
    </row>
    <row r="309" spans="1:24" ht="14.25" customHeight="1">
      <c r="A309" s="128"/>
      <c r="B309" s="128"/>
      <c r="C309" s="128"/>
      <c r="D309" s="443"/>
      <c r="E309" s="446"/>
      <c r="F309" s="446"/>
      <c r="G309" s="446"/>
      <c r="H309" s="443"/>
      <c r="I309" s="443"/>
      <c r="J309" s="128"/>
      <c r="K309" s="128"/>
      <c r="L309" s="128"/>
      <c r="M309" s="128"/>
      <c r="N309" s="128"/>
      <c r="O309" s="128"/>
      <c r="P309" s="128"/>
      <c r="Q309" s="128"/>
      <c r="R309" s="128"/>
      <c r="S309" s="128"/>
      <c r="T309" s="128"/>
      <c r="U309" s="128"/>
      <c r="V309" s="128"/>
      <c r="W309" s="128"/>
      <c r="X309" s="1"/>
    </row>
    <row r="310" spans="1:24" ht="14.25" customHeight="1">
      <c r="A310" s="128"/>
      <c r="B310" s="128"/>
      <c r="C310" s="128"/>
      <c r="D310" s="443"/>
      <c r="E310" s="446"/>
      <c r="F310" s="446"/>
      <c r="G310" s="446"/>
      <c r="H310" s="443"/>
      <c r="I310" s="443"/>
      <c r="J310" s="128"/>
      <c r="K310" s="128"/>
      <c r="L310" s="128"/>
      <c r="M310" s="128"/>
      <c r="N310" s="128"/>
      <c r="O310" s="128"/>
      <c r="P310" s="128"/>
      <c r="Q310" s="128"/>
      <c r="R310" s="128"/>
      <c r="S310" s="128"/>
      <c r="T310" s="128"/>
      <c r="U310" s="128"/>
      <c r="V310" s="128"/>
      <c r="W310" s="128"/>
      <c r="X310" s="1"/>
    </row>
    <row r="311" spans="1:24" ht="14.25" customHeight="1">
      <c r="A311" s="128"/>
      <c r="B311" s="128"/>
      <c r="C311" s="128"/>
      <c r="D311" s="443"/>
      <c r="E311" s="446"/>
      <c r="F311" s="446"/>
      <c r="G311" s="446"/>
      <c r="H311" s="443"/>
      <c r="I311" s="443"/>
      <c r="J311" s="128"/>
      <c r="K311" s="128"/>
      <c r="L311" s="128"/>
      <c r="M311" s="128"/>
      <c r="N311" s="128"/>
      <c r="O311" s="128"/>
      <c r="P311" s="128"/>
      <c r="Q311" s="128"/>
      <c r="R311" s="128"/>
      <c r="S311" s="128"/>
      <c r="T311" s="128"/>
      <c r="U311" s="128"/>
      <c r="V311" s="128"/>
      <c r="W311" s="128"/>
      <c r="X311" s="1"/>
    </row>
    <row r="312" spans="1:24" ht="14.25" customHeight="1">
      <c r="A312" s="128"/>
      <c r="B312" s="128"/>
      <c r="C312" s="128"/>
      <c r="D312" s="443"/>
      <c r="E312" s="446"/>
      <c r="F312" s="446"/>
      <c r="G312" s="446"/>
      <c r="H312" s="443"/>
      <c r="I312" s="443"/>
      <c r="J312" s="128"/>
      <c r="K312" s="128"/>
      <c r="L312" s="128"/>
      <c r="M312" s="128"/>
      <c r="N312" s="128"/>
      <c r="O312" s="128"/>
      <c r="P312" s="128"/>
      <c r="Q312" s="128"/>
      <c r="R312" s="128"/>
      <c r="S312" s="128"/>
      <c r="T312" s="128"/>
      <c r="U312" s="128"/>
      <c r="V312" s="128"/>
      <c r="W312" s="128"/>
      <c r="X312" s="1"/>
    </row>
    <row r="313" spans="1:24" ht="14.25" customHeight="1">
      <c r="A313" s="128"/>
      <c r="B313" s="128"/>
      <c r="C313" s="128"/>
      <c r="D313" s="443"/>
      <c r="E313" s="446"/>
      <c r="F313" s="446"/>
      <c r="G313" s="446"/>
      <c r="H313" s="443"/>
      <c r="I313" s="443"/>
      <c r="J313" s="128"/>
      <c r="K313" s="128"/>
      <c r="L313" s="128"/>
      <c r="M313" s="128"/>
      <c r="N313" s="128"/>
      <c r="O313" s="128"/>
      <c r="P313" s="128"/>
      <c r="Q313" s="128"/>
      <c r="R313" s="128"/>
      <c r="S313" s="128"/>
      <c r="T313" s="128"/>
      <c r="U313" s="128"/>
      <c r="V313" s="128"/>
      <c r="W313" s="128"/>
      <c r="X313" s="1"/>
    </row>
    <row r="314" spans="1:24" ht="14.25" customHeight="1">
      <c r="A314" s="128"/>
      <c r="B314" s="128"/>
      <c r="C314" s="128"/>
      <c r="D314" s="443"/>
      <c r="E314" s="446"/>
      <c r="F314" s="446"/>
      <c r="G314" s="446"/>
      <c r="H314" s="443"/>
      <c r="I314" s="443"/>
      <c r="J314" s="128"/>
      <c r="K314" s="128"/>
      <c r="L314" s="128"/>
      <c r="M314" s="128"/>
      <c r="N314" s="128"/>
      <c r="O314" s="128"/>
      <c r="P314" s="128"/>
      <c r="Q314" s="128"/>
      <c r="R314" s="128"/>
      <c r="S314" s="128"/>
      <c r="T314" s="128"/>
      <c r="U314" s="128"/>
      <c r="V314" s="128"/>
      <c r="W314" s="128"/>
      <c r="X314" s="1"/>
    </row>
    <row r="315" spans="1:24" ht="14.25" customHeight="1">
      <c r="A315" s="128"/>
      <c r="B315" s="128"/>
      <c r="C315" s="128"/>
      <c r="D315" s="443"/>
      <c r="E315" s="446"/>
      <c r="F315" s="446"/>
      <c r="G315" s="446"/>
      <c r="H315" s="443"/>
      <c r="I315" s="443"/>
      <c r="J315" s="128"/>
      <c r="K315" s="128"/>
      <c r="L315" s="128"/>
      <c r="M315" s="128"/>
      <c r="N315" s="128"/>
      <c r="O315" s="128"/>
      <c r="P315" s="128"/>
      <c r="Q315" s="128"/>
      <c r="R315" s="128"/>
      <c r="S315" s="128"/>
      <c r="T315" s="128"/>
      <c r="U315" s="128"/>
      <c r="V315" s="128"/>
      <c r="W315" s="128"/>
      <c r="X315" s="1"/>
    </row>
    <row r="316" spans="1:24" ht="14.25" customHeight="1">
      <c r="A316" s="128"/>
      <c r="B316" s="128"/>
      <c r="C316" s="128"/>
      <c r="D316" s="443"/>
      <c r="E316" s="446"/>
      <c r="F316" s="446"/>
      <c r="G316" s="446"/>
      <c r="H316" s="443"/>
      <c r="I316" s="443"/>
      <c r="J316" s="128"/>
      <c r="K316" s="128"/>
      <c r="L316" s="128"/>
      <c r="M316" s="128"/>
      <c r="N316" s="128"/>
      <c r="O316" s="128"/>
      <c r="P316" s="128"/>
      <c r="Q316" s="128"/>
      <c r="R316" s="128"/>
      <c r="S316" s="128"/>
      <c r="T316" s="128"/>
      <c r="U316" s="128"/>
      <c r="V316" s="128"/>
      <c r="W316" s="128"/>
      <c r="X316" s="1"/>
    </row>
    <row r="317" spans="1:24" ht="14.25" customHeight="1">
      <c r="A317" s="128"/>
      <c r="B317" s="128"/>
      <c r="C317" s="128"/>
      <c r="D317" s="443"/>
      <c r="E317" s="446"/>
      <c r="F317" s="446"/>
      <c r="G317" s="446"/>
      <c r="H317" s="443"/>
      <c r="I317" s="443"/>
      <c r="J317" s="128"/>
      <c r="K317" s="128"/>
      <c r="L317" s="128"/>
      <c r="M317" s="128"/>
      <c r="N317" s="128"/>
      <c r="O317" s="128"/>
      <c r="P317" s="128"/>
      <c r="Q317" s="128"/>
      <c r="R317" s="128"/>
      <c r="S317" s="128"/>
      <c r="T317" s="128"/>
      <c r="U317" s="128"/>
      <c r="V317" s="128"/>
      <c r="W317" s="128"/>
      <c r="X317" s="1"/>
    </row>
    <row r="318" spans="1:24" ht="14.25" customHeight="1">
      <c r="A318" s="128"/>
      <c r="B318" s="128"/>
      <c r="C318" s="128"/>
      <c r="D318" s="443"/>
      <c r="E318" s="446"/>
      <c r="F318" s="446"/>
      <c r="G318" s="446"/>
      <c r="H318" s="443"/>
      <c r="I318" s="443"/>
      <c r="J318" s="128"/>
      <c r="K318" s="128"/>
      <c r="L318" s="128"/>
      <c r="M318" s="128"/>
      <c r="N318" s="128"/>
      <c r="O318" s="128"/>
      <c r="P318" s="128"/>
      <c r="Q318" s="128"/>
      <c r="R318" s="128"/>
      <c r="S318" s="128"/>
      <c r="T318" s="128"/>
      <c r="U318" s="128"/>
      <c r="V318" s="128"/>
      <c r="W318" s="128"/>
      <c r="X318" s="128"/>
    </row>
    <row r="319" spans="1:24" ht="14.25" customHeight="1">
      <c r="A319" s="128"/>
      <c r="B319" s="128"/>
      <c r="C319" s="128"/>
      <c r="D319" s="443"/>
      <c r="E319" s="446"/>
      <c r="F319" s="446"/>
      <c r="G319" s="446"/>
      <c r="H319" s="443"/>
      <c r="I319" s="443"/>
      <c r="J319" s="128"/>
      <c r="K319" s="128"/>
      <c r="L319" s="128"/>
      <c r="M319" s="128"/>
      <c r="N319" s="128"/>
      <c r="O319" s="128"/>
      <c r="P319" s="128"/>
      <c r="Q319" s="128"/>
      <c r="R319" s="128"/>
      <c r="S319" s="128"/>
      <c r="T319" s="128"/>
      <c r="U319" s="128"/>
      <c r="V319" s="128"/>
      <c r="W319" s="128"/>
      <c r="X319" s="128"/>
    </row>
    <row r="320" spans="1:24" ht="14.25" customHeight="1">
      <c r="A320" s="128"/>
      <c r="B320" s="128"/>
      <c r="C320" s="128"/>
      <c r="D320" s="443"/>
      <c r="E320" s="446"/>
      <c r="F320" s="446"/>
      <c r="G320" s="446"/>
      <c r="H320" s="443"/>
      <c r="I320" s="443"/>
      <c r="J320" s="128"/>
      <c r="K320" s="128"/>
      <c r="L320" s="128"/>
      <c r="M320" s="128"/>
      <c r="N320" s="128"/>
      <c r="O320" s="128"/>
      <c r="P320" s="128"/>
      <c r="Q320" s="128"/>
      <c r="R320" s="128"/>
      <c r="S320" s="128"/>
      <c r="T320" s="128"/>
      <c r="U320" s="128"/>
      <c r="V320" s="128"/>
      <c r="W320" s="128"/>
      <c r="X320" s="128"/>
    </row>
    <row r="321" spans="1:24" ht="14.25" customHeight="1">
      <c r="A321" s="128"/>
      <c r="B321" s="128"/>
      <c r="C321" s="128"/>
      <c r="D321" s="443"/>
      <c r="E321" s="446"/>
      <c r="F321" s="446"/>
      <c r="G321" s="446"/>
      <c r="H321" s="443"/>
      <c r="I321" s="443"/>
      <c r="J321" s="128"/>
      <c r="K321" s="128"/>
      <c r="L321" s="128"/>
      <c r="M321" s="128"/>
      <c r="N321" s="128"/>
      <c r="O321" s="128"/>
      <c r="P321" s="128"/>
      <c r="Q321" s="128"/>
      <c r="R321" s="128"/>
      <c r="S321" s="128"/>
      <c r="T321" s="128"/>
      <c r="U321" s="128"/>
      <c r="V321" s="128"/>
      <c r="W321" s="128"/>
      <c r="X321" s="128"/>
    </row>
    <row r="322" spans="1:24" ht="14.25" customHeight="1">
      <c r="A322" s="128"/>
      <c r="B322" s="128"/>
      <c r="C322" s="128"/>
      <c r="D322" s="443"/>
      <c r="E322" s="446"/>
      <c r="F322" s="446"/>
      <c r="G322" s="446"/>
      <c r="H322" s="443"/>
      <c r="I322" s="443"/>
      <c r="J322" s="128"/>
      <c r="K322" s="128"/>
      <c r="L322" s="128"/>
      <c r="M322" s="128"/>
      <c r="N322" s="128"/>
      <c r="O322" s="128"/>
      <c r="P322" s="128"/>
      <c r="Q322" s="128"/>
      <c r="R322" s="128"/>
      <c r="S322" s="128"/>
      <c r="T322" s="128"/>
      <c r="U322" s="128"/>
      <c r="V322" s="128"/>
      <c r="W322" s="128"/>
      <c r="X322" s="128"/>
    </row>
    <row r="323" spans="1:24" ht="14.25" customHeight="1">
      <c r="A323" s="128"/>
      <c r="B323" s="128"/>
      <c r="C323" s="128"/>
      <c r="D323" s="443"/>
      <c r="E323" s="446"/>
      <c r="F323" s="446"/>
      <c r="G323" s="446"/>
      <c r="H323" s="443"/>
      <c r="I323" s="443"/>
      <c r="J323" s="128"/>
      <c r="K323" s="128"/>
      <c r="L323" s="128"/>
      <c r="M323" s="128"/>
      <c r="N323" s="128"/>
      <c r="O323" s="128"/>
      <c r="P323" s="128"/>
      <c r="Q323" s="128"/>
      <c r="R323" s="128"/>
      <c r="S323" s="128"/>
      <c r="T323" s="128"/>
      <c r="U323" s="128"/>
      <c r="V323" s="128"/>
      <c r="W323" s="128"/>
      <c r="X323" s="128"/>
    </row>
    <row r="324" spans="1:24" ht="14.25" customHeight="1">
      <c r="A324" s="128"/>
      <c r="B324" s="128"/>
      <c r="C324" s="128"/>
      <c r="D324" s="443"/>
      <c r="E324" s="446"/>
      <c r="F324" s="446"/>
      <c r="G324" s="446"/>
      <c r="H324" s="443"/>
      <c r="I324" s="443"/>
      <c r="J324" s="128"/>
      <c r="K324" s="128"/>
      <c r="L324" s="128"/>
      <c r="M324" s="128"/>
      <c r="N324" s="128"/>
      <c r="O324" s="128"/>
      <c r="P324" s="128"/>
      <c r="Q324" s="128"/>
      <c r="R324" s="128"/>
      <c r="S324" s="128"/>
      <c r="T324" s="128"/>
      <c r="U324" s="128"/>
      <c r="V324" s="128"/>
      <c r="W324" s="128"/>
      <c r="X324" s="128"/>
    </row>
    <row r="325" spans="1:24" ht="14.25" customHeight="1">
      <c r="A325" s="128"/>
      <c r="B325" s="128"/>
      <c r="C325" s="128"/>
      <c r="D325" s="443"/>
      <c r="E325" s="446"/>
      <c r="F325" s="446"/>
      <c r="G325" s="446"/>
      <c r="H325" s="443"/>
      <c r="I325" s="443"/>
      <c r="J325" s="128"/>
      <c r="K325" s="128"/>
      <c r="L325" s="128"/>
      <c r="M325" s="128"/>
      <c r="N325" s="128"/>
      <c r="O325" s="128"/>
      <c r="P325" s="128"/>
      <c r="Q325" s="128"/>
      <c r="R325" s="128"/>
      <c r="S325" s="128"/>
      <c r="T325" s="128"/>
      <c r="U325" s="128"/>
      <c r="V325" s="128"/>
      <c r="W325" s="128"/>
      <c r="X325" s="128"/>
    </row>
    <row r="326" spans="1:24" ht="14.25" customHeight="1">
      <c r="A326" s="128"/>
      <c r="B326" s="128"/>
      <c r="C326" s="128"/>
      <c r="D326" s="443"/>
      <c r="E326" s="446"/>
      <c r="F326" s="446"/>
      <c r="G326" s="446"/>
      <c r="H326" s="443"/>
      <c r="I326" s="443"/>
      <c r="J326" s="128"/>
      <c r="K326" s="128"/>
      <c r="L326" s="128"/>
      <c r="M326" s="128"/>
      <c r="N326" s="128"/>
      <c r="O326" s="128"/>
      <c r="P326" s="128"/>
      <c r="Q326" s="128"/>
      <c r="R326" s="128"/>
      <c r="S326" s="128"/>
      <c r="T326" s="128"/>
      <c r="U326" s="128"/>
      <c r="V326" s="128"/>
      <c r="W326" s="128"/>
      <c r="X326" s="128"/>
    </row>
    <row r="327" spans="1:24" ht="14.25" customHeight="1">
      <c r="A327" s="128"/>
      <c r="B327" s="128"/>
      <c r="C327" s="128"/>
      <c r="D327" s="443"/>
      <c r="E327" s="446"/>
      <c r="F327" s="446"/>
      <c r="G327" s="446"/>
      <c r="H327" s="443"/>
      <c r="I327" s="443"/>
      <c r="J327" s="128"/>
      <c r="K327" s="128"/>
      <c r="L327" s="128"/>
      <c r="M327" s="128"/>
      <c r="N327" s="128"/>
      <c r="O327" s="128"/>
      <c r="P327" s="128"/>
      <c r="Q327" s="128"/>
      <c r="R327" s="128"/>
      <c r="S327" s="128"/>
      <c r="T327" s="128"/>
      <c r="U327" s="128"/>
      <c r="V327" s="128"/>
      <c r="W327" s="128"/>
      <c r="X327" s="128"/>
    </row>
    <row r="328" spans="1:24" ht="14.25" customHeight="1">
      <c r="A328" s="128"/>
      <c r="B328" s="128"/>
      <c r="C328" s="128"/>
      <c r="D328" s="443"/>
      <c r="E328" s="446"/>
      <c r="F328" s="446"/>
      <c r="G328" s="446"/>
      <c r="H328" s="443"/>
      <c r="I328" s="443"/>
      <c r="J328" s="128"/>
      <c r="K328" s="128"/>
      <c r="L328" s="128"/>
      <c r="M328" s="128"/>
      <c r="N328" s="128"/>
      <c r="O328" s="128"/>
      <c r="P328" s="128"/>
      <c r="Q328" s="128"/>
      <c r="R328" s="128"/>
      <c r="S328" s="128"/>
      <c r="T328" s="128"/>
      <c r="U328" s="128"/>
      <c r="V328" s="128"/>
      <c r="W328" s="128"/>
      <c r="X328" s="128"/>
    </row>
    <row r="329" spans="1:24" ht="14.25" customHeight="1">
      <c r="A329" s="128"/>
      <c r="B329" s="128"/>
      <c r="C329" s="128"/>
      <c r="D329" s="443"/>
      <c r="E329" s="446"/>
      <c r="F329" s="446"/>
      <c r="G329" s="446"/>
      <c r="H329" s="443"/>
      <c r="I329" s="443"/>
      <c r="J329" s="128"/>
      <c r="K329" s="128"/>
      <c r="L329" s="128"/>
      <c r="M329" s="128"/>
      <c r="N329" s="128"/>
      <c r="O329" s="128"/>
      <c r="P329" s="128"/>
      <c r="Q329" s="128"/>
      <c r="R329" s="128"/>
      <c r="S329" s="128"/>
      <c r="T329" s="128"/>
      <c r="U329" s="128"/>
      <c r="V329" s="128"/>
      <c r="W329" s="128"/>
      <c r="X329" s="128"/>
    </row>
    <row r="330" spans="1:24" ht="14.25" customHeight="1">
      <c r="A330" s="128"/>
      <c r="B330" s="128"/>
      <c r="C330" s="128"/>
      <c r="D330" s="443"/>
      <c r="E330" s="446"/>
      <c r="F330" s="446"/>
      <c r="G330" s="446"/>
      <c r="H330" s="443"/>
      <c r="I330" s="443"/>
      <c r="J330" s="128"/>
      <c r="K330" s="128"/>
      <c r="L330" s="128"/>
      <c r="M330" s="128"/>
      <c r="N330" s="128"/>
      <c r="O330" s="128"/>
      <c r="P330" s="128"/>
      <c r="Q330" s="128"/>
      <c r="R330" s="128"/>
      <c r="S330" s="128"/>
      <c r="T330" s="128"/>
      <c r="U330" s="128"/>
      <c r="V330" s="128"/>
      <c r="W330" s="128"/>
      <c r="X330" s="128"/>
    </row>
    <row r="331" spans="1:24" ht="14.25" customHeight="1">
      <c r="A331" s="128"/>
      <c r="B331" s="128"/>
      <c r="C331" s="128"/>
      <c r="D331" s="443"/>
      <c r="E331" s="446"/>
      <c r="F331" s="446"/>
      <c r="G331" s="446"/>
      <c r="H331" s="443"/>
      <c r="I331" s="443"/>
      <c r="J331" s="128"/>
      <c r="K331" s="128"/>
      <c r="L331" s="128"/>
      <c r="M331" s="128"/>
      <c r="N331" s="128"/>
      <c r="O331" s="128"/>
      <c r="P331" s="128"/>
      <c r="Q331" s="128"/>
      <c r="R331" s="128"/>
      <c r="S331" s="128"/>
      <c r="T331" s="128"/>
      <c r="U331" s="128"/>
      <c r="V331" s="128"/>
      <c r="W331" s="128"/>
      <c r="X331" s="128"/>
    </row>
    <row r="332" spans="1:24" ht="14.25" customHeight="1">
      <c r="A332" s="128"/>
      <c r="B332" s="128"/>
      <c r="C332" s="128"/>
      <c r="D332" s="443"/>
      <c r="E332" s="446"/>
      <c r="F332" s="446"/>
      <c r="G332" s="446"/>
      <c r="H332" s="443"/>
      <c r="I332" s="443"/>
      <c r="J332" s="128"/>
      <c r="K332" s="128"/>
      <c r="L332" s="128"/>
      <c r="M332" s="128"/>
      <c r="N332" s="128"/>
      <c r="O332" s="128"/>
      <c r="P332" s="128"/>
      <c r="Q332" s="128"/>
      <c r="R332" s="128"/>
      <c r="S332" s="128"/>
      <c r="T332" s="128"/>
      <c r="U332" s="128"/>
      <c r="V332" s="128"/>
      <c r="W332" s="128"/>
      <c r="X332" s="128"/>
    </row>
    <row r="333" spans="1:24" ht="14.25" customHeight="1">
      <c r="A333" s="128"/>
      <c r="B333" s="128"/>
      <c r="C333" s="128"/>
      <c r="D333" s="443"/>
      <c r="E333" s="446"/>
      <c r="F333" s="446"/>
      <c r="G333" s="446"/>
      <c r="H333" s="443"/>
      <c r="I333" s="443"/>
      <c r="J333" s="128"/>
      <c r="K333" s="128"/>
      <c r="L333" s="128"/>
      <c r="M333" s="128"/>
      <c r="N333" s="128"/>
      <c r="O333" s="128"/>
      <c r="P333" s="128"/>
      <c r="Q333" s="128"/>
      <c r="R333" s="128"/>
      <c r="S333" s="128"/>
      <c r="T333" s="128"/>
      <c r="U333" s="128"/>
      <c r="V333" s="128"/>
      <c r="W333" s="128"/>
      <c r="X333" s="128"/>
    </row>
    <row r="334" spans="1:24" ht="14.25" customHeight="1">
      <c r="A334" s="128"/>
      <c r="B334" s="128"/>
      <c r="C334" s="128"/>
      <c r="D334" s="443"/>
      <c r="E334" s="446"/>
      <c r="F334" s="446"/>
      <c r="G334" s="446"/>
      <c r="H334" s="443"/>
      <c r="I334" s="443"/>
      <c r="J334" s="128"/>
      <c r="K334" s="128"/>
      <c r="L334" s="128"/>
      <c r="M334" s="128"/>
      <c r="N334" s="128"/>
      <c r="O334" s="128"/>
      <c r="P334" s="128"/>
      <c r="Q334" s="128"/>
      <c r="R334" s="128"/>
      <c r="S334" s="128"/>
      <c r="T334" s="128"/>
      <c r="U334" s="128"/>
      <c r="V334" s="128"/>
      <c r="W334" s="128"/>
      <c r="X334" s="128"/>
    </row>
    <row r="335" spans="1:24" ht="14.25" customHeight="1">
      <c r="A335" s="128"/>
      <c r="B335" s="128"/>
      <c r="C335" s="128"/>
      <c r="D335" s="443"/>
      <c r="E335" s="446"/>
      <c r="F335" s="446"/>
      <c r="G335" s="446"/>
      <c r="H335" s="443"/>
      <c r="I335" s="443"/>
      <c r="J335" s="128"/>
      <c r="K335" s="128"/>
      <c r="L335" s="128"/>
      <c r="M335" s="128"/>
      <c r="N335" s="128"/>
      <c r="O335" s="128"/>
      <c r="P335" s="128"/>
      <c r="Q335" s="128"/>
      <c r="R335" s="128"/>
      <c r="S335" s="128"/>
      <c r="T335" s="128"/>
      <c r="U335" s="128"/>
      <c r="V335" s="128"/>
      <c r="W335" s="128"/>
      <c r="X335" s="128"/>
    </row>
    <row r="336" spans="1:24" ht="14.25" customHeight="1">
      <c r="A336" s="128"/>
      <c r="B336" s="128"/>
      <c r="C336" s="128"/>
      <c r="D336" s="443"/>
      <c r="E336" s="446"/>
      <c r="F336" s="446"/>
      <c r="G336" s="446"/>
      <c r="H336" s="443"/>
      <c r="I336" s="443"/>
      <c r="J336" s="128"/>
      <c r="K336" s="128"/>
      <c r="L336" s="128"/>
      <c r="M336" s="128"/>
      <c r="N336" s="128"/>
      <c r="O336" s="128"/>
      <c r="P336" s="128"/>
      <c r="Q336" s="128"/>
      <c r="R336" s="128"/>
      <c r="S336" s="128"/>
      <c r="T336" s="128"/>
      <c r="U336" s="128"/>
      <c r="V336" s="128"/>
      <c r="W336" s="128"/>
      <c r="X336" s="128"/>
    </row>
    <row r="337" spans="1:24" ht="14.25" customHeight="1">
      <c r="A337" s="128"/>
      <c r="B337" s="128"/>
      <c r="C337" s="128"/>
      <c r="D337" s="443"/>
      <c r="E337" s="446"/>
      <c r="F337" s="446"/>
      <c r="G337" s="446"/>
      <c r="H337" s="443"/>
      <c r="I337" s="443"/>
      <c r="J337" s="128"/>
      <c r="K337" s="128"/>
      <c r="L337" s="128"/>
      <c r="M337" s="128"/>
      <c r="N337" s="128"/>
      <c r="O337" s="128"/>
      <c r="P337" s="128"/>
      <c r="Q337" s="128"/>
      <c r="R337" s="128"/>
      <c r="S337" s="128"/>
      <c r="T337" s="128"/>
      <c r="U337" s="128"/>
      <c r="V337" s="128"/>
      <c r="W337" s="128"/>
      <c r="X337" s="128"/>
    </row>
    <row r="338" spans="1:24" ht="14.25" customHeight="1">
      <c r="A338" s="128"/>
      <c r="B338" s="128"/>
      <c r="C338" s="128"/>
      <c r="D338" s="443"/>
      <c r="E338" s="446"/>
      <c r="F338" s="446"/>
      <c r="G338" s="446"/>
      <c r="H338" s="443"/>
      <c r="I338" s="443"/>
      <c r="J338" s="128"/>
      <c r="K338" s="128"/>
      <c r="L338" s="128"/>
      <c r="M338" s="128"/>
      <c r="N338" s="128"/>
      <c r="O338" s="128"/>
      <c r="P338" s="128"/>
      <c r="Q338" s="128"/>
      <c r="R338" s="128"/>
      <c r="S338" s="128"/>
      <c r="T338" s="128"/>
      <c r="U338" s="128"/>
      <c r="V338" s="128"/>
      <c r="W338" s="128"/>
      <c r="X338" s="128"/>
    </row>
    <row r="339" spans="1:24" ht="14.25" customHeight="1">
      <c r="A339" s="128"/>
      <c r="B339" s="128"/>
      <c r="C339" s="128"/>
      <c r="D339" s="443"/>
      <c r="E339" s="446"/>
      <c r="F339" s="446"/>
      <c r="G339" s="446"/>
      <c r="H339" s="443"/>
      <c r="I339" s="443"/>
      <c r="J339" s="128"/>
      <c r="K339" s="128"/>
      <c r="L339" s="128"/>
      <c r="M339" s="128"/>
      <c r="N339" s="128"/>
      <c r="O339" s="128"/>
      <c r="P339" s="128"/>
      <c r="Q339" s="128"/>
      <c r="R339" s="128"/>
      <c r="S339" s="128"/>
      <c r="T339" s="128"/>
      <c r="U339" s="128"/>
      <c r="V339" s="128"/>
      <c r="W339" s="128"/>
      <c r="X339" s="128"/>
    </row>
    <row r="340" spans="1:24" ht="14.25" customHeight="1">
      <c r="A340" s="128"/>
      <c r="B340" s="128"/>
      <c r="C340" s="128"/>
      <c r="D340" s="443"/>
      <c r="E340" s="446"/>
      <c r="F340" s="446"/>
      <c r="G340" s="446"/>
      <c r="H340" s="443"/>
      <c r="I340" s="443"/>
      <c r="J340" s="128"/>
      <c r="K340" s="128"/>
      <c r="L340" s="128"/>
      <c r="M340" s="128"/>
      <c r="N340" s="128"/>
      <c r="O340" s="128"/>
      <c r="P340" s="128"/>
      <c r="Q340" s="128"/>
      <c r="R340" s="128"/>
      <c r="S340" s="128"/>
      <c r="T340" s="128"/>
      <c r="U340" s="128"/>
      <c r="V340" s="128"/>
      <c r="W340" s="128"/>
      <c r="X340" s="128"/>
    </row>
    <row r="341" spans="1:24" ht="14.25" customHeight="1">
      <c r="A341" s="128"/>
      <c r="B341" s="128"/>
      <c r="C341" s="128"/>
      <c r="D341" s="443"/>
      <c r="E341" s="446"/>
      <c r="F341" s="446"/>
      <c r="G341" s="446"/>
      <c r="H341" s="443"/>
      <c r="I341" s="443"/>
      <c r="J341" s="128"/>
      <c r="K341" s="128"/>
      <c r="L341" s="128"/>
      <c r="M341" s="128"/>
      <c r="N341" s="128"/>
      <c r="O341" s="128"/>
      <c r="P341" s="128"/>
      <c r="Q341" s="128"/>
      <c r="R341" s="128"/>
      <c r="S341" s="128"/>
      <c r="T341" s="128"/>
      <c r="U341" s="128"/>
      <c r="V341" s="128"/>
      <c r="W341" s="128"/>
      <c r="X341" s="128"/>
    </row>
    <row r="342" spans="1:24" ht="14.25" customHeight="1">
      <c r="A342" s="128"/>
      <c r="B342" s="128"/>
      <c r="C342" s="128"/>
      <c r="D342" s="443"/>
      <c r="E342" s="446"/>
      <c r="F342" s="446"/>
      <c r="G342" s="446"/>
      <c r="H342" s="443"/>
      <c r="I342" s="443"/>
      <c r="J342" s="128"/>
      <c r="K342" s="128"/>
      <c r="L342" s="128"/>
      <c r="M342" s="128"/>
      <c r="N342" s="128"/>
      <c r="O342" s="128"/>
      <c r="P342" s="128"/>
      <c r="Q342" s="128"/>
      <c r="R342" s="128"/>
      <c r="S342" s="128"/>
      <c r="T342" s="128"/>
      <c r="U342" s="128"/>
      <c r="V342" s="128"/>
      <c r="W342" s="128"/>
      <c r="X342" s="128"/>
    </row>
    <row r="343" spans="1:24" ht="14.25" customHeight="1">
      <c r="A343" s="128"/>
      <c r="B343" s="128"/>
      <c r="C343" s="128"/>
      <c r="D343" s="443"/>
      <c r="E343" s="446"/>
      <c r="F343" s="446"/>
      <c r="G343" s="446"/>
      <c r="H343" s="443"/>
      <c r="I343" s="443"/>
      <c r="J343" s="128"/>
      <c r="K343" s="128"/>
      <c r="L343" s="128"/>
      <c r="M343" s="128"/>
      <c r="N343" s="128"/>
      <c r="O343" s="128"/>
      <c r="P343" s="128"/>
      <c r="Q343" s="128"/>
      <c r="R343" s="128"/>
      <c r="S343" s="128"/>
      <c r="T343" s="128"/>
      <c r="U343" s="128"/>
      <c r="V343" s="128"/>
      <c r="W343" s="128"/>
      <c r="X343" s="128"/>
    </row>
    <row r="344" spans="1:24" ht="14.25" customHeight="1">
      <c r="A344" s="128"/>
      <c r="B344" s="128"/>
      <c r="C344" s="128"/>
      <c r="D344" s="443"/>
      <c r="E344" s="446"/>
      <c r="F344" s="446"/>
      <c r="G344" s="446"/>
      <c r="H344" s="443"/>
      <c r="I344" s="443"/>
      <c r="J344" s="128"/>
      <c r="K344" s="128"/>
      <c r="L344" s="128"/>
      <c r="M344" s="128"/>
      <c r="N344" s="128"/>
      <c r="O344" s="128"/>
      <c r="P344" s="128"/>
      <c r="Q344" s="128"/>
      <c r="R344" s="128"/>
      <c r="S344" s="128"/>
      <c r="T344" s="128"/>
      <c r="U344" s="128"/>
      <c r="V344" s="128"/>
      <c r="W344" s="128"/>
      <c r="X344" s="128"/>
    </row>
    <row r="345" spans="1:24" ht="14.25" customHeight="1">
      <c r="A345" s="128"/>
      <c r="B345" s="128"/>
      <c r="C345" s="128"/>
      <c r="D345" s="443"/>
      <c r="E345" s="446"/>
      <c r="F345" s="446"/>
      <c r="G345" s="446"/>
      <c r="H345" s="443"/>
      <c r="I345" s="443"/>
      <c r="J345" s="128"/>
      <c r="K345" s="128"/>
      <c r="L345" s="128"/>
      <c r="M345" s="128"/>
      <c r="N345" s="128"/>
      <c r="O345" s="128"/>
      <c r="P345" s="128"/>
      <c r="Q345" s="128"/>
      <c r="R345" s="128"/>
      <c r="S345" s="128"/>
      <c r="T345" s="128"/>
      <c r="U345" s="128"/>
      <c r="V345" s="128"/>
      <c r="W345" s="128"/>
      <c r="X345" s="128"/>
    </row>
    <row r="346" spans="1:24" ht="14.25" customHeight="1">
      <c r="A346" s="128"/>
      <c r="B346" s="128"/>
      <c r="C346" s="128"/>
      <c r="D346" s="443"/>
      <c r="E346" s="446"/>
      <c r="F346" s="446"/>
      <c r="G346" s="446"/>
      <c r="H346" s="443"/>
      <c r="I346" s="443"/>
      <c r="J346" s="128"/>
      <c r="K346" s="128"/>
      <c r="L346" s="128"/>
      <c r="M346" s="128"/>
      <c r="N346" s="128"/>
      <c r="O346" s="128"/>
      <c r="P346" s="128"/>
      <c r="Q346" s="128"/>
      <c r="R346" s="128"/>
      <c r="S346" s="128"/>
      <c r="T346" s="128"/>
      <c r="U346" s="128"/>
      <c r="V346" s="128"/>
      <c r="W346" s="128"/>
      <c r="X346" s="128"/>
    </row>
    <row r="347" spans="1:24" ht="14.25" customHeight="1">
      <c r="A347" s="128"/>
      <c r="B347" s="128"/>
      <c r="C347" s="128"/>
      <c r="D347" s="443"/>
      <c r="E347" s="446"/>
      <c r="F347" s="446"/>
      <c r="G347" s="446"/>
      <c r="H347" s="443"/>
      <c r="I347" s="443"/>
      <c r="J347" s="128"/>
      <c r="K347" s="128"/>
      <c r="L347" s="128"/>
      <c r="M347" s="128"/>
      <c r="N347" s="128"/>
      <c r="O347" s="128"/>
      <c r="P347" s="128"/>
      <c r="Q347" s="128"/>
      <c r="R347" s="128"/>
      <c r="S347" s="128"/>
      <c r="T347" s="128"/>
      <c r="U347" s="128"/>
      <c r="V347" s="128"/>
      <c r="W347" s="128"/>
      <c r="X347" s="128"/>
    </row>
    <row r="348" spans="1:24" ht="14.25" customHeight="1">
      <c r="A348" s="128"/>
      <c r="B348" s="128"/>
      <c r="C348" s="128"/>
      <c r="D348" s="443"/>
      <c r="E348" s="446"/>
      <c r="F348" s="446"/>
      <c r="G348" s="446"/>
      <c r="H348" s="443"/>
      <c r="I348" s="443"/>
      <c r="J348" s="128"/>
      <c r="K348" s="128"/>
      <c r="L348" s="128"/>
      <c r="M348" s="128"/>
      <c r="N348" s="128"/>
      <c r="O348" s="128"/>
      <c r="P348" s="128"/>
      <c r="Q348" s="128"/>
      <c r="R348" s="128"/>
      <c r="S348" s="128"/>
      <c r="T348" s="128"/>
      <c r="U348" s="128"/>
      <c r="V348" s="128"/>
      <c r="W348" s="128"/>
      <c r="X348" s="128"/>
    </row>
    <row r="349" spans="1:24" ht="14.25" customHeight="1">
      <c r="A349" s="128"/>
      <c r="B349" s="128"/>
      <c r="C349" s="128"/>
      <c r="D349" s="443"/>
      <c r="E349" s="446"/>
      <c r="F349" s="446"/>
      <c r="G349" s="446"/>
      <c r="H349" s="443"/>
      <c r="I349" s="443"/>
      <c r="J349" s="128"/>
      <c r="K349" s="128"/>
      <c r="L349" s="128"/>
      <c r="M349" s="128"/>
      <c r="N349" s="128"/>
      <c r="O349" s="128"/>
      <c r="P349" s="128"/>
      <c r="Q349" s="128"/>
      <c r="R349" s="128"/>
      <c r="S349" s="128"/>
      <c r="T349" s="128"/>
      <c r="U349" s="128"/>
      <c r="V349" s="128"/>
      <c r="W349" s="128"/>
      <c r="X349" s="128"/>
    </row>
    <row r="350" spans="1:24" ht="14.25" customHeight="1">
      <c r="A350" s="128"/>
      <c r="B350" s="128"/>
      <c r="C350" s="128"/>
      <c r="D350" s="443"/>
      <c r="E350" s="446"/>
      <c r="F350" s="446"/>
      <c r="G350" s="446"/>
      <c r="H350" s="443"/>
      <c r="I350" s="443"/>
      <c r="J350" s="128"/>
      <c r="K350" s="128"/>
      <c r="L350" s="128"/>
      <c r="M350" s="128"/>
      <c r="N350" s="128"/>
      <c r="O350" s="128"/>
      <c r="P350" s="128"/>
      <c r="Q350" s="128"/>
      <c r="R350" s="128"/>
      <c r="S350" s="128"/>
      <c r="T350" s="128"/>
      <c r="U350" s="128"/>
      <c r="V350" s="128"/>
      <c r="W350" s="128"/>
      <c r="X350" s="128"/>
    </row>
    <row r="351" spans="1:24" ht="14.25" customHeight="1">
      <c r="A351" s="128"/>
      <c r="B351" s="128"/>
      <c r="C351" s="128"/>
      <c r="D351" s="443"/>
      <c r="E351" s="446"/>
      <c r="F351" s="446"/>
      <c r="G351" s="446"/>
      <c r="H351" s="443"/>
      <c r="I351" s="443"/>
      <c r="J351" s="128"/>
      <c r="K351" s="128"/>
      <c r="L351" s="128"/>
      <c r="M351" s="128"/>
      <c r="N351" s="128"/>
      <c r="O351" s="128"/>
      <c r="P351" s="128"/>
      <c r="Q351" s="128"/>
      <c r="R351" s="128"/>
      <c r="S351" s="128"/>
      <c r="T351" s="128"/>
      <c r="U351" s="128"/>
      <c r="V351" s="128"/>
      <c r="W351" s="128"/>
      <c r="X351" s="128"/>
    </row>
    <row r="352" spans="1:24" ht="14.25" customHeight="1">
      <c r="A352" s="128"/>
      <c r="B352" s="128"/>
      <c r="C352" s="128"/>
      <c r="D352" s="443"/>
      <c r="E352" s="446"/>
      <c r="F352" s="446"/>
      <c r="G352" s="446"/>
      <c r="H352" s="443"/>
      <c r="I352" s="443"/>
      <c r="J352" s="128"/>
      <c r="K352" s="128"/>
      <c r="L352" s="128"/>
      <c r="M352" s="128"/>
      <c r="N352" s="128"/>
      <c r="O352" s="128"/>
      <c r="P352" s="128"/>
      <c r="Q352" s="128"/>
      <c r="R352" s="128"/>
      <c r="S352" s="128"/>
      <c r="T352" s="128"/>
      <c r="U352" s="128"/>
      <c r="V352" s="128"/>
      <c r="W352" s="128"/>
      <c r="X352" s="128"/>
    </row>
    <row r="353" spans="1:24" ht="14.25" customHeight="1">
      <c r="A353" s="128"/>
      <c r="B353" s="128"/>
      <c r="C353" s="128"/>
      <c r="D353" s="443"/>
      <c r="E353" s="446"/>
      <c r="F353" s="446"/>
      <c r="G353" s="446"/>
      <c r="H353" s="443"/>
      <c r="I353" s="443"/>
      <c r="J353" s="128"/>
      <c r="K353" s="128"/>
      <c r="L353" s="128"/>
      <c r="M353" s="128"/>
      <c r="N353" s="128"/>
      <c r="O353" s="128"/>
      <c r="P353" s="128"/>
      <c r="Q353" s="128"/>
      <c r="R353" s="128"/>
      <c r="S353" s="128"/>
      <c r="T353" s="128"/>
      <c r="U353" s="128"/>
      <c r="V353" s="128"/>
      <c r="W353" s="128"/>
      <c r="X353" s="128"/>
    </row>
    <row r="354" spans="1:24" ht="14.25" customHeight="1">
      <c r="A354" s="128"/>
      <c r="B354" s="128"/>
      <c r="C354" s="128"/>
      <c r="D354" s="443"/>
      <c r="E354" s="446"/>
      <c r="F354" s="446"/>
      <c r="G354" s="446"/>
      <c r="H354" s="443"/>
      <c r="I354" s="443"/>
      <c r="J354" s="128"/>
      <c r="K354" s="128"/>
      <c r="L354" s="128"/>
      <c r="M354" s="128"/>
      <c r="N354" s="128"/>
      <c r="O354" s="128"/>
      <c r="P354" s="128"/>
      <c r="Q354" s="128"/>
      <c r="R354" s="128"/>
      <c r="S354" s="128"/>
      <c r="T354" s="128"/>
      <c r="U354" s="128"/>
      <c r="V354" s="128"/>
      <c r="W354" s="128"/>
      <c r="X354" s="128"/>
    </row>
    <row r="355" spans="1:24" ht="14.25" customHeight="1">
      <c r="A355" s="128"/>
      <c r="B355" s="128"/>
      <c r="C355" s="128"/>
      <c r="D355" s="443"/>
      <c r="E355" s="446"/>
      <c r="F355" s="446"/>
      <c r="G355" s="446"/>
      <c r="H355" s="443"/>
      <c r="I355" s="443"/>
      <c r="J355" s="128"/>
      <c r="K355" s="128"/>
      <c r="L355" s="128"/>
      <c r="M355" s="128"/>
      <c r="N355" s="128"/>
      <c r="O355" s="128"/>
      <c r="P355" s="128"/>
      <c r="Q355" s="128"/>
      <c r="R355" s="128"/>
      <c r="S355" s="128"/>
      <c r="T355" s="128"/>
      <c r="U355" s="128"/>
      <c r="V355" s="128"/>
      <c r="W355" s="128"/>
      <c r="X355" s="128"/>
    </row>
    <row r="356" spans="1:24" ht="14.25" customHeight="1">
      <c r="A356" s="128"/>
      <c r="B356" s="128"/>
      <c r="C356" s="128"/>
      <c r="D356" s="443"/>
      <c r="E356" s="446"/>
      <c r="F356" s="446"/>
      <c r="G356" s="446"/>
      <c r="H356" s="443"/>
      <c r="I356" s="443"/>
      <c r="J356" s="128"/>
      <c r="K356" s="128"/>
      <c r="L356" s="128"/>
      <c r="M356" s="128"/>
      <c r="N356" s="128"/>
      <c r="O356" s="128"/>
      <c r="P356" s="128"/>
      <c r="Q356" s="128"/>
      <c r="R356" s="128"/>
      <c r="S356" s="128"/>
      <c r="T356" s="128"/>
      <c r="U356" s="128"/>
      <c r="V356" s="128"/>
      <c r="W356" s="128"/>
      <c r="X356" s="128"/>
    </row>
    <row r="357" spans="1:24" ht="14.25" customHeight="1">
      <c r="A357" s="128"/>
      <c r="B357" s="128"/>
      <c r="C357" s="128"/>
      <c r="D357" s="443"/>
      <c r="E357" s="446"/>
      <c r="F357" s="446"/>
      <c r="G357" s="446"/>
      <c r="H357" s="443"/>
      <c r="I357" s="443"/>
      <c r="J357" s="128"/>
      <c r="K357" s="128"/>
      <c r="L357" s="128"/>
      <c r="M357" s="128"/>
      <c r="N357" s="128"/>
      <c r="O357" s="128"/>
      <c r="P357" s="128"/>
      <c r="Q357" s="128"/>
      <c r="R357" s="128"/>
      <c r="S357" s="128"/>
      <c r="T357" s="128"/>
      <c r="U357" s="128"/>
      <c r="V357" s="128"/>
      <c r="W357" s="128"/>
      <c r="X357" s="128"/>
    </row>
    <row r="358" spans="1:24" ht="14.25" customHeight="1">
      <c r="A358" s="128"/>
      <c r="B358" s="128"/>
      <c r="C358" s="128"/>
      <c r="D358" s="443"/>
      <c r="E358" s="446"/>
      <c r="F358" s="446"/>
      <c r="G358" s="446"/>
      <c r="H358" s="443"/>
      <c r="I358" s="443"/>
      <c r="J358" s="128"/>
      <c r="K358" s="128"/>
      <c r="L358" s="128"/>
      <c r="M358" s="128"/>
      <c r="N358" s="128"/>
      <c r="O358" s="128"/>
      <c r="P358" s="128"/>
      <c r="Q358" s="128"/>
      <c r="R358" s="128"/>
      <c r="S358" s="128"/>
      <c r="T358" s="128"/>
      <c r="U358" s="128"/>
      <c r="V358" s="128"/>
      <c r="W358" s="128"/>
      <c r="X358" s="128"/>
    </row>
    <row r="359" spans="1:24" ht="14.25" customHeight="1">
      <c r="A359" s="128"/>
      <c r="B359" s="128"/>
      <c r="C359" s="128"/>
      <c r="D359" s="443"/>
      <c r="E359" s="446"/>
      <c r="F359" s="446"/>
      <c r="G359" s="446"/>
      <c r="H359" s="443"/>
      <c r="I359" s="443"/>
      <c r="J359" s="128"/>
      <c r="K359" s="128"/>
      <c r="L359" s="128"/>
      <c r="M359" s="128"/>
      <c r="N359" s="128"/>
      <c r="O359" s="128"/>
      <c r="P359" s="128"/>
      <c r="Q359" s="128"/>
      <c r="R359" s="128"/>
      <c r="S359" s="128"/>
      <c r="T359" s="128"/>
      <c r="U359" s="128"/>
      <c r="V359" s="128"/>
      <c r="W359" s="128"/>
      <c r="X359" s="128"/>
    </row>
    <row r="360" spans="1:24" ht="14.25" customHeight="1">
      <c r="A360" s="128"/>
      <c r="B360" s="128"/>
      <c r="C360" s="128"/>
      <c r="D360" s="443"/>
      <c r="E360" s="446"/>
      <c r="F360" s="446"/>
      <c r="G360" s="446"/>
      <c r="H360" s="443"/>
      <c r="I360" s="443"/>
      <c r="J360" s="128"/>
      <c r="K360" s="128"/>
      <c r="L360" s="128"/>
      <c r="M360" s="128"/>
      <c r="N360" s="128"/>
      <c r="O360" s="128"/>
      <c r="P360" s="128"/>
      <c r="Q360" s="128"/>
      <c r="R360" s="128"/>
      <c r="S360" s="128"/>
      <c r="T360" s="128"/>
      <c r="U360" s="128"/>
      <c r="V360" s="128"/>
      <c r="W360" s="128"/>
      <c r="X360" s="128"/>
    </row>
    <row r="361" spans="1:24" ht="14.25" customHeight="1">
      <c r="A361" s="128"/>
      <c r="B361" s="128"/>
      <c r="C361" s="128"/>
      <c r="D361" s="443"/>
      <c r="E361" s="446"/>
      <c r="F361" s="446"/>
      <c r="G361" s="446"/>
      <c r="H361" s="443"/>
      <c r="I361" s="443"/>
      <c r="J361" s="128"/>
      <c r="K361" s="128"/>
      <c r="L361" s="128"/>
      <c r="M361" s="128"/>
      <c r="N361" s="128"/>
      <c r="O361" s="128"/>
      <c r="P361" s="128"/>
      <c r="Q361" s="128"/>
      <c r="R361" s="128"/>
      <c r="S361" s="128"/>
      <c r="T361" s="128"/>
      <c r="U361" s="128"/>
      <c r="V361" s="128"/>
      <c r="W361" s="128"/>
      <c r="X361" s="128"/>
    </row>
    <row r="362" spans="1:24" ht="14.25" customHeight="1">
      <c r="A362" s="128"/>
      <c r="B362" s="128"/>
      <c r="C362" s="128"/>
      <c r="D362" s="443"/>
      <c r="E362" s="446"/>
      <c r="F362" s="446"/>
      <c r="G362" s="446"/>
      <c r="H362" s="443"/>
      <c r="I362" s="443"/>
      <c r="J362" s="128"/>
      <c r="K362" s="128"/>
      <c r="L362" s="128"/>
      <c r="M362" s="128"/>
      <c r="N362" s="128"/>
      <c r="O362" s="128"/>
      <c r="P362" s="128"/>
      <c r="Q362" s="128"/>
      <c r="R362" s="128"/>
      <c r="S362" s="128"/>
      <c r="T362" s="128"/>
      <c r="U362" s="128"/>
      <c r="V362" s="128"/>
      <c r="W362" s="128"/>
      <c r="X362" s="128"/>
    </row>
    <row r="363" spans="1:24" ht="14.25" customHeight="1">
      <c r="A363" s="128"/>
      <c r="B363" s="128"/>
      <c r="C363" s="128"/>
      <c r="D363" s="443"/>
      <c r="E363" s="446"/>
      <c r="F363" s="446"/>
      <c r="G363" s="446"/>
      <c r="H363" s="443"/>
      <c r="I363" s="443"/>
      <c r="J363" s="128"/>
      <c r="K363" s="128"/>
      <c r="L363" s="128"/>
      <c r="M363" s="128"/>
      <c r="N363" s="128"/>
      <c r="O363" s="128"/>
      <c r="P363" s="128"/>
      <c r="Q363" s="128"/>
      <c r="R363" s="128"/>
      <c r="S363" s="128"/>
      <c r="T363" s="128"/>
      <c r="U363" s="128"/>
      <c r="V363" s="128"/>
      <c r="W363" s="128"/>
      <c r="X363" s="128"/>
    </row>
    <row r="364" spans="1:24" ht="14.25" customHeight="1">
      <c r="A364" s="128"/>
      <c r="B364" s="128"/>
      <c r="C364" s="128"/>
      <c r="D364" s="443"/>
      <c r="E364" s="446"/>
      <c r="F364" s="446"/>
      <c r="G364" s="446"/>
      <c r="H364" s="443"/>
      <c r="I364" s="443"/>
      <c r="J364" s="128"/>
      <c r="K364" s="128"/>
      <c r="L364" s="128"/>
      <c r="M364" s="128"/>
      <c r="N364" s="128"/>
      <c r="O364" s="128"/>
      <c r="P364" s="128"/>
      <c r="Q364" s="128"/>
      <c r="R364" s="128"/>
      <c r="S364" s="128"/>
      <c r="T364" s="128"/>
      <c r="U364" s="128"/>
      <c r="V364" s="128"/>
      <c r="W364" s="128"/>
      <c r="X364" s="128"/>
    </row>
    <row r="365" spans="1:24" ht="14.25" customHeight="1">
      <c r="A365" s="128"/>
      <c r="B365" s="128"/>
      <c r="C365" s="128"/>
      <c r="D365" s="443"/>
      <c r="E365" s="446"/>
      <c r="F365" s="446"/>
      <c r="G365" s="446"/>
      <c r="H365" s="443"/>
      <c r="I365" s="443"/>
      <c r="J365" s="128"/>
      <c r="K365" s="128"/>
      <c r="L365" s="128"/>
      <c r="M365" s="128"/>
      <c r="N365" s="128"/>
      <c r="O365" s="128"/>
      <c r="P365" s="128"/>
      <c r="Q365" s="128"/>
      <c r="R365" s="128"/>
      <c r="S365" s="128"/>
      <c r="T365" s="128"/>
      <c r="U365" s="128"/>
      <c r="V365" s="128"/>
      <c r="W365" s="128"/>
      <c r="X365" s="128"/>
    </row>
    <row r="366" spans="1:24" ht="14.25" customHeight="1">
      <c r="A366" s="128"/>
      <c r="B366" s="128"/>
      <c r="C366" s="128"/>
      <c r="D366" s="443"/>
      <c r="E366" s="446"/>
      <c r="F366" s="446"/>
      <c r="G366" s="446"/>
      <c r="H366" s="443"/>
      <c r="I366" s="443"/>
      <c r="J366" s="128"/>
      <c r="K366" s="128"/>
      <c r="L366" s="128"/>
      <c r="M366" s="128"/>
      <c r="N366" s="128"/>
      <c r="O366" s="128"/>
      <c r="P366" s="128"/>
      <c r="Q366" s="128"/>
      <c r="R366" s="128"/>
      <c r="S366" s="128"/>
      <c r="T366" s="128"/>
      <c r="U366" s="128"/>
      <c r="V366" s="128"/>
      <c r="W366" s="128"/>
      <c r="X366" s="128"/>
    </row>
    <row r="367" spans="1:24" ht="14.25" customHeight="1">
      <c r="A367" s="128"/>
      <c r="B367" s="128"/>
      <c r="C367" s="128"/>
      <c r="D367" s="443"/>
      <c r="E367" s="446"/>
      <c r="F367" s="446"/>
      <c r="G367" s="446"/>
      <c r="H367" s="443"/>
      <c r="I367" s="443"/>
      <c r="J367" s="128"/>
      <c r="K367" s="128"/>
      <c r="L367" s="128"/>
      <c r="M367" s="128"/>
      <c r="N367" s="128"/>
      <c r="O367" s="128"/>
      <c r="P367" s="128"/>
      <c r="Q367" s="128"/>
      <c r="R367" s="128"/>
      <c r="S367" s="128"/>
      <c r="T367" s="128"/>
      <c r="U367" s="128"/>
      <c r="V367" s="128"/>
      <c r="W367" s="128"/>
      <c r="X367" s="128"/>
    </row>
    <row r="368" spans="1:24" ht="14.25" customHeight="1">
      <c r="A368" s="128"/>
      <c r="B368" s="128"/>
      <c r="C368" s="128"/>
      <c r="D368" s="443"/>
      <c r="E368" s="446"/>
      <c r="F368" s="446"/>
      <c r="G368" s="446"/>
      <c r="H368" s="443"/>
      <c r="I368" s="443"/>
      <c r="J368" s="128"/>
      <c r="K368" s="128"/>
      <c r="L368" s="128"/>
      <c r="M368" s="128"/>
      <c r="N368" s="128"/>
      <c r="O368" s="128"/>
      <c r="P368" s="128"/>
      <c r="Q368" s="128"/>
      <c r="R368" s="128"/>
      <c r="S368" s="128"/>
      <c r="T368" s="128"/>
      <c r="U368" s="128"/>
      <c r="V368" s="128"/>
      <c r="W368" s="128"/>
      <c r="X368" s="128"/>
    </row>
    <row r="369" spans="1:24" ht="14.25" customHeight="1">
      <c r="A369" s="128"/>
      <c r="B369" s="128"/>
      <c r="C369" s="128"/>
      <c r="D369" s="443"/>
      <c r="E369" s="446"/>
      <c r="F369" s="446"/>
      <c r="G369" s="446"/>
      <c r="H369" s="443"/>
      <c r="I369" s="443"/>
      <c r="J369" s="128"/>
      <c r="K369" s="128"/>
      <c r="L369" s="128"/>
      <c r="M369" s="128"/>
      <c r="N369" s="128"/>
      <c r="O369" s="128"/>
      <c r="P369" s="128"/>
      <c r="Q369" s="128"/>
      <c r="R369" s="128"/>
      <c r="S369" s="128"/>
      <c r="T369" s="128"/>
      <c r="U369" s="128"/>
      <c r="V369" s="128"/>
      <c r="W369" s="128"/>
      <c r="X369" s="128"/>
    </row>
    <row r="370" spans="1:24" ht="14.25" customHeight="1">
      <c r="A370" s="128"/>
      <c r="B370" s="128"/>
      <c r="C370" s="128"/>
      <c r="D370" s="443"/>
      <c r="E370" s="446"/>
      <c r="F370" s="446"/>
      <c r="G370" s="446"/>
      <c r="H370" s="443"/>
      <c r="I370" s="443"/>
      <c r="J370" s="128"/>
      <c r="K370" s="128"/>
      <c r="L370" s="128"/>
      <c r="M370" s="128"/>
      <c r="N370" s="128"/>
      <c r="O370" s="128"/>
      <c r="P370" s="128"/>
      <c r="Q370" s="128"/>
      <c r="R370" s="128"/>
      <c r="S370" s="128"/>
      <c r="T370" s="128"/>
      <c r="U370" s="128"/>
      <c r="V370" s="128"/>
      <c r="W370" s="128"/>
      <c r="X370" s="128"/>
    </row>
    <row r="371" spans="1:24" ht="14.25" customHeight="1">
      <c r="A371" s="128"/>
      <c r="B371" s="128"/>
      <c r="C371" s="128"/>
      <c r="D371" s="443"/>
      <c r="E371" s="446"/>
      <c r="F371" s="446"/>
      <c r="G371" s="446"/>
      <c r="H371" s="443"/>
      <c r="I371" s="443"/>
      <c r="J371" s="128"/>
      <c r="K371" s="128"/>
      <c r="L371" s="128"/>
      <c r="M371" s="128"/>
      <c r="N371" s="128"/>
      <c r="O371" s="128"/>
      <c r="P371" s="128"/>
      <c r="Q371" s="128"/>
      <c r="R371" s="128"/>
      <c r="S371" s="128"/>
      <c r="T371" s="128"/>
      <c r="U371" s="128"/>
      <c r="V371" s="128"/>
      <c r="W371" s="128"/>
      <c r="X371" s="128"/>
    </row>
    <row r="372" spans="1:24" ht="14.25" customHeight="1">
      <c r="A372" s="128"/>
      <c r="B372" s="128"/>
      <c r="C372" s="128"/>
      <c r="D372" s="443"/>
      <c r="E372" s="446"/>
      <c r="F372" s="446"/>
      <c r="G372" s="446"/>
      <c r="H372" s="443"/>
      <c r="I372" s="443"/>
      <c r="J372" s="128"/>
      <c r="K372" s="128"/>
      <c r="L372" s="128"/>
      <c r="M372" s="128"/>
      <c r="N372" s="128"/>
      <c r="O372" s="128"/>
      <c r="P372" s="128"/>
      <c r="Q372" s="128"/>
      <c r="R372" s="128"/>
      <c r="S372" s="128"/>
      <c r="T372" s="128"/>
      <c r="U372" s="128"/>
      <c r="V372" s="128"/>
      <c r="W372" s="128"/>
      <c r="X372" s="128"/>
    </row>
    <row r="373" spans="1:24" ht="14.25" customHeight="1">
      <c r="A373" s="128"/>
      <c r="B373" s="128"/>
      <c r="C373" s="128"/>
      <c r="D373" s="443"/>
      <c r="E373" s="446"/>
      <c r="F373" s="446"/>
      <c r="G373" s="446"/>
      <c r="H373" s="443"/>
      <c r="I373" s="443"/>
      <c r="J373" s="128"/>
      <c r="K373" s="128"/>
      <c r="L373" s="128"/>
      <c r="M373" s="128"/>
      <c r="N373" s="128"/>
      <c r="O373" s="128"/>
      <c r="P373" s="128"/>
      <c r="Q373" s="128"/>
      <c r="R373" s="128"/>
      <c r="S373" s="128"/>
      <c r="T373" s="128"/>
      <c r="U373" s="128"/>
      <c r="V373" s="128"/>
      <c r="W373" s="128"/>
      <c r="X373" s="128"/>
    </row>
    <row r="374" spans="1:24" ht="14.25" customHeight="1">
      <c r="A374" s="128"/>
      <c r="B374" s="128"/>
      <c r="C374" s="128"/>
      <c r="D374" s="443"/>
      <c r="E374" s="446"/>
      <c r="F374" s="446"/>
      <c r="G374" s="446"/>
      <c r="H374" s="443"/>
      <c r="I374" s="443"/>
      <c r="J374" s="128"/>
      <c r="K374" s="128"/>
      <c r="L374" s="128"/>
      <c r="M374" s="128"/>
      <c r="N374" s="128"/>
      <c r="O374" s="128"/>
      <c r="P374" s="128"/>
      <c r="Q374" s="128"/>
      <c r="R374" s="128"/>
      <c r="S374" s="128"/>
      <c r="T374" s="128"/>
      <c r="U374" s="128"/>
      <c r="V374" s="128"/>
      <c r="W374" s="128"/>
      <c r="X374" s="128"/>
    </row>
    <row r="375" spans="1:24" ht="14.25" customHeight="1">
      <c r="A375" s="128"/>
      <c r="B375" s="128"/>
      <c r="C375" s="128"/>
      <c r="D375" s="443"/>
      <c r="E375" s="446"/>
      <c r="F375" s="446"/>
      <c r="G375" s="446"/>
      <c r="H375" s="443"/>
      <c r="I375" s="443"/>
      <c r="J375" s="128"/>
      <c r="K375" s="128"/>
      <c r="L375" s="128"/>
      <c r="M375" s="128"/>
      <c r="N375" s="128"/>
      <c r="O375" s="128"/>
      <c r="P375" s="128"/>
      <c r="Q375" s="128"/>
      <c r="R375" s="128"/>
      <c r="S375" s="128"/>
      <c r="T375" s="128"/>
      <c r="U375" s="128"/>
      <c r="V375" s="128"/>
      <c r="W375" s="128"/>
      <c r="X375" s="128"/>
    </row>
    <row r="376" spans="1:24" ht="14.25" customHeight="1">
      <c r="A376" s="128"/>
      <c r="B376" s="128"/>
      <c r="C376" s="128"/>
      <c r="D376" s="443"/>
      <c r="E376" s="446"/>
      <c r="F376" s="446"/>
      <c r="G376" s="446"/>
      <c r="H376" s="443"/>
      <c r="I376" s="443"/>
      <c r="J376" s="128"/>
      <c r="K376" s="128"/>
      <c r="L376" s="128"/>
      <c r="M376" s="128"/>
      <c r="N376" s="128"/>
      <c r="O376" s="128"/>
      <c r="P376" s="128"/>
      <c r="Q376" s="128"/>
      <c r="R376" s="128"/>
      <c r="S376" s="128"/>
      <c r="T376" s="128"/>
      <c r="U376" s="128"/>
      <c r="V376" s="128"/>
      <c r="W376" s="128"/>
      <c r="X376" s="128"/>
    </row>
    <row r="377" spans="1:24" ht="14.25" customHeight="1">
      <c r="A377" s="128"/>
      <c r="B377" s="128"/>
      <c r="C377" s="128"/>
      <c r="D377" s="443"/>
      <c r="E377" s="446"/>
      <c r="F377" s="446"/>
      <c r="G377" s="446"/>
      <c r="H377" s="443"/>
      <c r="I377" s="443"/>
      <c r="J377" s="128"/>
      <c r="K377" s="128"/>
      <c r="L377" s="128"/>
      <c r="M377" s="128"/>
      <c r="N377" s="128"/>
      <c r="O377" s="128"/>
      <c r="P377" s="128"/>
      <c r="Q377" s="128"/>
      <c r="R377" s="128"/>
      <c r="S377" s="128"/>
      <c r="T377" s="128"/>
      <c r="U377" s="128"/>
      <c r="V377" s="128"/>
      <c r="W377" s="128"/>
      <c r="X377" s="128"/>
    </row>
    <row r="378" spans="1:24" ht="14.25" customHeight="1">
      <c r="A378" s="128"/>
      <c r="B378" s="128"/>
      <c r="C378" s="128"/>
      <c r="D378" s="443"/>
      <c r="E378" s="446"/>
      <c r="F378" s="446"/>
      <c r="G378" s="446"/>
      <c r="H378" s="443"/>
      <c r="I378" s="443"/>
      <c r="J378" s="128"/>
      <c r="K378" s="128"/>
      <c r="L378" s="128"/>
      <c r="M378" s="128"/>
      <c r="N378" s="128"/>
      <c r="O378" s="128"/>
      <c r="P378" s="128"/>
      <c r="Q378" s="128"/>
      <c r="R378" s="128"/>
      <c r="S378" s="128"/>
      <c r="T378" s="128"/>
      <c r="U378" s="128"/>
      <c r="V378" s="128"/>
      <c r="W378" s="128"/>
      <c r="X378" s="128"/>
    </row>
    <row r="379" spans="1:24" ht="14.25" customHeight="1">
      <c r="A379" s="128"/>
      <c r="B379" s="128"/>
      <c r="C379" s="128"/>
      <c r="D379" s="443"/>
      <c r="E379" s="446"/>
      <c r="F379" s="446"/>
      <c r="G379" s="446"/>
      <c r="H379" s="443"/>
      <c r="I379" s="443"/>
      <c r="J379" s="128"/>
      <c r="K379" s="128"/>
      <c r="L379" s="128"/>
      <c r="M379" s="128"/>
      <c r="N379" s="128"/>
      <c r="O379" s="128"/>
      <c r="P379" s="128"/>
      <c r="Q379" s="128"/>
      <c r="R379" s="128"/>
      <c r="S379" s="128"/>
      <c r="T379" s="128"/>
      <c r="U379" s="128"/>
      <c r="V379" s="128"/>
      <c r="W379" s="128"/>
      <c r="X379" s="128"/>
    </row>
    <row r="380" spans="1:24" ht="14.25" customHeight="1">
      <c r="A380" s="128"/>
      <c r="B380" s="128"/>
      <c r="C380" s="128"/>
      <c r="D380" s="443"/>
      <c r="E380" s="446"/>
      <c r="F380" s="446"/>
      <c r="G380" s="446"/>
      <c r="H380" s="443"/>
      <c r="I380" s="443"/>
      <c r="J380" s="128"/>
      <c r="K380" s="128"/>
      <c r="L380" s="128"/>
      <c r="M380" s="128"/>
      <c r="N380" s="128"/>
      <c r="O380" s="128"/>
      <c r="P380" s="128"/>
      <c r="Q380" s="128"/>
      <c r="R380" s="128"/>
      <c r="S380" s="128"/>
      <c r="T380" s="128"/>
      <c r="U380" s="128"/>
      <c r="V380" s="128"/>
      <c r="W380" s="128"/>
      <c r="X380" s="128"/>
    </row>
    <row r="381" spans="1:24" ht="14.25" customHeight="1">
      <c r="A381" s="128"/>
      <c r="B381" s="128"/>
      <c r="C381" s="128"/>
      <c r="D381" s="443"/>
      <c r="E381" s="446"/>
      <c r="F381" s="446"/>
      <c r="G381" s="446"/>
      <c r="H381" s="443"/>
      <c r="I381" s="443"/>
      <c r="J381" s="128"/>
      <c r="K381" s="128"/>
      <c r="L381" s="128"/>
      <c r="M381" s="128"/>
      <c r="N381" s="128"/>
      <c r="O381" s="128"/>
      <c r="P381" s="128"/>
      <c r="Q381" s="128"/>
      <c r="R381" s="128"/>
      <c r="S381" s="128"/>
      <c r="T381" s="128"/>
      <c r="U381" s="128"/>
      <c r="V381" s="128"/>
      <c r="W381" s="128"/>
      <c r="X381" s="128"/>
    </row>
    <row r="382" spans="1:24" ht="14.25" customHeight="1">
      <c r="A382" s="128"/>
      <c r="B382" s="128"/>
      <c r="C382" s="128"/>
      <c r="D382" s="443"/>
      <c r="E382" s="446"/>
      <c r="F382" s="446"/>
      <c r="G382" s="446"/>
      <c r="H382" s="443"/>
      <c r="I382" s="443"/>
      <c r="J382" s="128"/>
      <c r="K382" s="128"/>
      <c r="L382" s="128"/>
      <c r="M382" s="128"/>
      <c r="N382" s="128"/>
      <c r="O382" s="128"/>
      <c r="P382" s="128"/>
      <c r="Q382" s="128"/>
      <c r="R382" s="128"/>
      <c r="S382" s="128"/>
      <c r="T382" s="128"/>
      <c r="U382" s="128"/>
      <c r="V382" s="128"/>
      <c r="W382" s="128"/>
      <c r="X382" s="128"/>
    </row>
    <row r="383" spans="1:24" ht="14.25" customHeight="1">
      <c r="A383" s="128"/>
      <c r="B383" s="128"/>
      <c r="C383" s="128"/>
      <c r="D383" s="443"/>
      <c r="E383" s="446"/>
      <c r="F383" s="446"/>
      <c r="G383" s="446"/>
      <c r="H383" s="443"/>
      <c r="I383" s="443"/>
      <c r="J383" s="128"/>
      <c r="K383" s="128"/>
      <c r="L383" s="128"/>
      <c r="M383" s="128"/>
      <c r="N383" s="128"/>
      <c r="O383" s="128"/>
      <c r="P383" s="128"/>
      <c r="Q383" s="128"/>
      <c r="R383" s="128"/>
      <c r="S383" s="128"/>
      <c r="T383" s="128"/>
      <c r="U383" s="128"/>
      <c r="V383" s="128"/>
      <c r="W383" s="128"/>
      <c r="X383" s="128"/>
    </row>
    <row r="384" spans="1:24" ht="14.25" customHeight="1">
      <c r="A384" s="128"/>
      <c r="B384" s="128"/>
      <c r="C384" s="128"/>
      <c r="D384" s="443"/>
      <c r="E384" s="446"/>
      <c r="F384" s="446"/>
      <c r="G384" s="446"/>
      <c r="H384" s="443"/>
      <c r="I384" s="443"/>
      <c r="J384" s="128"/>
      <c r="K384" s="128"/>
      <c r="L384" s="128"/>
      <c r="M384" s="128"/>
      <c r="N384" s="128"/>
      <c r="O384" s="128"/>
      <c r="P384" s="128"/>
      <c r="Q384" s="128"/>
      <c r="R384" s="128"/>
      <c r="S384" s="128"/>
      <c r="T384" s="128"/>
      <c r="U384" s="128"/>
      <c r="V384" s="128"/>
      <c r="W384" s="128"/>
      <c r="X384" s="128"/>
    </row>
    <row r="385" spans="1:24" ht="14.25" customHeight="1">
      <c r="A385" s="128"/>
      <c r="B385" s="128"/>
      <c r="C385" s="128"/>
      <c r="D385" s="443"/>
      <c r="E385" s="446"/>
      <c r="F385" s="446"/>
      <c r="G385" s="446"/>
      <c r="H385" s="443"/>
      <c r="I385" s="443"/>
      <c r="J385" s="128"/>
      <c r="K385" s="128"/>
      <c r="L385" s="128"/>
      <c r="M385" s="128"/>
      <c r="N385" s="128"/>
      <c r="O385" s="128"/>
      <c r="P385" s="128"/>
      <c r="Q385" s="128"/>
      <c r="R385" s="128"/>
      <c r="S385" s="128"/>
      <c r="T385" s="128"/>
      <c r="U385" s="128"/>
      <c r="V385" s="128"/>
      <c r="W385" s="128"/>
      <c r="X385" s="128"/>
    </row>
    <row r="386" spans="1:24" ht="14.25" customHeight="1">
      <c r="A386" s="128"/>
      <c r="B386" s="128"/>
      <c r="C386" s="128"/>
      <c r="D386" s="443"/>
      <c r="E386" s="446"/>
      <c r="F386" s="446"/>
      <c r="G386" s="446"/>
      <c r="H386" s="443"/>
      <c r="I386" s="443"/>
      <c r="J386" s="128"/>
      <c r="K386" s="128"/>
      <c r="L386" s="128"/>
      <c r="M386" s="128"/>
      <c r="N386" s="128"/>
      <c r="O386" s="128"/>
      <c r="P386" s="128"/>
      <c r="Q386" s="128"/>
      <c r="R386" s="128"/>
      <c r="S386" s="128"/>
      <c r="T386" s="128"/>
      <c r="U386" s="128"/>
      <c r="V386" s="128"/>
      <c r="W386" s="128"/>
      <c r="X386" s="128"/>
    </row>
    <row r="387" spans="1:24" ht="14.25" customHeight="1">
      <c r="A387" s="128"/>
      <c r="B387" s="128"/>
      <c r="C387" s="128"/>
      <c r="D387" s="443"/>
      <c r="E387" s="446"/>
      <c r="F387" s="446"/>
      <c r="G387" s="446"/>
      <c r="H387" s="443"/>
      <c r="I387" s="443"/>
      <c r="J387" s="128"/>
      <c r="K387" s="128"/>
      <c r="L387" s="128"/>
      <c r="M387" s="128"/>
      <c r="N387" s="128"/>
      <c r="O387" s="128"/>
      <c r="P387" s="128"/>
      <c r="Q387" s="128"/>
      <c r="R387" s="128"/>
      <c r="S387" s="128"/>
      <c r="T387" s="128"/>
      <c r="U387" s="128"/>
      <c r="V387" s="128"/>
      <c r="W387" s="128"/>
      <c r="X387" s="128"/>
    </row>
    <row r="388" spans="1:24" ht="14.25" customHeight="1">
      <c r="A388" s="128"/>
      <c r="B388" s="128"/>
      <c r="C388" s="128"/>
      <c r="D388" s="443"/>
      <c r="E388" s="446"/>
      <c r="F388" s="446"/>
      <c r="G388" s="446"/>
      <c r="H388" s="443"/>
      <c r="I388" s="443"/>
      <c r="J388" s="128"/>
      <c r="K388" s="128"/>
      <c r="L388" s="128"/>
      <c r="M388" s="128"/>
      <c r="N388" s="128"/>
      <c r="O388" s="128"/>
      <c r="P388" s="128"/>
      <c r="Q388" s="128"/>
      <c r="R388" s="128"/>
      <c r="S388" s="128"/>
      <c r="T388" s="128"/>
      <c r="U388" s="128"/>
      <c r="V388" s="128"/>
      <c r="W388" s="128"/>
      <c r="X388" s="128"/>
    </row>
    <row r="389" spans="1:24" ht="14.25" customHeight="1">
      <c r="A389" s="128"/>
      <c r="B389" s="128"/>
      <c r="C389" s="128"/>
      <c r="D389" s="443"/>
      <c r="E389" s="446"/>
      <c r="F389" s="446"/>
      <c r="G389" s="446"/>
      <c r="H389" s="443"/>
      <c r="I389" s="443"/>
      <c r="J389" s="128"/>
      <c r="K389" s="128"/>
      <c r="L389" s="128"/>
      <c r="M389" s="128"/>
      <c r="N389" s="128"/>
      <c r="O389" s="128"/>
      <c r="P389" s="128"/>
      <c r="Q389" s="128"/>
      <c r="R389" s="128"/>
      <c r="S389" s="128"/>
      <c r="T389" s="128"/>
      <c r="U389" s="128"/>
      <c r="V389" s="128"/>
      <c r="W389" s="128"/>
      <c r="X389" s="128"/>
    </row>
    <row r="390" spans="1:24" ht="14.25" customHeight="1">
      <c r="A390" s="128"/>
      <c r="B390" s="128"/>
      <c r="C390" s="128"/>
      <c r="D390" s="443"/>
      <c r="E390" s="446"/>
      <c r="F390" s="446"/>
      <c r="G390" s="446"/>
      <c r="H390" s="443"/>
      <c r="I390" s="443"/>
      <c r="J390" s="128"/>
      <c r="K390" s="128"/>
      <c r="L390" s="128"/>
      <c r="M390" s="128"/>
      <c r="N390" s="128"/>
      <c r="O390" s="128"/>
      <c r="P390" s="128"/>
      <c r="Q390" s="128"/>
      <c r="R390" s="128"/>
      <c r="S390" s="128"/>
      <c r="T390" s="128"/>
      <c r="U390" s="128"/>
      <c r="V390" s="128"/>
      <c r="W390" s="128"/>
      <c r="X390" s="128"/>
    </row>
    <row r="391" spans="1:24" ht="14.25" customHeight="1">
      <c r="A391" s="128"/>
      <c r="B391" s="128"/>
      <c r="C391" s="128"/>
      <c r="D391" s="443"/>
      <c r="E391" s="446"/>
      <c r="F391" s="446"/>
      <c r="G391" s="446"/>
      <c r="H391" s="443"/>
      <c r="I391" s="443"/>
      <c r="J391" s="128"/>
      <c r="K391" s="128"/>
      <c r="L391" s="128"/>
      <c r="M391" s="128"/>
      <c r="N391" s="128"/>
      <c r="O391" s="128"/>
      <c r="P391" s="128"/>
      <c r="Q391" s="128"/>
      <c r="R391" s="128"/>
      <c r="S391" s="128"/>
      <c r="T391" s="128"/>
      <c r="U391" s="128"/>
      <c r="V391" s="128"/>
      <c r="W391" s="128"/>
      <c r="X391" s="128"/>
    </row>
    <row r="392" spans="1:24" ht="14.25" customHeight="1">
      <c r="A392" s="128"/>
      <c r="B392" s="128"/>
      <c r="C392" s="128"/>
      <c r="D392" s="443"/>
      <c r="E392" s="446"/>
      <c r="F392" s="446"/>
      <c r="G392" s="446"/>
      <c r="H392" s="443"/>
      <c r="I392" s="443"/>
      <c r="J392" s="128"/>
      <c r="K392" s="128"/>
      <c r="L392" s="128"/>
      <c r="M392" s="128"/>
      <c r="N392" s="128"/>
      <c r="O392" s="128"/>
      <c r="P392" s="128"/>
      <c r="Q392" s="128"/>
      <c r="R392" s="128"/>
      <c r="S392" s="128"/>
      <c r="T392" s="128"/>
      <c r="U392" s="128"/>
      <c r="V392" s="128"/>
      <c r="W392" s="128"/>
      <c r="X392" s="128"/>
    </row>
    <row r="393" spans="1:24" ht="14.25" customHeight="1">
      <c r="A393" s="128"/>
      <c r="B393" s="128"/>
      <c r="C393" s="128"/>
      <c r="D393" s="443"/>
      <c r="E393" s="446"/>
      <c r="F393" s="446"/>
      <c r="G393" s="446"/>
      <c r="H393" s="443"/>
      <c r="I393" s="443"/>
      <c r="J393" s="128"/>
      <c r="K393" s="128"/>
      <c r="L393" s="128"/>
      <c r="M393" s="128"/>
      <c r="N393" s="128"/>
      <c r="O393" s="128"/>
      <c r="P393" s="128"/>
      <c r="Q393" s="128"/>
      <c r="R393" s="128"/>
      <c r="S393" s="128"/>
      <c r="T393" s="128"/>
      <c r="U393" s="128"/>
      <c r="V393" s="128"/>
      <c r="W393" s="128"/>
      <c r="X393" s="128"/>
    </row>
    <row r="394" spans="1:24" ht="14.25" customHeight="1">
      <c r="A394" s="128"/>
      <c r="B394" s="128"/>
      <c r="C394" s="128"/>
      <c r="D394" s="443"/>
      <c r="E394" s="446"/>
      <c r="F394" s="446"/>
      <c r="G394" s="446"/>
      <c r="H394" s="443"/>
      <c r="I394" s="443"/>
      <c r="J394" s="128"/>
      <c r="K394" s="128"/>
      <c r="L394" s="128"/>
      <c r="M394" s="128"/>
      <c r="N394" s="128"/>
      <c r="O394" s="128"/>
      <c r="P394" s="128"/>
      <c r="Q394" s="128"/>
      <c r="R394" s="128"/>
      <c r="S394" s="128"/>
      <c r="T394" s="128"/>
      <c r="U394" s="128"/>
      <c r="V394" s="128"/>
      <c r="W394" s="128"/>
      <c r="X394" s="128"/>
    </row>
    <row r="395" spans="1:24" ht="14.25" customHeight="1">
      <c r="A395" s="128"/>
      <c r="B395" s="128"/>
      <c r="C395" s="128"/>
      <c r="D395" s="443"/>
      <c r="E395" s="446"/>
      <c r="F395" s="446"/>
      <c r="G395" s="446"/>
      <c r="H395" s="443"/>
      <c r="I395" s="443"/>
      <c r="J395" s="128"/>
      <c r="K395" s="128"/>
      <c r="L395" s="128"/>
      <c r="M395" s="128"/>
      <c r="N395" s="128"/>
      <c r="O395" s="128"/>
      <c r="P395" s="128"/>
      <c r="Q395" s="128"/>
      <c r="R395" s="128"/>
      <c r="S395" s="128"/>
      <c r="T395" s="128"/>
      <c r="U395" s="128"/>
      <c r="V395" s="128"/>
      <c r="W395" s="128"/>
      <c r="X395" s="128"/>
    </row>
    <row r="396" spans="1:24" ht="14.25" customHeight="1">
      <c r="A396" s="128"/>
      <c r="B396" s="128"/>
      <c r="C396" s="128"/>
      <c r="D396" s="443"/>
      <c r="E396" s="446"/>
      <c r="F396" s="446"/>
      <c r="G396" s="446"/>
      <c r="H396" s="443"/>
      <c r="I396" s="443"/>
      <c r="J396" s="128"/>
      <c r="K396" s="128"/>
      <c r="L396" s="128"/>
      <c r="M396" s="128"/>
      <c r="N396" s="128"/>
      <c r="O396" s="128"/>
      <c r="P396" s="128"/>
      <c r="Q396" s="128"/>
      <c r="R396" s="128"/>
      <c r="S396" s="128"/>
      <c r="T396" s="128"/>
      <c r="U396" s="128"/>
      <c r="V396" s="128"/>
      <c r="W396" s="128"/>
      <c r="X396" s="128"/>
    </row>
    <row r="397" spans="1:24" ht="14.25" customHeight="1">
      <c r="A397" s="128"/>
      <c r="B397" s="128"/>
      <c r="C397" s="128"/>
      <c r="D397" s="443"/>
      <c r="E397" s="446"/>
      <c r="F397" s="446"/>
      <c r="G397" s="446"/>
      <c r="H397" s="443"/>
      <c r="I397" s="443"/>
      <c r="J397" s="128"/>
      <c r="K397" s="128"/>
      <c r="L397" s="128"/>
      <c r="M397" s="128"/>
      <c r="N397" s="128"/>
      <c r="O397" s="128"/>
      <c r="P397" s="128"/>
      <c r="Q397" s="128"/>
      <c r="R397" s="128"/>
      <c r="S397" s="128"/>
      <c r="T397" s="128"/>
      <c r="U397" s="128"/>
      <c r="V397" s="128"/>
      <c r="W397" s="128"/>
      <c r="X397" s="128"/>
    </row>
    <row r="398" spans="1:24" ht="14.25" customHeight="1">
      <c r="A398" s="128"/>
      <c r="B398" s="128"/>
      <c r="C398" s="128"/>
      <c r="D398" s="443"/>
      <c r="E398" s="446"/>
      <c r="F398" s="446"/>
      <c r="G398" s="446"/>
      <c r="H398" s="443"/>
      <c r="I398" s="443"/>
      <c r="J398" s="128"/>
      <c r="K398" s="128"/>
      <c r="L398" s="128"/>
      <c r="M398" s="128"/>
      <c r="N398" s="128"/>
      <c r="O398" s="128"/>
      <c r="P398" s="128"/>
      <c r="Q398" s="128"/>
      <c r="R398" s="128"/>
      <c r="S398" s="128"/>
      <c r="T398" s="128"/>
      <c r="U398" s="128"/>
      <c r="V398" s="128"/>
      <c r="W398" s="128"/>
      <c r="X398" s="128"/>
    </row>
    <row r="399" spans="1:24" ht="14.25" customHeight="1">
      <c r="A399" s="128"/>
      <c r="B399" s="128"/>
      <c r="C399" s="128"/>
      <c r="D399" s="443"/>
      <c r="E399" s="446"/>
      <c r="F399" s="446"/>
      <c r="G399" s="446"/>
      <c r="H399" s="443"/>
      <c r="I399" s="443"/>
      <c r="J399" s="128"/>
      <c r="K399" s="128"/>
      <c r="L399" s="128"/>
      <c r="M399" s="128"/>
      <c r="N399" s="128"/>
      <c r="O399" s="128"/>
      <c r="P399" s="128"/>
      <c r="Q399" s="128"/>
      <c r="R399" s="128"/>
      <c r="S399" s="128"/>
      <c r="T399" s="128"/>
      <c r="U399" s="128"/>
      <c r="V399" s="128"/>
      <c r="W399" s="128"/>
      <c r="X399" s="128"/>
    </row>
    <row r="400" spans="1:24" ht="14.25" customHeight="1">
      <c r="A400" s="128"/>
      <c r="B400" s="128"/>
      <c r="C400" s="128"/>
      <c r="D400" s="443"/>
      <c r="E400" s="446"/>
      <c r="F400" s="446"/>
      <c r="G400" s="446"/>
      <c r="H400" s="443"/>
      <c r="I400" s="443"/>
      <c r="J400" s="128"/>
      <c r="K400" s="128"/>
      <c r="L400" s="128"/>
      <c r="M400" s="128"/>
      <c r="N400" s="128"/>
      <c r="O400" s="128"/>
      <c r="P400" s="128"/>
      <c r="Q400" s="128"/>
      <c r="R400" s="128"/>
      <c r="S400" s="128"/>
      <c r="T400" s="128"/>
      <c r="U400" s="128"/>
      <c r="V400" s="128"/>
      <c r="W400" s="128"/>
      <c r="X400" s="128"/>
    </row>
    <row r="401" spans="1:24" ht="14.25" customHeight="1">
      <c r="A401" s="128"/>
      <c r="B401" s="128"/>
      <c r="C401" s="128"/>
      <c r="D401" s="443"/>
      <c r="E401" s="446"/>
      <c r="F401" s="446"/>
      <c r="G401" s="446"/>
      <c r="H401" s="443"/>
      <c r="I401" s="443"/>
      <c r="J401" s="128"/>
      <c r="K401" s="128"/>
      <c r="L401" s="128"/>
      <c r="M401" s="128"/>
      <c r="N401" s="128"/>
      <c r="O401" s="128"/>
      <c r="P401" s="128"/>
      <c r="Q401" s="128"/>
      <c r="R401" s="128"/>
      <c r="S401" s="128"/>
      <c r="T401" s="128"/>
      <c r="U401" s="128"/>
      <c r="V401" s="128"/>
      <c r="W401" s="128"/>
      <c r="X401" s="128"/>
    </row>
    <row r="402" spans="1:24" ht="14.25" customHeight="1">
      <c r="A402" s="128"/>
      <c r="B402" s="128"/>
      <c r="C402" s="128"/>
      <c r="D402" s="443"/>
      <c r="E402" s="446"/>
      <c r="F402" s="446"/>
      <c r="G402" s="446"/>
      <c r="H402" s="443"/>
      <c r="I402" s="443"/>
      <c r="J402" s="128"/>
      <c r="K402" s="128"/>
      <c r="L402" s="128"/>
      <c r="M402" s="128"/>
      <c r="N402" s="128"/>
      <c r="O402" s="128"/>
      <c r="P402" s="128"/>
      <c r="Q402" s="128"/>
      <c r="R402" s="128"/>
      <c r="S402" s="128"/>
      <c r="T402" s="128"/>
      <c r="U402" s="128"/>
      <c r="V402" s="128"/>
      <c r="W402" s="128"/>
      <c r="X402" s="128"/>
    </row>
    <row r="403" spans="1:24" ht="14.25" customHeight="1">
      <c r="A403" s="128"/>
      <c r="B403" s="128"/>
      <c r="C403" s="128"/>
      <c r="D403" s="443"/>
      <c r="E403" s="446"/>
      <c r="F403" s="446"/>
      <c r="G403" s="446"/>
      <c r="H403" s="443"/>
      <c r="I403" s="443"/>
      <c r="J403" s="128"/>
      <c r="K403" s="128"/>
      <c r="L403" s="128"/>
      <c r="M403" s="128"/>
      <c r="N403" s="128"/>
      <c r="O403" s="128"/>
      <c r="P403" s="128"/>
      <c r="Q403" s="128"/>
      <c r="R403" s="128"/>
      <c r="S403" s="128"/>
      <c r="T403" s="128"/>
      <c r="U403" s="128"/>
      <c r="V403" s="128"/>
      <c r="W403" s="128"/>
      <c r="X403" s="128"/>
    </row>
    <row r="404" spans="1:24" ht="14.25" customHeight="1">
      <c r="A404" s="128"/>
      <c r="B404" s="128"/>
      <c r="C404" s="128"/>
      <c r="D404" s="443"/>
      <c r="E404" s="446"/>
      <c r="F404" s="446"/>
      <c r="G404" s="446"/>
      <c r="H404" s="443"/>
      <c r="I404" s="443"/>
      <c r="J404" s="128"/>
      <c r="K404" s="128"/>
      <c r="L404" s="128"/>
      <c r="M404" s="128"/>
      <c r="N404" s="128"/>
      <c r="O404" s="128"/>
      <c r="P404" s="128"/>
      <c r="Q404" s="128"/>
      <c r="R404" s="128"/>
      <c r="S404" s="128"/>
      <c r="T404" s="128"/>
      <c r="U404" s="128"/>
      <c r="V404" s="128"/>
      <c r="W404" s="128"/>
      <c r="X404" s="128"/>
    </row>
    <row r="405" spans="1:24" ht="14.25" customHeight="1">
      <c r="A405" s="128"/>
      <c r="B405" s="128"/>
      <c r="C405" s="128"/>
      <c r="D405" s="443"/>
      <c r="E405" s="446"/>
      <c r="F405" s="446"/>
      <c r="G405" s="446"/>
      <c r="H405" s="443"/>
      <c r="I405" s="443"/>
      <c r="J405" s="128"/>
      <c r="K405" s="128"/>
      <c r="L405" s="128"/>
      <c r="M405" s="128"/>
      <c r="N405" s="128"/>
      <c r="O405" s="128"/>
      <c r="P405" s="128"/>
      <c r="Q405" s="128"/>
      <c r="R405" s="128"/>
      <c r="S405" s="128"/>
      <c r="T405" s="128"/>
      <c r="U405" s="128"/>
      <c r="V405" s="128"/>
      <c r="W405" s="128"/>
      <c r="X405" s="128"/>
    </row>
    <row r="406" spans="1:24" ht="14.25" customHeight="1">
      <c r="A406" s="128"/>
      <c r="B406" s="128"/>
      <c r="C406" s="128"/>
      <c r="D406" s="443"/>
      <c r="E406" s="446"/>
      <c r="F406" s="446"/>
      <c r="G406" s="446"/>
      <c r="H406" s="443"/>
      <c r="I406" s="443"/>
      <c r="J406" s="128"/>
      <c r="K406" s="128"/>
      <c r="L406" s="128"/>
      <c r="M406" s="128"/>
      <c r="N406" s="128"/>
      <c r="O406" s="128"/>
      <c r="P406" s="128"/>
      <c r="Q406" s="128"/>
      <c r="R406" s="128"/>
      <c r="S406" s="128"/>
      <c r="T406" s="128"/>
      <c r="U406" s="128"/>
      <c r="V406" s="128"/>
      <c r="W406" s="128"/>
      <c r="X406" s="128"/>
    </row>
    <row r="407" spans="1:24" ht="14.25" customHeight="1">
      <c r="A407" s="128"/>
      <c r="B407" s="128"/>
      <c r="C407" s="128"/>
      <c r="D407" s="443"/>
      <c r="E407" s="446"/>
      <c r="F407" s="446"/>
      <c r="G407" s="446"/>
      <c r="H407" s="443"/>
      <c r="I407" s="443"/>
      <c r="J407" s="128"/>
      <c r="K407" s="128"/>
      <c r="L407" s="128"/>
      <c r="M407" s="128"/>
      <c r="N407" s="128"/>
      <c r="O407" s="128"/>
      <c r="P407" s="128"/>
      <c r="Q407" s="128"/>
      <c r="R407" s="128"/>
      <c r="S407" s="128"/>
      <c r="T407" s="128"/>
      <c r="U407" s="128"/>
      <c r="V407" s="128"/>
      <c r="W407" s="128"/>
      <c r="X407" s="128"/>
    </row>
    <row r="408" spans="1:24" ht="14.25" customHeight="1">
      <c r="A408" s="128"/>
      <c r="B408" s="128"/>
      <c r="C408" s="128"/>
      <c r="D408" s="443"/>
      <c r="E408" s="446"/>
      <c r="F408" s="446"/>
      <c r="G408" s="446"/>
      <c r="H408" s="443"/>
      <c r="I408" s="443"/>
      <c r="J408" s="128"/>
      <c r="K408" s="128"/>
      <c r="L408" s="128"/>
      <c r="M408" s="128"/>
      <c r="N408" s="128"/>
      <c r="O408" s="128"/>
      <c r="P408" s="128"/>
      <c r="Q408" s="128"/>
      <c r="R408" s="128"/>
      <c r="S408" s="128"/>
      <c r="T408" s="128"/>
      <c r="U408" s="128"/>
      <c r="V408" s="128"/>
      <c r="W408" s="128"/>
      <c r="X408" s="128"/>
    </row>
    <row r="409" spans="1:24" ht="14.25" customHeight="1">
      <c r="A409" s="128"/>
      <c r="B409" s="128"/>
      <c r="C409" s="128"/>
      <c r="D409" s="443"/>
      <c r="E409" s="446"/>
      <c r="F409" s="446"/>
      <c r="G409" s="446"/>
      <c r="H409" s="443"/>
      <c r="I409" s="443"/>
      <c r="J409" s="128"/>
      <c r="K409" s="128"/>
      <c r="L409" s="128"/>
      <c r="M409" s="128"/>
      <c r="N409" s="128"/>
      <c r="O409" s="128"/>
      <c r="P409" s="128"/>
      <c r="Q409" s="128"/>
      <c r="R409" s="128"/>
      <c r="S409" s="128"/>
      <c r="T409" s="128"/>
      <c r="U409" s="128"/>
      <c r="V409" s="128"/>
      <c r="W409" s="128"/>
      <c r="X409" s="128"/>
    </row>
    <row r="410" spans="1:24" ht="14.25" customHeight="1">
      <c r="A410" s="128"/>
      <c r="B410" s="128"/>
      <c r="C410" s="128"/>
      <c r="D410" s="443"/>
      <c r="E410" s="446"/>
      <c r="F410" s="446"/>
      <c r="G410" s="446"/>
      <c r="H410" s="443"/>
      <c r="I410" s="443"/>
      <c r="J410" s="128"/>
      <c r="K410" s="128"/>
      <c r="L410" s="128"/>
      <c r="M410" s="128"/>
      <c r="N410" s="128"/>
      <c r="O410" s="128"/>
      <c r="P410" s="128"/>
      <c r="Q410" s="128"/>
      <c r="R410" s="128"/>
      <c r="S410" s="128"/>
      <c r="T410" s="128"/>
      <c r="U410" s="128"/>
      <c r="V410" s="128"/>
      <c r="W410" s="128"/>
      <c r="X410" s="128"/>
    </row>
    <row r="411" spans="1:24" ht="14.25" customHeight="1">
      <c r="A411" s="128"/>
      <c r="B411" s="128"/>
      <c r="C411" s="128"/>
      <c r="D411" s="443"/>
      <c r="E411" s="446"/>
      <c r="F411" s="446"/>
      <c r="G411" s="446"/>
      <c r="H411" s="443"/>
      <c r="I411" s="443"/>
      <c r="J411" s="128"/>
      <c r="K411" s="128"/>
      <c r="L411" s="128"/>
      <c r="M411" s="128"/>
      <c r="N411" s="128"/>
      <c r="O411" s="128"/>
      <c r="P411" s="128"/>
      <c r="Q411" s="128"/>
      <c r="R411" s="128"/>
      <c r="S411" s="128"/>
      <c r="T411" s="128"/>
      <c r="U411" s="128"/>
      <c r="V411" s="128"/>
      <c r="W411" s="128"/>
      <c r="X411" s="128"/>
    </row>
    <row r="412" spans="1:24" ht="14.25" customHeight="1">
      <c r="A412" s="128"/>
      <c r="B412" s="128"/>
      <c r="C412" s="128"/>
      <c r="D412" s="443"/>
      <c r="E412" s="446"/>
      <c r="F412" s="446"/>
      <c r="G412" s="446"/>
      <c r="H412" s="443"/>
      <c r="I412" s="443"/>
      <c r="J412" s="128"/>
      <c r="K412" s="128"/>
      <c r="L412" s="128"/>
      <c r="M412" s="128"/>
      <c r="N412" s="128"/>
      <c r="O412" s="128"/>
      <c r="P412" s="128"/>
      <c r="Q412" s="128"/>
      <c r="R412" s="128"/>
      <c r="S412" s="128"/>
      <c r="T412" s="128"/>
      <c r="U412" s="128"/>
      <c r="V412" s="128"/>
      <c r="W412" s="128"/>
      <c r="X412" s="128"/>
    </row>
    <row r="413" spans="1:24" ht="14.25" customHeight="1">
      <c r="A413" s="128"/>
      <c r="B413" s="128"/>
      <c r="C413" s="128"/>
      <c r="D413" s="443"/>
      <c r="E413" s="446"/>
      <c r="F413" s="446"/>
      <c r="G413" s="446"/>
      <c r="H413" s="443"/>
      <c r="I413" s="443"/>
      <c r="J413" s="128"/>
      <c r="K413" s="128"/>
      <c r="L413" s="128"/>
      <c r="M413" s="128"/>
      <c r="N413" s="128"/>
      <c r="O413" s="128"/>
      <c r="P413" s="128"/>
      <c r="Q413" s="128"/>
      <c r="R413" s="128"/>
      <c r="S413" s="128"/>
      <c r="T413" s="128"/>
      <c r="U413" s="128"/>
      <c r="V413" s="128"/>
      <c r="W413" s="128"/>
      <c r="X413" s="128"/>
    </row>
    <row r="414" spans="1:24" ht="14.25" customHeight="1">
      <c r="A414" s="128"/>
      <c r="B414" s="128"/>
      <c r="C414" s="128"/>
      <c r="D414" s="443"/>
      <c r="E414" s="446"/>
      <c r="F414" s="446"/>
      <c r="G414" s="446"/>
      <c r="H414" s="443"/>
      <c r="I414" s="443"/>
      <c r="J414" s="128"/>
      <c r="K414" s="128"/>
      <c r="L414" s="128"/>
      <c r="M414" s="128"/>
      <c r="N414" s="128"/>
      <c r="O414" s="128"/>
      <c r="P414" s="128"/>
      <c r="Q414" s="128"/>
      <c r="R414" s="128"/>
      <c r="S414" s="128"/>
      <c r="T414" s="128"/>
      <c r="U414" s="128"/>
      <c r="V414" s="128"/>
      <c r="W414" s="128"/>
      <c r="X414" s="128"/>
    </row>
    <row r="415" spans="1:24" ht="14.25" customHeight="1">
      <c r="A415" s="128"/>
      <c r="B415" s="128"/>
      <c r="C415" s="128"/>
      <c r="D415" s="443"/>
      <c r="E415" s="446"/>
      <c r="F415" s="446"/>
      <c r="G415" s="446"/>
      <c r="H415" s="443"/>
      <c r="I415" s="443"/>
      <c r="J415" s="128"/>
      <c r="K415" s="128"/>
      <c r="L415" s="128"/>
      <c r="M415" s="128"/>
      <c r="N415" s="128"/>
      <c r="O415" s="128"/>
      <c r="P415" s="128"/>
      <c r="Q415" s="128"/>
      <c r="R415" s="128"/>
      <c r="S415" s="128"/>
      <c r="T415" s="128"/>
      <c r="U415" s="128"/>
      <c r="V415" s="128"/>
      <c r="W415" s="128"/>
      <c r="X415" s="128"/>
    </row>
    <row r="416" spans="1:24" ht="14.25" customHeight="1">
      <c r="A416" s="128"/>
      <c r="B416" s="128"/>
      <c r="C416" s="128"/>
      <c r="D416" s="443"/>
      <c r="E416" s="446"/>
      <c r="F416" s="446"/>
      <c r="G416" s="446"/>
      <c r="H416" s="443"/>
      <c r="I416" s="443"/>
      <c r="J416" s="128"/>
      <c r="K416" s="128"/>
      <c r="L416" s="128"/>
      <c r="M416" s="128"/>
      <c r="N416" s="128"/>
      <c r="O416" s="128"/>
      <c r="P416" s="128"/>
      <c r="Q416" s="128"/>
      <c r="R416" s="128"/>
      <c r="S416" s="128"/>
      <c r="T416" s="128"/>
      <c r="U416" s="128"/>
      <c r="V416" s="128"/>
      <c r="W416" s="128"/>
      <c r="X416" s="128"/>
    </row>
    <row r="417" spans="1:24" ht="14.25" customHeight="1">
      <c r="A417" s="128"/>
      <c r="B417" s="128"/>
      <c r="C417" s="128"/>
      <c r="D417" s="443"/>
      <c r="E417" s="446"/>
      <c r="F417" s="446"/>
      <c r="G417" s="446"/>
      <c r="H417" s="443"/>
      <c r="I417" s="443"/>
      <c r="J417" s="128"/>
      <c r="K417" s="128"/>
      <c r="L417" s="128"/>
      <c r="M417" s="128"/>
      <c r="N417" s="128"/>
      <c r="O417" s="128"/>
      <c r="P417" s="128"/>
      <c r="Q417" s="128"/>
      <c r="R417" s="128"/>
      <c r="S417" s="128"/>
      <c r="T417" s="128"/>
      <c r="U417" s="128"/>
      <c r="V417" s="128"/>
      <c r="W417" s="128"/>
      <c r="X417" s="128"/>
    </row>
    <row r="418" spans="1:24" ht="14.25" customHeight="1">
      <c r="A418" s="128"/>
      <c r="B418" s="128"/>
      <c r="C418" s="128"/>
      <c r="D418" s="443"/>
      <c r="E418" s="446"/>
      <c r="F418" s="446"/>
      <c r="G418" s="446"/>
      <c r="H418" s="443"/>
      <c r="I418" s="443"/>
      <c r="J418" s="128"/>
      <c r="K418" s="128"/>
      <c r="L418" s="128"/>
      <c r="M418" s="128"/>
      <c r="N418" s="128"/>
      <c r="O418" s="128"/>
      <c r="P418" s="128"/>
      <c r="Q418" s="128"/>
      <c r="R418" s="128"/>
      <c r="S418" s="128"/>
      <c r="T418" s="128"/>
      <c r="U418" s="128"/>
      <c r="V418" s="128"/>
      <c r="W418" s="128"/>
      <c r="X418" s="128"/>
    </row>
    <row r="419" spans="1:24" ht="14.25" customHeight="1">
      <c r="A419" s="128"/>
      <c r="B419" s="128"/>
      <c r="C419" s="128"/>
      <c r="D419" s="443"/>
      <c r="E419" s="446"/>
      <c r="F419" s="446"/>
      <c r="G419" s="446"/>
      <c r="H419" s="443"/>
      <c r="I419" s="443"/>
      <c r="J419" s="128"/>
      <c r="K419" s="128"/>
      <c r="L419" s="128"/>
      <c r="M419" s="128"/>
      <c r="N419" s="128"/>
      <c r="O419" s="128"/>
      <c r="P419" s="128"/>
      <c r="Q419" s="128"/>
      <c r="R419" s="128"/>
      <c r="S419" s="128"/>
      <c r="T419" s="128"/>
      <c r="U419" s="128"/>
      <c r="V419" s="128"/>
      <c r="W419" s="128"/>
      <c r="X419" s="128"/>
    </row>
    <row r="420" spans="1:24" ht="14.25" customHeight="1">
      <c r="A420" s="128"/>
      <c r="B420" s="128"/>
      <c r="C420" s="128"/>
      <c r="D420" s="443"/>
      <c r="E420" s="446"/>
      <c r="F420" s="446"/>
      <c r="G420" s="446"/>
      <c r="H420" s="443"/>
      <c r="I420" s="443"/>
      <c r="J420" s="128"/>
      <c r="K420" s="128"/>
      <c r="L420" s="128"/>
      <c r="M420" s="128"/>
      <c r="N420" s="128"/>
      <c r="O420" s="128"/>
      <c r="P420" s="128"/>
      <c r="Q420" s="128"/>
      <c r="R420" s="128"/>
      <c r="S420" s="128"/>
      <c r="T420" s="128"/>
      <c r="U420" s="128"/>
      <c r="V420" s="128"/>
      <c r="W420" s="128"/>
      <c r="X420" s="128"/>
    </row>
    <row r="421" spans="1:24" ht="14.25" customHeight="1">
      <c r="A421" s="128"/>
      <c r="B421" s="128"/>
      <c r="C421" s="128"/>
      <c r="D421" s="443"/>
      <c r="E421" s="446"/>
      <c r="F421" s="446"/>
      <c r="G421" s="446"/>
      <c r="H421" s="443"/>
      <c r="I421" s="443"/>
      <c r="J421" s="128"/>
      <c r="K421" s="128"/>
      <c r="L421" s="128"/>
      <c r="M421" s="128"/>
      <c r="N421" s="128"/>
      <c r="O421" s="128"/>
      <c r="P421" s="128"/>
      <c r="Q421" s="128"/>
      <c r="R421" s="128"/>
      <c r="S421" s="128"/>
      <c r="T421" s="128"/>
      <c r="U421" s="128"/>
      <c r="V421" s="128"/>
      <c r="W421" s="128"/>
      <c r="X421" s="128"/>
    </row>
    <row r="422" spans="1:24" ht="14.25" customHeight="1">
      <c r="A422" s="128"/>
      <c r="B422" s="128"/>
      <c r="C422" s="128"/>
      <c r="D422" s="443"/>
      <c r="E422" s="446"/>
      <c r="F422" s="446"/>
      <c r="G422" s="446"/>
      <c r="H422" s="443"/>
      <c r="I422" s="443"/>
      <c r="J422" s="128"/>
      <c r="K422" s="128"/>
      <c r="L422" s="128"/>
      <c r="M422" s="128"/>
      <c r="N422" s="128"/>
      <c r="O422" s="128"/>
      <c r="P422" s="128"/>
      <c r="Q422" s="128"/>
      <c r="R422" s="128"/>
      <c r="S422" s="128"/>
      <c r="T422" s="128"/>
      <c r="U422" s="128"/>
      <c r="V422" s="128"/>
      <c r="W422" s="128"/>
      <c r="X422" s="128"/>
    </row>
    <row r="423" spans="1:24" ht="14.25" customHeight="1">
      <c r="A423" s="128"/>
      <c r="B423" s="128"/>
      <c r="C423" s="128"/>
      <c r="D423" s="443"/>
      <c r="E423" s="446"/>
      <c r="F423" s="446"/>
      <c r="G423" s="446"/>
      <c r="H423" s="443"/>
      <c r="I423" s="443"/>
      <c r="J423" s="128"/>
      <c r="K423" s="128"/>
      <c r="L423" s="128"/>
      <c r="M423" s="128"/>
      <c r="N423" s="128"/>
      <c r="O423" s="128"/>
      <c r="P423" s="128"/>
      <c r="Q423" s="128"/>
      <c r="R423" s="128"/>
      <c r="S423" s="128"/>
      <c r="T423" s="128"/>
      <c r="U423" s="128"/>
      <c r="V423" s="128"/>
      <c r="W423" s="128"/>
      <c r="X423" s="128"/>
    </row>
    <row r="424" spans="1:24" ht="14.25" customHeight="1">
      <c r="A424" s="128"/>
      <c r="B424" s="128"/>
      <c r="C424" s="128"/>
      <c r="D424" s="443"/>
      <c r="E424" s="446"/>
      <c r="F424" s="446"/>
      <c r="G424" s="446"/>
      <c r="H424" s="443"/>
      <c r="I424" s="443"/>
      <c r="J424" s="128"/>
      <c r="K424" s="128"/>
      <c r="L424" s="128"/>
      <c r="M424" s="128"/>
      <c r="N424" s="128"/>
      <c r="O424" s="128"/>
      <c r="P424" s="128"/>
      <c r="Q424" s="128"/>
      <c r="R424" s="128"/>
      <c r="S424" s="128"/>
      <c r="T424" s="128"/>
      <c r="U424" s="128"/>
      <c r="V424" s="128"/>
      <c r="W424" s="128"/>
      <c r="X424" s="128"/>
    </row>
    <row r="425" spans="1:24" ht="14.25" customHeight="1">
      <c r="A425" s="128"/>
      <c r="B425" s="128"/>
      <c r="C425" s="128"/>
      <c r="D425" s="443"/>
      <c r="E425" s="446"/>
      <c r="F425" s="446"/>
      <c r="G425" s="446"/>
      <c r="H425" s="443"/>
      <c r="I425" s="443"/>
      <c r="J425" s="128"/>
      <c r="K425" s="128"/>
      <c r="L425" s="128"/>
      <c r="M425" s="128"/>
      <c r="N425" s="128"/>
      <c r="O425" s="128"/>
      <c r="P425" s="128"/>
      <c r="Q425" s="128"/>
      <c r="R425" s="128"/>
      <c r="S425" s="128"/>
      <c r="T425" s="128"/>
      <c r="U425" s="128"/>
      <c r="V425" s="128"/>
      <c r="W425" s="128"/>
      <c r="X425" s="128"/>
    </row>
    <row r="426" spans="1:24" ht="14.25" customHeight="1">
      <c r="A426" s="128"/>
      <c r="B426" s="128"/>
      <c r="C426" s="128"/>
      <c r="D426" s="443"/>
      <c r="E426" s="446"/>
      <c r="F426" s="446"/>
      <c r="G426" s="446"/>
      <c r="H426" s="443"/>
      <c r="I426" s="443"/>
      <c r="J426" s="128"/>
      <c r="K426" s="128"/>
      <c r="L426" s="128"/>
      <c r="M426" s="128"/>
      <c r="N426" s="128"/>
      <c r="O426" s="128"/>
      <c r="P426" s="128"/>
      <c r="Q426" s="128"/>
      <c r="R426" s="128"/>
      <c r="S426" s="128"/>
      <c r="T426" s="128"/>
      <c r="U426" s="128"/>
      <c r="V426" s="128"/>
      <c r="W426" s="128"/>
      <c r="X426" s="128"/>
    </row>
    <row r="427" spans="1:24" ht="14.25" customHeight="1">
      <c r="A427" s="128"/>
      <c r="B427" s="128"/>
      <c r="C427" s="128"/>
      <c r="D427" s="443"/>
      <c r="E427" s="446"/>
      <c r="F427" s="446"/>
      <c r="G427" s="446"/>
      <c r="H427" s="443"/>
      <c r="I427" s="443"/>
      <c r="J427" s="128"/>
      <c r="K427" s="128"/>
      <c r="L427" s="128"/>
      <c r="M427" s="128"/>
      <c r="N427" s="128"/>
      <c r="O427" s="128"/>
      <c r="P427" s="128"/>
      <c r="Q427" s="128"/>
      <c r="R427" s="128"/>
      <c r="S427" s="128"/>
      <c r="T427" s="128"/>
      <c r="U427" s="128"/>
      <c r="V427" s="128"/>
      <c r="W427" s="128"/>
      <c r="X427" s="128"/>
    </row>
    <row r="428" spans="1:24" ht="14.25" customHeight="1">
      <c r="A428" s="128"/>
      <c r="B428" s="128"/>
      <c r="C428" s="128"/>
      <c r="D428" s="443"/>
      <c r="E428" s="446"/>
      <c r="F428" s="446"/>
      <c r="G428" s="446"/>
      <c r="H428" s="443"/>
      <c r="I428" s="443"/>
      <c r="J428" s="128"/>
      <c r="K428" s="128"/>
      <c r="L428" s="128"/>
      <c r="M428" s="128"/>
      <c r="N428" s="128"/>
      <c r="O428" s="128"/>
      <c r="P428" s="128"/>
      <c r="Q428" s="128"/>
      <c r="R428" s="128"/>
      <c r="S428" s="128"/>
      <c r="T428" s="128"/>
      <c r="U428" s="128"/>
      <c r="V428" s="128"/>
      <c r="W428" s="128"/>
      <c r="X428" s="128"/>
    </row>
    <row r="429" spans="1:24" ht="14.25" customHeight="1">
      <c r="A429" s="128"/>
      <c r="B429" s="128"/>
      <c r="C429" s="128"/>
      <c r="D429" s="443"/>
      <c r="E429" s="446"/>
      <c r="F429" s="446"/>
      <c r="G429" s="446"/>
      <c r="H429" s="443"/>
      <c r="I429" s="443"/>
      <c r="J429" s="128"/>
      <c r="K429" s="128"/>
      <c r="L429" s="128"/>
      <c r="M429" s="128"/>
      <c r="N429" s="128"/>
      <c r="O429" s="128"/>
      <c r="P429" s="128"/>
      <c r="Q429" s="128"/>
      <c r="R429" s="128"/>
      <c r="S429" s="128"/>
      <c r="T429" s="128"/>
      <c r="U429" s="128"/>
      <c r="V429" s="128"/>
      <c r="W429" s="128"/>
      <c r="X429" s="128"/>
    </row>
    <row r="430" spans="1:24" ht="14.25" customHeight="1">
      <c r="A430" s="128"/>
      <c r="B430" s="128"/>
      <c r="C430" s="128"/>
      <c r="D430" s="443"/>
      <c r="E430" s="446"/>
      <c r="F430" s="446"/>
      <c r="G430" s="446"/>
      <c r="H430" s="443"/>
      <c r="I430" s="443"/>
      <c r="J430" s="128"/>
      <c r="K430" s="128"/>
      <c r="L430" s="128"/>
      <c r="M430" s="128"/>
      <c r="N430" s="128"/>
      <c r="O430" s="128"/>
      <c r="P430" s="128"/>
      <c r="Q430" s="128"/>
      <c r="R430" s="128"/>
      <c r="S430" s="128"/>
      <c r="T430" s="128"/>
      <c r="U430" s="128"/>
      <c r="V430" s="128"/>
      <c r="W430" s="128"/>
      <c r="X430" s="128"/>
    </row>
    <row r="431" spans="1:24" ht="14.25" customHeight="1">
      <c r="A431" s="128"/>
      <c r="B431" s="128"/>
      <c r="C431" s="128"/>
      <c r="D431" s="443"/>
      <c r="E431" s="446"/>
      <c r="F431" s="446"/>
      <c r="G431" s="446"/>
      <c r="H431" s="443"/>
      <c r="I431" s="443"/>
      <c r="J431" s="128"/>
      <c r="K431" s="128"/>
      <c r="L431" s="128"/>
      <c r="M431" s="128"/>
      <c r="N431" s="128"/>
      <c r="O431" s="128"/>
      <c r="P431" s="128"/>
      <c r="Q431" s="128"/>
      <c r="R431" s="128"/>
      <c r="S431" s="128"/>
      <c r="T431" s="128"/>
      <c r="U431" s="128"/>
      <c r="V431" s="128"/>
      <c r="W431" s="128"/>
      <c r="X431" s="128"/>
    </row>
    <row r="432" spans="1:24" ht="14.25" customHeight="1">
      <c r="A432" s="128"/>
      <c r="B432" s="128"/>
      <c r="C432" s="128"/>
      <c r="D432" s="443"/>
      <c r="E432" s="446"/>
      <c r="F432" s="446"/>
      <c r="G432" s="446"/>
      <c r="H432" s="443"/>
      <c r="I432" s="443"/>
      <c r="J432" s="128"/>
      <c r="K432" s="128"/>
      <c r="L432" s="128"/>
      <c r="M432" s="128"/>
      <c r="N432" s="128"/>
      <c r="O432" s="128"/>
      <c r="P432" s="128"/>
      <c r="Q432" s="128"/>
      <c r="R432" s="128"/>
      <c r="S432" s="128"/>
      <c r="T432" s="128"/>
      <c r="U432" s="128"/>
      <c r="V432" s="128"/>
      <c r="W432" s="128"/>
      <c r="X432" s="128"/>
    </row>
    <row r="433" spans="1:24" ht="14.25" customHeight="1">
      <c r="A433" s="128"/>
      <c r="B433" s="128"/>
      <c r="C433" s="128"/>
      <c r="D433" s="443"/>
      <c r="E433" s="446"/>
      <c r="F433" s="446"/>
      <c r="G433" s="446"/>
      <c r="H433" s="443"/>
      <c r="I433" s="443"/>
      <c r="J433" s="128"/>
      <c r="K433" s="128"/>
      <c r="L433" s="128"/>
      <c r="M433" s="128"/>
      <c r="N433" s="128"/>
      <c r="O433" s="128"/>
      <c r="P433" s="128"/>
      <c r="Q433" s="128"/>
      <c r="R433" s="128"/>
      <c r="S433" s="128"/>
      <c r="T433" s="128"/>
      <c r="U433" s="128"/>
      <c r="V433" s="128"/>
      <c r="W433" s="128"/>
      <c r="X433" s="128"/>
    </row>
    <row r="434" spans="1:24" ht="14.25" customHeight="1">
      <c r="A434" s="128"/>
      <c r="B434" s="128"/>
      <c r="C434" s="128"/>
      <c r="D434" s="443"/>
      <c r="E434" s="446"/>
      <c r="F434" s="446"/>
      <c r="G434" s="446"/>
      <c r="H434" s="443"/>
      <c r="I434" s="443"/>
      <c r="J434" s="128"/>
      <c r="K434" s="128"/>
      <c r="L434" s="128"/>
      <c r="M434" s="128"/>
      <c r="N434" s="128"/>
      <c r="O434" s="128"/>
      <c r="P434" s="128"/>
      <c r="Q434" s="128"/>
      <c r="R434" s="128"/>
      <c r="S434" s="128"/>
      <c r="T434" s="128"/>
      <c r="U434" s="128"/>
      <c r="V434" s="128"/>
      <c r="W434" s="128"/>
      <c r="X434" s="128"/>
    </row>
    <row r="435" spans="1:24" ht="14.25" customHeight="1">
      <c r="A435" s="128"/>
      <c r="B435" s="128"/>
      <c r="C435" s="128"/>
      <c r="D435" s="443"/>
      <c r="E435" s="446"/>
      <c r="F435" s="446"/>
      <c r="G435" s="446"/>
      <c r="H435" s="443"/>
      <c r="I435" s="443"/>
      <c r="J435" s="128"/>
      <c r="K435" s="128"/>
      <c r="L435" s="128"/>
      <c r="M435" s="128"/>
      <c r="N435" s="128"/>
      <c r="O435" s="128"/>
      <c r="P435" s="128"/>
      <c r="Q435" s="128"/>
      <c r="R435" s="128"/>
      <c r="S435" s="128"/>
      <c r="T435" s="128"/>
      <c r="U435" s="128"/>
      <c r="V435" s="128"/>
      <c r="W435" s="128"/>
      <c r="X435" s="128"/>
    </row>
    <row r="436" spans="1:24" ht="14.25" customHeight="1">
      <c r="A436" s="128"/>
      <c r="B436" s="128"/>
      <c r="C436" s="128"/>
      <c r="D436" s="443"/>
      <c r="E436" s="446"/>
      <c r="F436" s="446"/>
      <c r="G436" s="446"/>
      <c r="H436" s="443"/>
      <c r="I436" s="443"/>
      <c r="J436" s="128"/>
      <c r="K436" s="128"/>
      <c r="L436" s="128"/>
      <c r="M436" s="128"/>
      <c r="N436" s="128"/>
      <c r="O436" s="128"/>
      <c r="P436" s="128"/>
      <c r="Q436" s="128"/>
      <c r="R436" s="128"/>
      <c r="S436" s="128"/>
      <c r="T436" s="128"/>
      <c r="U436" s="128"/>
      <c r="V436" s="128"/>
      <c r="W436" s="128"/>
      <c r="X436" s="128"/>
    </row>
    <row r="437" spans="1:24" ht="14.25" customHeight="1">
      <c r="A437" s="128"/>
      <c r="B437" s="128"/>
      <c r="C437" s="128"/>
      <c r="D437" s="443"/>
      <c r="E437" s="446"/>
      <c r="F437" s="446"/>
      <c r="G437" s="446"/>
      <c r="H437" s="443"/>
      <c r="I437" s="443"/>
      <c r="J437" s="128"/>
      <c r="K437" s="128"/>
      <c r="L437" s="128"/>
      <c r="M437" s="128"/>
      <c r="N437" s="128"/>
      <c r="O437" s="128"/>
      <c r="P437" s="128"/>
      <c r="Q437" s="128"/>
      <c r="R437" s="128"/>
      <c r="S437" s="128"/>
      <c r="T437" s="128"/>
      <c r="U437" s="128"/>
      <c r="V437" s="128"/>
      <c r="W437" s="128"/>
      <c r="X437" s="128"/>
    </row>
    <row r="438" spans="1:24" ht="14.25" customHeight="1">
      <c r="A438" s="128"/>
      <c r="B438" s="128"/>
      <c r="C438" s="128"/>
      <c r="D438" s="443"/>
      <c r="E438" s="446"/>
      <c r="F438" s="446"/>
      <c r="G438" s="446"/>
      <c r="H438" s="443"/>
      <c r="I438" s="443"/>
      <c r="J438" s="128"/>
      <c r="K438" s="128"/>
      <c r="L438" s="128"/>
      <c r="M438" s="128"/>
      <c r="N438" s="128"/>
      <c r="O438" s="128"/>
      <c r="P438" s="128"/>
      <c r="Q438" s="128"/>
      <c r="R438" s="128"/>
      <c r="S438" s="128"/>
      <c r="T438" s="128"/>
      <c r="U438" s="128"/>
      <c r="V438" s="128"/>
      <c r="W438" s="128"/>
      <c r="X438" s="128"/>
    </row>
    <row r="439" spans="1:24" ht="14.25" customHeight="1">
      <c r="A439" s="128"/>
      <c r="B439" s="128"/>
      <c r="C439" s="128"/>
      <c r="D439" s="443"/>
      <c r="E439" s="446"/>
      <c r="F439" s="446"/>
      <c r="G439" s="446"/>
      <c r="H439" s="443"/>
      <c r="I439" s="443"/>
      <c r="J439" s="128"/>
      <c r="K439" s="128"/>
      <c r="L439" s="128"/>
      <c r="M439" s="128"/>
      <c r="N439" s="128"/>
      <c r="O439" s="128"/>
      <c r="P439" s="128"/>
      <c r="Q439" s="128"/>
      <c r="R439" s="128"/>
      <c r="S439" s="128"/>
      <c r="T439" s="128"/>
      <c r="U439" s="128"/>
      <c r="V439" s="128"/>
      <c r="W439" s="128"/>
      <c r="X439" s="128"/>
    </row>
    <row r="440" spans="1:24" ht="14.25" customHeight="1">
      <c r="A440" s="128"/>
      <c r="B440" s="128"/>
      <c r="C440" s="128"/>
      <c r="D440" s="443"/>
      <c r="E440" s="446"/>
      <c r="F440" s="446"/>
      <c r="G440" s="446"/>
      <c r="H440" s="443"/>
      <c r="I440" s="443"/>
      <c r="J440" s="128"/>
      <c r="K440" s="128"/>
      <c r="L440" s="128"/>
      <c r="M440" s="128"/>
      <c r="N440" s="128"/>
      <c r="O440" s="128"/>
      <c r="P440" s="128"/>
      <c r="Q440" s="128"/>
      <c r="R440" s="128"/>
      <c r="S440" s="128"/>
      <c r="T440" s="128"/>
      <c r="U440" s="128"/>
      <c r="V440" s="128"/>
      <c r="W440" s="128"/>
      <c r="X440" s="128"/>
    </row>
    <row r="441" spans="1:24" ht="14.25" customHeight="1">
      <c r="A441" s="128"/>
      <c r="B441" s="128"/>
      <c r="C441" s="128"/>
      <c r="D441" s="443"/>
      <c r="E441" s="446"/>
      <c r="F441" s="446"/>
      <c r="G441" s="446"/>
      <c r="H441" s="443"/>
      <c r="I441" s="443"/>
      <c r="J441" s="128"/>
      <c r="K441" s="128"/>
      <c r="L441" s="128"/>
      <c r="M441" s="128"/>
      <c r="N441" s="128"/>
      <c r="O441" s="128"/>
      <c r="P441" s="128"/>
      <c r="Q441" s="128"/>
      <c r="R441" s="128"/>
      <c r="S441" s="128"/>
      <c r="T441" s="128"/>
      <c r="U441" s="128"/>
      <c r="V441" s="128"/>
      <c r="W441" s="128"/>
      <c r="X441" s="128"/>
    </row>
    <row r="442" spans="1:24" ht="14.25" customHeight="1">
      <c r="A442" s="128"/>
      <c r="B442" s="128"/>
      <c r="C442" s="128"/>
      <c r="D442" s="443"/>
      <c r="E442" s="446"/>
      <c r="F442" s="446"/>
      <c r="G442" s="446"/>
      <c r="H442" s="443"/>
      <c r="I442" s="443"/>
      <c r="J442" s="128"/>
      <c r="K442" s="128"/>
      <c r="L442" s="128"/>
      <c r="M442" s="128"/>
      <c r="N442" s="128"/>
      <c r="O442" s="128"/>
      <c r="P442" s="128"/>
      <c r="Q442" s="128"/>
      <c r="R442" s="128"/>
      <c r="S442" s="128"/>
      <c r="T442" s="128"/>
      <c r="U442" s="128"/>
      <c r="V442" s="128"/>
      <c r="W442" s="128"/>
      <c r="X442" s="128"/>
    </row>
    <row r="443" spans="1:24" ht="14.25" customHeight="1">
      <c r="A443" s="128"/>
      <c r="B443" s="128"/>
      <c r="C443" s="128"/>
      <c r="D443" s="443"/>
      <c r="E443" s="446"/>
      <c r="F443" s="446"/>
      <c r="G443" s="446"/>
      <c r="H443" s="443"/>
      <c r="I443" s="443"/>
      <c r="J443" s="128"/>
      <c r="K443" s="128"/>
      <c r="L443" s="128"/>
      <c r="M443" s="128"/>
      <c r="N443" s="128"/>
      <c r="O443" s="128"/>
      <c r="P443" s="128"/>
      <c r="Q443" s="128"/>
      <c r="R443" s="128"/>
      <c r="S443" s="128"/>
      <c r="T443" s="128"/>
      <c r="U443" s="128"/>
      <c r="V443" s="128"/>
      <c r="W443" s="128"/>
      <c r="X443" s="128"/>
    </row>
    <row r="444" spans="1:24" ht="14.25" customHeight="1">
      <c r="A444" s="128"/>
      <c r="B444" s="128"/>
      <c r="C444" s="128"/>
      <c r="D444" s="443"/>
      <c r="E444" s="446"/>
      <c r="F444" s="446"/>
      <c r="G444" s="446"/>
      <c r="H444" s="443"/>
      <c r="I444" s="443"/>
      <c r="J444" s="128"/>
      <c r="K444" s="128"/>
      <c r="L444" s="128"/>
      <c r="M444" s="128"/>
      <c r="N444" s="128"/>
      <c r="O444" s="128"/>
      <c r="P444" s="128"/>
      <c r="Q444" s="128"/>
      <c r="R444" s="128"/>
      <c r="S444" s="128"/>
      <c r="T444" s="128"/>
      <c r="U444" s="128"/>
      <c r="V444" s="128"/>
      <c r="W444" s="128"/>
      <c r="X444" s="128"/>
    </row>
    <row r="445" spans="1:24" ht="14.25" customHeight="1">
      <c r="A445" s="128"/>
      <c r="B445" s="128"/>
      <c r="C445" s="128"/>
      <c r="D445" s="443"/>
      <c r="E445" s="446"/>
      <c r="F445" s="446"/>
      <c r="G445" s="446"/>
      <c r="H445" s="443"/>
      <c r="I445" s="443"/>
      <c r="J445" s="128"/>
      <c r="K445" s="128"/>
      <c r="L445" s="128"/>
      <c r="M445" s="128"/>
      <c r="N445" s="128"/>
      <c r="O445" s="128"/>
      <c r="P445" s="128"/>
      <c r="Q445" s="128"/>
      <c r="R445" s="128"/>
      <c r="S445" s="128"/>
      <c r="T445" s="128"/>
      <c r="U445" s="128"/>
      <c r="V445" s="128"/>
      <c r="W445" s="128"/>
      <c r="X445" s="128"/>
    </row>
    <row r="446" spans="1:24" ht="14.25" customHeight="1">
      <c r="A446" s="128"/>
      <c r="B446" s="128"/>
      <c r="C446" s="128"/>
      <c r="D446" s="443"/>
      <c r="E446" s="446"/>
      <c r="F446" s="446"/>
      <c r="G446" s="446"/>
      <c r="H446" s="443"/>
      <c r="I446" s="443"/>
      <c r="J446" s="128"/>
      <c r="K446" s="128"/>
      <c r="L446" s="128"/>
      <c r="M446" s="128"/>
      <c r="N446" s="128"/>
      <c r="O446" s="128"/>
      <c r="P446" s="128"/>
      <c r="Q446" s="128"/>
      <c r="R446" s="128"/>
      <c r="S446" s="128"/>
      <c r="T446" s="128"/>
      <c r="U446" s="128"/>
      <c r="V446" s="128"/>
      <c r="W446" s="128"/>
      <c r="X446" s="128"/>
    </row>
    <row r="447" spans="1:24" ht="14.25" customHeight="1">
      <c r="A447" s="128"/>
      <c r="B447" s="128"/>
      <c r="C447" s="128"/>
      <c r="D447" s="443"/>
      <c r="E447" s="446"/>
      <c r="F447" s="446"/>
      <c r="G447" s="446"/>
      <c r="H447" s="443"/>
      <c r="I447" s="443"/>
      <c r="J447" s="128"/>
      <c r="K447" s="128"/>
      <c r="L447" s="128"/>
      <c r="M447" s="128"/>
      <c r="N447" s="128"/>
      <c r="O447" s="128"/>
      <c r="P447" s="128"/>
      <c r="Q447" s="128"/>
      <c r="R447" s="128"/>
      <c r="S447" s="128"/>
      <c r="T447" s="128"/>
      <c r="U447" s="128"/>
      <c r="V447" s="128"/>
      <c r="W447" s="128"/>
      <c r="X447" s="128"/>
    </row>
    <row r="448" spans="1:24" ht="14.25" customHeight="1">
      <c r="A448" s="128"/>
      <c r="B448" s="128"/>
      <c r="C448" s="128"/>
      <c r="D448" s="443"/>
      <c r="E448" s="446"/>
      <c r="F448" s="446"/>
      <c r="G448" s="446"/>
      <c r="H448" s="443"/>
      <c r="I448" s="443"/>
      <c r="J448" s="128"/>
      <c r="K448" s="128"/>
      <c r="L448" s="128"/>
      <c r="M448" s="128"/>
      <c r="N448" s="128"/>
      <c r="O448" s="128"/>
      <c r="P448" s="128"/>
      <c r="Q448" s="128"/>
      <c r="R448" s="128"/>
      <c r="S448" s="128"/>
      <c r="T448" s="128"/>
      <c r="U448" s="128"/>
      <c r="V448" s="128"/>
      <c r="W448" s="128"/>
      <c r="X448" s="128"/>
    </row>
    <row r="449" spans="1:24" ht="14.25" customHeight="1">
      <c r="A449" s="128"/>
      <c r="B449" s="128"/>
      <c r="C449" s="128"/>
      <c r="D449" s="443"/>
      <c r="E449" s="446"/>
      <c r="F449" s="446"/>
      <c r="G449" s="446"/>
      <c r="H449" s="443"/>
      <c r="I449" s="443"/>
      <c r="J449" s="128"/>
      <c r="K449" s="128"/>
      <c r="L449" s="128"/>
      <c r="M449" s="128"/>
      <c r="N449" s="128"/>
      <c r="O449" s="128"/>
      <c r="P449" s="128"/>
      <c r="Q449" s="128"/>
      <c r="R449" s="128"/>
      <c r="S449" s="128"/>
      <c r="T449" s="128"/>
      <c r="U449" s="128"/>
      <c r="V449" s="128"/>
      <c r="W449" s="128"/>
      <c r="X449" s="128"/>
    </row>
    <row r="450" spans="1:24" ht="14.25" customHeight="1">
      <c r="A450" s="128"/>
      <c r="B450" s="128"/>
      <c r="C450" s="128"/>
      <c r="D450" s="443"/>
      <c r="E450" s="446"/>
      <c r="F450" s="446"/>
      <c r="G450" s="446"/>
      <c r="H450" s="443"/>
      <c r="I450" s="443"/>
      <c r="J450" s="128"/>
      <c r="K450" s="128"/>
      <c r="L450" s="128"/>
      <c r="M450" s="128"/>
      <c r="N450" s="128"/>
      <c r="O450" s="128"/>
      <c r="P450" s="128"/>
      <c r="Q450" s="128"/>
      <c r="R450" s="128"/>
      <c r="S450" s="128"/>
      <c r="T450" s="128"/>
      <c r="U450" s="128"/>
      <c r="V450" s="128"/>
      <c r="W450" s="128"/>
      <c r="X450" s="128"/>
    </row>
    <row r="451" spans="1:24" ht="14.25" customHeight="1">
      <c r="A451" s="128"/>
      <c r="B451" s="128"/>
      <c r="C451" s="128"/>
      <c r="D451" s="443"/>
      <c r="E451" s="446"/>
      <c r="F451" s="446"/>
      <c r="G451" s="446"/>
      <c r="H451" s="443"/>
      <c r="I451" s="443"/>
      <c r="J451" s="128"/>
      <c r="K451" s="128"/>
      <c r="L451" s="128"/>
      <c r="M451" s="128"/>
      <c r="N451" s="128"/>
      <c r="O451" s="128"/>
      <c r="P451" s="128"/>
      <c r="Q451" s="128"/>
      <c r="R451" s="128"/>
      <c r="S451" s="128"/>
      <c r="T451" s="128"/>
      <c r="U451" s="128"/>
      <c r="V451" s="128"/>
      <c r="W451" s="128"/>
      <c r="X451" s="128"/>
    </row>
    <row r="452" spans="1:24" ht="14.25" customHeight="1">
      <c r="A452" s="128"/>
      <c r="B452" s="128"/>
      <c r="C452" s="128"/>
      <c r="D452" s="443"/>
      <c r="E452" s="446"/>
      <c r="F452" s="446"/>
      <c r="G452" s="446"/>
      <c r="H452" s="443"/>
      <c r="I452" s="443"/>
      <c r="J452" s="128"/>
      <c r="K452" s="128"/>
      <c r="L452" s="128"/>
      <c r="M452" s="128"/>
      <c r="N452" s="128"/>
      <c r="O452" s="128"/>
      <c r="P452" s="128"/>
      <c r="Q452" s="128"/>
      <c r="R452" s="128"/>
      <c r="S452" s="128"/>
      <c r="T452" s="128"/>
      <c r="U452" s="128"/>
      <c r="V452" s="128"/>
      <c r="W452" s="128"/>
      <c r="X452" s="128"/>
    </row>
    <row r="453" spans="1:24" ht="14.25" customHeight="1">
      <c r="A453" s="128"/>
      <c r="B453" s="128"/>
      <c r="C453" s="128"/>
      <c r="D453" s="443"/>
      <c r="E453" s="446"/>
      <c r="F453" s="446"/>
      <c r="G453" s="446"/>
      <c r="H453" s="443"/>
      <c r="I453" s="443"/>
      <c r="J453" s="128"/>
      <c r="K453" s="128"/>
      <c r="L453" s="128"/>
      <c r="M453" s="128"/>
      <c r="N453" s="128"/>
      <c r="O453" s="128"/>
      <c r="P453" s="128"/>
      <c r="Q453" s="128"/>
      <c r="R453" s="128"/>
      <c r="S453" s="128"/>
      <c r="T453" s="128"/>
      <c r="U453" s="128"/>
      <c r="V453" s="128"/>
      <c r="W453" s="128"/>
      <c r="X453" s="128"/>
    </row>
    <row r="454" spans="1:24" ht="14.25" customHeight="1">
      <c r="A454" s="128"/>
      <c r="B454" s="128"/>
      <c r="C454" s="128"/>
      <c r="D454" s="443"/>
      <c r="E454" s="446"/>
      <c r="F454" s="446"/>
      <c r="G454" s="446"/>
      <c r="H454" s="443"/>
      <c r="I454" s="443"/>
      <c r="J454" s="128"/>
      <c r="K454" s="128"/>
      <c r="L454" s="128"/>
      <c r="M454" s="128"/>
      <c r="N454" s="128"/>
      <c r="O454" s="128"/>
      <c r="P454" s="128"/>
      <c r="Q454" s="128"/>
      <c r="R454" s="128"/>
      <c r="S454" s="128"/>
      <c r="T454" s="128"/>
      <c r="U454" s="128"/>
      <c r="V454" s="128"/>
      <c r="W454" s="128"/>
      <c r="X454" s="128"/>
    </row>
    <row r="455" spans="1:24" ht="14.25" customHeight="1">
      <c r="A455" s="128"/>
      <c r="B455" s="128"/>
      <c r="C455" s="128"/>
      <c r="D455" s="443"/>
      <c r="E455" s="446"/>
      <c r="F455" s="446"/>
      <c r="G455" s="446"/>
      <c r="H455" s="443"/>
      <c r="I455" s="443"/>
      <c r="J455" s="128"/>
      <c r="K455" s="128"/>
      <c r="L455" s="128"/>
      <c r="M455" s="128"/>
      <c r="N455" s="128"/>
      <c r="O455" s="128"/>
      <c r="P455" s="128"/>
      <c r="Q455" s="128"/>
      <c r="R455" s="128"/>
      <c r="S455" s="128"/>
      <c r="T455" s="128"/>
      <c r="U455" s="128"/>
      <c r="V455" s="128"/>
      <c r="W455" s="128"/>
      <c r="X455" s="128"/>
    </row>
    <row r="456" spans="1:24" ht="14.25" customHeight="1">
      <c r="A456" s="128"/>
      <c r="B456" s="128"/>
      <c r="C456" s="128"/>
      <c r="D456" s="443"/>
      <c r="E456" s="446"/>
      <c r="F456" s="446"/>
      <c r="G456" s="446"/>
      <c r="H456" s="443"/>
      <c r="I456" s="443"/>
      <c r="J456" s="128"/>
      <c r="K456" s="128"/>
      <c r="L456" s="128"/>
      <c r="M456" s="128"/>
      <c r="N456" s="128"/>
      <c r="O456" s="128"/>
      <c r="P456" s="128"/>
      <c r="Q456" s="128"/>
      <c r="R456" s="128"/>
      <c r="S456" s="128"/>
      <c r="T456" s="128"/>
      <c r="U456" s="128"/>
      <c r="V456" s="128"/>
      <c r="W456" s="128"/>
      <c r="X456" s="128"/>
    </row>
    <row r="457" spans="1:24" ht="14.25" customHeight="1">
      <c r="A457" s="128"/>
      <c r="B457" s="128"/>
      <c r="C457" s="128"/>
      <c r="D457" s="443"/>
      <c r="E457" s="446"/>
      <c r="F457" s="446"/>
      <c r="G457" s="446"/>
      <c r="H457" s="443"/>
      <c r="I457" s="443"/>
      <c r="J457" s="128"/>
      <c r="K457" s="128"/>
      <c r="L457" s="128"/>
      <c r="M457" s="128"/>
      <c r="N457" s="128"/>
      <c r="O457" s="128"/>
      <c r="P457" s="128"/>
      <c r="Q457" s="128"/>
      <c r="R457" s="128"/>
      <c r="S457" s="128"/>
      <c r="T457" s="128"/>
      <c r="U457" s="128"/>
      <c r="V457" s="128"/>
      <c r="W457" s="128"/>
      <c r="X457" s="128"/>
    </row>
    <row r="458" spans="1:24" ht="14.25" customHeight="1">
      <c r="A458" s="128"/>
      <c r="B458" s="128"/>
      <c r="C458" s="128"/>
      <c r="D458" s="443"/>
      <c r="E458" s="446"/>
      <c r="F458" s="446"/>
      <c r="G458" s="446"/>
      <c r="H458" s="443"/>
      <c r="I458" s="443"/>
      <c r="J458" s="128"/>
      <c r="K458" s="128"/>
      <c r="L458" s="128"/>
      <c r="M458" s="128"/>
      <c r="N458" s="128"/>
      <c r="O458" s="128"/>
      <c r="P458" s="128"/>
      <c r="Q458" s="128"/>
      <c r="R458" s="128"/>
      <c r="S458" s="128"/>
      <c r="T458" s="128"/>
      <c r="U458" s="128"/>
      <c r="V458" s="128"/>
      <c r="W458" s="128"/>
      <c r="X458" s="128"/>
    </row>
    <row r="459" spans="1:24" ht="14.25" customHeight="1">
      <c r="A459" s="128"/>
      <c r="B459" s="128"/>
      <c r="C459" s="128"/>
      <c r="D459" s="443"/>
      <c r="E459" s="446"/>
      <c r="F459" s="446"/>
      <c r="G459" s="446"/>
      <c r="H459" s="443"/>
      <c r="I459" s="443"/>
      <c r="J459" s="128"/>
      <c r="K459" s="128"/>
      <c r="L459" s="128"/>
      <c r="M459" s="128"/>
      <c r="N459" s="128"/>
      <c r="O459" s="128"/>
      <c r="P459" s="128"/>
      <c r="Q459" s="128"/>
      <c r="R459" s="128"/>
      <c r="S459" s="128"/>
      <c r="T459" s="128"/>
      <c r="U459" s="128"/>
      <c r="V459" s="128"/>
      <c r="W459" s="128"/>
      <c r="X459" s="128"/>
    </row>
    <row r="460" spans="1:24" ht="14.25" customHeight="1">
      <c r="A460" s="128"/>
      <c r="B460" s="128"/>
      <c r="C460" s="128"/>
      <c r="D460" s="443"/>
      <c r="E460" s="446"/>
      <c r="F460" s="446"/>
      <c r="G460" s="446"/>
      <c r="H460" s="443"/>
      <c r="I460" s="443"/>
      <c r="J460" s="128"/>
      <c r="K460" s="128"/>
      <c r="L460" s="128"/>
      <c r="M460" s="128"/>
      <c r="N460" s="128"/>
      <c r="O460" s="128"/>
      <c r="P460" s="128"/>
      <c r="Q460" s="128"/>
      <c r="R460" s="128"/>
      <c r="S460" s="128"/>
      <c r="T460" s="128"/>
      <c r="U460" s="128"/>
      <c r="V460" s="128"/>
      <c r="W460" s="128"/>
      <c r="X460" s="128"/>
    </row>
    <row r="461" spans="1:24" ht="14.25" customHeight="1">
      <c r="A461" s="128"/>
      <c r="B461" s="128"/>
      <c r="C461" s="128"/>
      <c r="D461" s="443"/>
      <c r="E461" s="446"/>
      <c r="F461" s="446"/>
      <c r="G461" s="446"/>
      <c r="H461" s="443"/>
      <c r="I461" s="443"/>
      <c r="J461" s="128"/>
      <c r="K461" s="128"/>
      <c r="L461" s="128"/>
      <c r="M461" s="128"/>
      <c r="N461" s="128"/>
      <c r="O461" s="128"/>
      <c r="P461" s="128"/>
      <c r="Q461" s="128"/>
      <c r="R461" s="128"/>
      <c r="S461" s="128"/>
      <c r="T461" s="128"/>
      <c r="U461" s="128"/>
      <c r="V461" s="128"/>
      <c r="W461" s="128"/>
      <c r="X461" s="128"/>
    </row>
    <row r="462" spans="1:24" ht="14.25" customHeight="1">
      <c r="A462" s="128"/>
      <c r="B462" s="128"/>
      <c r="C462" s="128"/>
      <c r="D462" s="443"/>
      <c r="E462" s="446"/>
      <c r="F462" s="446"/>
      <c r="G462" s="446"/>
      <c r="H462" s="443"/>
      <c r="I462" s="443"/>
      <c r="J462" s="128"/>
      <c r="K462" s="128"/>
      <c r="L462" s="128"/>
      <c r="M462" s="128"/>
      <c r="N462" s="128"/>
      <c r="O462" s="128"/>
      <c r="P462" s="128"/>
      <c r="Q462" s="128"/>
      <c r="R462" s="128"/>
      <c r="S462" s="128"/>
      <c r="T462" s="128"/>
      <c r="U462" s="128"/>
      <c r="V462" s="128"/>
      <c r="W462" s="128"/>
      <c r="X462" s="128"/>
    </row>
    <row r="463" spans="1:24" ht="14.25" customHeight="1">
      <c r="A463" s="128"/>
      <c r="B463" s="128"/>
      <c r="C463" s="128"/>
      <c r="D463" s="443"/>
      <c r="E463" s="446"/>
      <c r="F463" s="446"/>
      <c r="G463" s="446"/>
      <c r="H463" s="443"/>
      <c r="I463" s="443"/>
      <c r="J463" s="128"/>
      <c r="K463" s="128"/>
      <c r="L463" s="128"/>
      <c r="M463" s="128"/>
      <c r="N463" s="128"/>
      <c r="O463" s="128"/>
      <c r="P463" s="128"/>
      <c r="Q463" s="128"/>
      <c r="R463" s="128"/>
      <c r="S463" s="128"/>
      <c r="T463" s="128"/>
      <c r="U463" s="128"/>
      <c r="V463" s="128"/>
      <c r="W463" s="128"/>
      <c r="X463" s="128"/>
    </row>
    <row r="464" spans="1:24" ht="14.25" customHeight="1">
      <c r="A464" s="128"/>
      <c r="B464" s="128"/>
      <c r="C464" s="128"/>
      <c r="D464" s="443"/>
      <c r="E464" s="446"/>
      <c r="F464" s="446"/>
      <c r="G464" s="446"/>
      <c r="H464" s="443"/>
      <c r="I464" s="443"/>
      <c r="J464" s="128"/>
      <c r="K464" s="128"/>
      <c r="L464" s="128"/>
      <c r="M464" s="128"/>
      <c r="N464" s="128"/>
      <c r="O464" s="128"/>
      <c r="P464" s="128"/>
      <c r="Q464" s="128"/>
      <c r="R464" s="128"/>
      <c r="S464" s="128"/>
      <c r="T464" s="128"/>
      <c r="U464" s="128"/>
      <c r="V464" s="128"/>
      <c r="W464" s="128"/>
      <c r="X464" s="128"/>
    </row>
    <row r="465" spans="1:24" ht="14.25" customHeight="1">
      <c r="A465" s="128"/>
      <c r="B465" s="128"/>
      <c r="C465" s="128"/>
      <c r="D465" s="443"/>
      <c r="E465" s="446"/>
      <c r="F465" s="446"/>
      <c r="G465" s="446"/>
      <c r="H465" s="443"/>
      <c r="I465" s="443"/>
      <c r="J465" s="128"/>
      <c r="K465" s="128"/>
      <c r="L465" s="128"/>
      <c r="M465" s="128"/>
      <c r="N465" s="128"/>
      <c r="O465" s="128"/>
      <c r="P465" s="128"/>
      <c r="Q465" s="128"/>
      <c r="R465" s="128"/>
      <c r="S465" s="128"/>
      <c r="T465" s="128"/>
      <c r="U465" s="128"/>
      <c r="V465" s="128"/>
      <c r="W465" s="128"/>
      <c r="X465" s="128"/>
    </row>
    <row r="466" spans="1:24" ht="14.25" customHeight="1">
      <c r="A466" s="128"/>
      <c r="B466" s="128"/>
      <c r="C466" s="128"/>
      <c r="D466" s="443"/>
      <c r="E466" s="446"/>
      <c r="F466" s="446"/>
      <c r="G466" s="446"/>
      <c r="H466" s="443"/>
      <c r="I466" s="443"/>
      <c r="J466" s="128"/>
      <c r="K466" s="128"/>
      <c r="L466" s="128"/>
      <c r="M466" s="128"/>
      <c r="N466" s="128"/>
      <c r="O466" s="128"/>
      <c r="P466" s="128"/>
      <c r="Q466" s="128"/>
      <c r="R466" s="128"/>
      <c r="S466" s="128"/>
      <c r="T466" s="128"/>
      <c r="U466" s="128"/>
      <c r="V466" s="128"/>
      <c r="W466" s="128"/>
      <c r="X466" s="128"/>
    </row>
    <row r="467" spans="1:24" ht="14.25" customHeight="1">
      <c r="A467" s="128"/>
      <c r="B467" s="128"/>
      <c r="C467" s="128"/>
      <c r="D467" s="443"/>
      <c r="E467" s="446"/>
      <c r="F467" s="446"/>
      <c r="G467" s="446"/>
      <c r="H467" s="443"/>
      <c r="I467" s="443"/>
      <c r="J467" s="128"/>
      <c r="K467" s="128"/>
      <c r="L467" s="128"/>
      <c r="M467" s="128"/>
      <c r="N467" s="128"/>
      <c r="O467" s="128"/>
      <c r="P467" s="128"/>
      <c r="Q467" s="128"/>
      <c r="R467" s="128"/>
      <c r="S467" s="128"/>
      <c r="T467" s="128"/>
      <c r="U467" s="128"/>
      <c r="V467" s="128"/>
      <c r="W467" s="128"/>
      <c r="X467" s="128"/>
    </row>
    <row r="468" spans="1:24" ht="14.25" customHeight="1">
      <c r="A468" s="128"/>
      <c r="B468" s="128"/>
      <c r="C468" s="128"/>
      <c r="D468" s="443"/>
      <c r="E468" s="446"/>
      <c r="F468" s="446"/>
      <c r="G468" s="446"/>
      <c r="H468" s="443"/>
      <c r="I468" s="443"/>
      <c r="J468" s="128"/>
      <c r="K468" s="128"/>
      <c r="L468" s="128"/>
      <c r="M468" s="128"/>
      <c r="N468" s="128"/>
      <c r="O468" s="128"/>
      <c r="P468" s="128"/>
      <c r="Q468" s="128"/>
      <c r="R468" s="128"/>
      <c r="S468" s="128"/>
      <c r="T468" s="128"/>
      <c r="U468" s="128"/>
      <c r="V468" s="128"/>
      <c r="W468" s="128"/>
      <c r="X468" s="128"/>
    </row>
    <row r="469" spans="1:24" ht="14.25" customHeight="1">
      <c r="A469" s="128"/>
      <c r="B469" s="128"/>
      <c r="C469" s="128"/>
      <c r="D469" s="443"/>
      <c r="E469" s="446"/>
      <c r="F469" s="446"/>
      <c r="G469" s="446"/>
      <c r="H469" s="443"/>
      <c r="I469" s="443"/>
      <c r="J469" s="128"/>
      <c r="K469" s="128"/>
      <c r="L469" s="128"/>
      <c r="M469" s="128"/>
      <c r="N469" s="128"/>
      <c r="O469" s="128"/>
      <c r="P469" s="128"/>
      <c r="Q469" s="128"/>
      <c r="R469" s="128"/>
      <c r="S469" s="128"/>
      <c r="T469" s="128"/>
      <c r="U469" s="128"/>
      <c r="V469" s="128"/>
      <c r="W469" s="128"/>
      <c r="X469" s="128"/>
    </row>
    <row r="470" spans="1:24" ht="14.25" customHeight="1">
      <c r="A470" s="128"/>
      <c r="B470" s="128"/>
      <c r="C470" s="128"/>
      <c r="D470" s="443"/>
      <c r="E470" s="446"/>
      <c r="F470" s="446"/>
      <c r="G470" s="446"/>
      <c r="H470" s="443"/>
      <c r="I470" s="443"/>
      <c r="J470" s="128"/>
      <c r="K470" s="128"/>
      <c r="L470" s="128"/>
      <c r="M470" s="128"/>
      <c r="N470" s="128"/>
      <c r="O470" s="128"/>
      <c r="P470" s="128"/>
      <c r="Q470" s="128"/>
      <c r="R470" s="128"/>
      <c r="S470" s="128"/>
      <c r="T470" s="128"/>
      <c r="U470" s="128"/>
      <c r="V470" s="128"/>
      <c r="W470" s="128"/>
      <c r="X470" s="128"/>
    </row>
    <row r="471" spans="1:24" ht="14.25" customHeight="1">
      <c r="A471" s="128"/>
      <c r="B471" s="128"/>
      <c r="C471" s="128"/>
      <c r="D471" s="443"/>
      <c r="E471" s="446"/>
      <c r="F471" s="446"/>
      <c r="G471" s="446"/>
      <c r="H471" s="443"/>
      <c r="I471" s="443"/>
      <c r="J471" s="128"/>
      <c r="K471" s="128"/>
      <c r="L471" s="128"/>
      <c r="M471" s="128"/>
      <c r="N471" s="128"/>
      <c r="O471" s="128"/>
      <c r="P471" s="128"/>
      <c r="Q471" s="128"/>
      <c r="R471" s="128"/>
      <c r="S471" s="128"/>
      <c r="T471" s="128"/>
      <c r="U471" s="128"/>
      <c r="V471" s="128"/>
      <c r="W471" s="128"/>
      <c r="X471" s="128"/>
    </row>
    <row r="472" spans="1:24" ht="14.25" customHeight="1">
      <c r="A472" s="128"/>
      <c r="B472" s="128"/>
      <c r="C472" s="128"/>
      <c r="D472" s="443"/>
      <c r="E472" s="446"/>
      <c r="F472" s="446"/>
      <c r="G472" s="446"/>
      <c r="H472" s="443"/>
      <c r="I472" s="443"/>
      <c r="J472" s="128"/>
      <c r="K472" s="128"/>
      <c r="L472" s="128"/>
      <c r="M472" s="128"/>
      <c r="N472" s="128"/>
      <c r="O472" s="128"/>
      <c r="P472" s="128"/>
      <c r="Q472" s="128"/>
      <c r="R472" s="128"/>
      <c r="S472" s="128"/>
      <c r="T472" s="128"/>
      <c r="U472" s="128"/>
      <c r="V472" s="128"/>
      <c r="W472" s="128"/>
      <c r="X472" s="128"/>
    </row>
    <row r="473" spans="1:24" ht="14.25" customHeight="1">
      <c r="A473" s="128"/>
      <c r="B473" s="128"/>
      <c r="C473" s="128"/>
      <c r="D473" s="443"/>
      <c r="E473" s="446"/>
      <c r="F473" s="446"/>
      <c r="G473" s="446"/>
      <c r="H473" s="443"/>
      <c r="I473" s="443"/>
      <c r="J473" s="128"/>
      <c r="K473" s="128"/>
      <c r="L473" s="128"/>
      <c r="M473" s="128"/>
      <c r="N473" s="128"/>
      <c r="O473" s="128"/>
      <c r="P473" s="128"/>
      <c r="Q473" s="128"/>
      <c r="R473" s="128"/>
      <c r="S473" s="128"/>
      <c r="T473" s="128"/>
      <c r="U473" s="128"/>
      <c r="V473" s="128"/>
      <c r="W473" s="128"/>
      <c r="X473" s="128"/>
    </row>
    <row r="474" spans="1:24" ht="14.25" customHeight="1">
      <c r="A474" s="128"/>
      <c r="B474" s="128"/>
      <c r="C474" s="128"/>
      <c r="D474" s="443"/>
      <c r="E474" s="446"/>
      <c r="F474" s="446"/>
      <c r="G474" s="446"/>
      <c r="H474" s="443"/>
      <c r="I474" s="443"/>
      <c r="J474" s="128"/>
      <c r="K474" s="128"/>
      <c r="L474" s="128"/>
      <c r="M474" s="128"/>
      <c r="N474" s="128"/>
      <c r="O474" s="128"/>
      <c r="P474" s="128"/>
      <c r="Q474" s="128"/>
      <c r="R474" s="128"/>
      <c r="S474" s="128"/>
      <c r="T474" s="128"/>
      <c r="U474" s="128"/>
      <c r="V474" s="128"/>
      <c r="W474" s="128"/>
      <c r="X474" s="128"/>
    </row>
    <row r="475" spans="1:24" ht="14.25" customHeight="1">
      <c r="A475" s="128"/>
      <c r="B475" s="128"/>
      <c r="C475" s="128"/>
      <c r="D475" s="443"/>
      <c r="E475" s="446"/>
      <c r="F475" s="446"/>
      <c r="G475" s="446"/>
      <c r="H475" s="443"/>
      <c r="I475" s="443"/>
      <c r="J475" s="128"/>
      <c r="K475" s="128"/>
      <c r="L475" s="128"/>
      <c r="M475" s="128"/>
      <c r="N475" s="128"/>
      <c r="O475" s="128"/>
      <c r="P475" s="128"/>
      <c r="Q475" s="128"/>
      <c r="R475" s="128"/>
      <c r="S475" s="128"/>
      <c r="T475" s="128"/>
      <c r="U475" s="128"/>
      <c r="V475" s="128"/>
      <c r="W475" s="128"/>
      <c r="X475" s="128"/>
    </row>
    <row r="476" spans="1:24" ht="14.25" customHeight="1">
      <c r="A476" s="128"/>
      <c r="B476" s="128"/>
      <c r="C476" s="128"/>
      <c r="D476" s="443"/>
      <c r="E476" s="446"/>
      <c r="F476" s="446"/>
      <c r="G476" s="446"/>
      <c r="H476" s="443"/>
      <c r="I476" s="443"/>
      <c r="J476" s="128"/>
      <c r="K476" s="128"/>
      <c r="L476" s="128"/>
      <c r="M476" s="128"/>
      <c r="N476" s="128"/>
      <c r="O476" s="128"/>
      <c r="P476" s="128"/>
      <c r="Q476" s="128"/>
      <c r="R476" s="128"/>
      <c r="S476" s="128"/>
      <c r="T476" s="128"/>
      <c r="U476" s="128"/>
      <c r="V476" s="128"/>
      <c r="W476" s="128"/>
      <c r="X476" s="128"/>
    </row>
    <row r="477" spans="1:24" ht="14.25" customHeight="1">
      <c r="A477" s="128"/>
      <c r="B477" s="128"/>
      <c r="C477" s="128"/>
      <c r="D477" s="443"/>
      <c r="E477" s="446"/>
      <c r="F477" s="446"/>
      <c r="G477" s="446"/>
      <c r="H477" s="443"/>
      <c r="I477" s="443"/>
      <c r="J477" s="128"/>
      <c r="K477" s="128"/>
      <c r="L477" s="128"/>
      <c r="M477" s="128"/>
      <c r="N477" s="128"/>
      <c r="O477" s="128"/>
      <c r="P477" s="128"/>
      <c r="Q477" s="128"/>
      <c r="R477" s="128"/>
      <c r="S477" s="128"/>
      <c r="T477" s="128"/>
      <c r="U477" s="128"/>
      <c r="V477" s="128"/>
      <c r="W477" s="128"/>
      <c r="X477" s="128"/>
    </row>
    <row r="478" spans="1:24" ht="14.25" customHeight="1">
      <c r="A478" s="128"/>
      <c r="B478" s="128"/>
      <c r="C478" s="128"/>
      <c r="D478" s="443"/>
      <c r="E478" s="446"/>
      <c r="F478" s="446"/>
      <c r="G478" s="446"/>
      <c r="H478" s="443"/>
      <c r="I478" s="443"/>
      <c r="J478" s="128"/>
      <c r="K478" s="128"/>
      <c r="L478" s="128"/>
      <c r="M478" s="128"/>
      <c r="N478" s="128"/>
      <c r="O478" s="128"/>
      <c r="P478" s="128"/>
      <c r="Q478" s="128"/>
      <c r="R478" s="128"/>
      <c r="S478" s="128"/>
      <c r="T478" s="128"/>
      <c r="U478" s="128"/>
      <c r="V478" s="128"/>
      <c r="W478" s="128"/>
      <c r="X478" s="128"/>
    </row>
    <row r="479" spans="1:24" ht="14.25" customHeight="1">
      <c r="A479" s="128"/>
      <c r="B479" s="128"/>
      <c r="C479" s="128"/>
      <c r="D479" s="443"/>
      <c r="E479" s="446"/>
      <c r="F479" s="446"/>
      <c r="G479" s="446"/>
      <c r="H479" s="443"/>
      <c r="I479" s="443"/>
      <c r="J479" s="128"/>
      <c r="K479" s="128"/>
      <c r="L479" s="128"/>
      <c r="M479" s="128"/>
      <c r="N479" s="128"/>
      <c r="O479" s="128"/>
      <c r="P479" s="128"/>
      <c r="Q479" s="128"/>
      <c r="R479" s="128"/>
      <c r="S479" s="128"/>
      <c r="T479" s="128"/>
      <c r="U479" s="128"/>
      <c r="V479" s="128"/>
      <c r="W479" s="128"/>
      <c r="X479" s="128"/>
    </row>
    <row r="480" spans="1:24" ht="14.25" customHeight="1">
      <c r="A480" s="128"/>
      <c r="B480" s="128"/>
      <c r="C480" s="128"/>
      <c r="D480" s="443"/>
      <c r="E480" s="446"/>
      <c r="F480" s="446"/>
      <c r="G480" s="446"/>
      <c r="H480" s="443"/>
      <c r="I480" s="443"/>
      <c r="J480" s="128"/>
      <c r="K480" s="128"/>
      <c r="L480" s="128"/>
      <c r="M480" s="128"/>
      <c r="N480" s="128"/>
      <c r="O480" s="128"/>
      <c r="P480" s="128"/>
      <c r="Q480" s="128"/>
      <c r="R480" s="128"/>
      <c r="S480" s="128"/>
      <c r="T480" s="128"/>
      <c r="U480" s="128"/>
      <c r="V480" s="128"/>
      <c r="W480" s="128"/>
      <c r="X480" s="128"/>
    </row>
    <row r="481" spans="1:24" ht="14.25" customHeight="1">
      <c r="A481" s="128"/>
      <c r="B481" s="128"/>
      <c r="C481" s="128"/>
      <c r="D481" s="443"/>
      <c r="E481" s="446"/>
      <c r="F481" s="446"/>
      <c r="G481" s="446"/>
      <c r="H481" s="443"/>
      <c r="I481" s="443"/>
      <c r="J481" s="128"/>
      <c r="K481" s="128"/>
      <c r="L481" s="128"/>
      <c r="M481" s="128"/>
      <c r="N481" s="128"/>
      <c r="O481" s="128"/>
      <c r="P481" s="128"/>
      <c r="Q481" s="128"/>
      <c r="R481" s="128"/>
      <c r="S481" s="128"/>
      <c r="T481" s="128"/>
      <c r="U481" s="128"/>
      <c r="V481" s="128"/>
      <c r="W481" s="128"/>
      <c r="X481" s="128"/>
    </row>
    <row r="482" spans="1:24" ht="14.25" customHeight="1">
      <c r="A482" s="128"/>
      <c r="B482" s="128"/>
      <c r="C482" s="128"/>
      <c r="D482" s="443"/>
      <c r="E482" s="446"/>
      <c r="F482" s="446"/>
      <c r="G482" s="446"/>
      <c r="H482" s="443"/>
      <c r="I482" s="443"/>
      <c r="J482" s="128"/>
      <c r="K482" s="128"/>
      <c r="L482" s="128"/>
      <c r="M482" s="128"/>
      <c r="N482" s="128"/>
      <c r="O482" s="128"/>
      <c r="P482" s="128"/>
      <c r="Q482" s="128"/>
      <c r="R482" s="128"/>
      <c r="S482" s="128"/>
      <c r="T482" s="128"/>
      <c r="U482" s="128"/>
      <c r="V482" s="128"/>
      <c r="W482" s="128"/>
      <c r="X482" s="128"/>
    </row>
    <row r="483" spans="1:24" ht="14.25" customHeight="1">
      <c r="A483" s="128"/>
      <c r="B483" s="128"/>
      <c r="C483" s="128"/>
      <c r="D483" s="443"/>
      <c r="E483" s="446"/>
      <c r="F483" s="446"/>
      <c r="G483" s="446"/>
      <c r="H483" s="443"/>
      <c r="I483" s="443"/>
      <c r="J483" s="128"/>
      <c r="K483" s="128"/>
      <c r="L483" s="128"/>
      <c r="M483" s="128"/>
      <c r="N483" s="128"/>
      <c r="O483" s="128"/>
      <c r="P483" s="128"/>
      <c r="Q483" s="128"/>
      <c r="R483" s="128"/>
      <c r="S483" s="128"/>
      <c r="T483" s="128"/>
      <c r="U483" s="128"/>
      <c r="V483" s="128"/>
      <c r="W483" s="128"/>
      <c r="X483" s="128"/>
    </row>
    <row r="484" spans="1:24" ht="14.25" customHeight="1">
      <c r="A484" s="128"/>
      <c r="B484" s="128"/>
      <c r="C484" s="128"/>
      <c r="D484" s="443"/>
      <c r="E484" s="446"/>
      <c r="F484" s="446"/>
      <c r="G484" s="446"/>
      <c r="H484" s="443"/>
      <c r="I484" s="443"/>
      <c r="J484" s="128"/>
      <c r="K484" s="128"/>
      <c r="L484" s="128"/>
      <c r="M484" s="128"/>
      <c r="N484" s="128"/>
      <c r="O484" s="128"/>
      <c r="P484" s="128"/>
      <c r="Q484" s="128"/>
      <c r="R484" s="128"/>
      <c r="S484" s="128"/>
      <c r="T484" s="128"/>
      <c r="U484" s="128"/>
      <c r="V484" s="128"/>
      <c r="W484" s="128"/>
      <c r="X484" s="128"/>
    </row>
    <row r="485" spans="1:24" ht="14.25" customHeight="1">
      <c r="A485" s="128"/>
      <c r="B485" s="128"/>
      <c r="C485" s="128"/>
      <c r="D485" s="443"/>
      <c r="E485" s="446"/>
      <c r="F485" s="446"/>
      <c r="G485" s="446"/>
      <c r="H485" s="443"/>
      <c r="I485" s="443"/>
      <c r="J485" s="128"/>
      <c r="K485" s="128"/>
      <c r="L485" s="128"/>
      <c r="M485" s="128"/>
      <c r="N485" s="128"/>
      <c r="O485" s="128"/>
      <c r="P485" s="128"/>
      <c r="Q485" s="128"/>
      <c r="R485" s="128"/>
      <c r="S485" s="128"/>
      <c r="T485" s="128"/>
      <c r="U485" s="128"/>
      <c r="V485" s="128"/>
      <c r="W485" s="128"/>
      <c r="X485" s="128"/>
    </row>
    <row r="486" spans="1:24" ht="14.25" customHeight="1">
      <c r="A486" s="128"/>
      <c r="B486" s="128"/>
      <c r="C486" s="128"/>
      <c r="D486" s="443"/>
      <c r="E486" s="446"/>
      <c r="F486" s="446"/>
      <c r="G486" s="446"/>
      <c r="H486" s="443"/>
      <c r="I486" s="443"/>
      <c r="J486" s="128"/>
      <c r="K486" s="128"/>
      <c r="L486" s="128"/>
      <c r="M486" s="128"/>
      <c r="N486" s="128"/>
      <c r="O486" s="128"/>
      <c r="P486" s="128"/>
      <c r="Q486" s="128"/>
      <c r="R486" s="128"/>
      <c r="S486" s="128"/>
      <c r="T486" s="128"/>
      <c r="U486" s="128"/>
      <c r="V486" s="128"/>
      <c r="W486" s="128"/>
      <c r="X486" s="128"/>
    </row>
    <row r="487" spans="1:24" ht="14.25" customHeight="1">
      <c r="A487" s="128"/>
      <c r="B487" s="128"/>
      <c r="C487" s="128"/>
      <c r="D487" s="443"/>
      <c r="E487" s="446"/>
      <c r="F487" s="446"/>
      <c r="G487" s="446"/>
      <c r="H487" s="443"/>
      <c r="I487" s="443"/>
      <c r="J487" s="128"/>
      <c r="K487" s="128"/>
      <c r="L487" s="128"/>
      <c r="M487" s="128"/>
      <c r="N487" s="128"/>
      <c r="O487" s="128"/>
      <c r="P487" s="128"/>
      <c r="Q487" s="128"/>
      <c r="R487" s="128"/>
      <c r="S487" s="128"/>
      <c r="T487" s="128"/>
      <c r="U487" s="128"/>
      <c r="V487" s="128"/>
      <c r="W487" s="128"/>
      <c r="X487" s="128"/>
    </row>
    <row r="488" spans="1:24" ht="14.25" customHeight="1">
      <c r="A488" s="128"/>
      <c r="B488" s="128"/>
      <c r="C488" s="128"/>
      <c r="D488" s="443"/>
      <c r="E488" s="446"/>
      <c r="F488" s="446"/>
      <c r="G488" s="446"/>
      <c r="H488" s="443"/>
      <c r="I488" s="443"/>
      <c r="J488" s="128"/>
      <c r="K488" s="128"/>
      <c r="L488" s="128"/>
      <c r="M488" s="128"/>
      <c r="N488" s="128"/>
      <c r="O488" s="128"/>
      <c r="P488" s="128"/>
      <c r="Q488" s="128"/>
      <c r="R488" s="128"/>
      <c r="S488" s="128"/>
      <c r="T488" s="128"/>
      <c r="U488" s="128"/>
      <c r="V488" s="128"/>
      <c r="W488" s="128"/>
      <c r="X488" s="128"/>
    </row>
    <row r="489" spans="1:24" ht="14.25" customHeight="1">
      <c r="A489" s="128"/>
      <c r="B489" s="128"/>
      <c r="C489" s="128"/>
      <c r="D489" s="443"/>
      <c r="E489" s="446"/>
      <c r="F489" s="446"/>
      <c r="G489" s="446"/>
      <c r="H489" s="443"/>
      <c r="I489" s="443"/>
      <c r="J489" s="128"/>
      <c r="K489" s="128"/>
      <c r="L489" s="128"/>
      <c r="M489" s="128"/>
      <c r="N489" s="128"/>
      <c r="O489" s="128"/>
      <c r="P489" s="128"/>
      <c r="Q489" s="128"/>
      <c r="R489" s="128"/>
      <c r="S489" s="128"/>
      <c r="T489" s="128"/>
      <c r="U489" s="128"/>
      <c r="V489" s="128"/>
      <c r="W489" s="128"/>
      <c r="X489" s="128"/>
    </row>
    <row r="490" spans="1:24" ht="14.25" customHeight="1">
      <c r="A490" s="128"/>
      <c r="B490" s="128"/>
      <c r="C490" s="128"/>
      <c r="D490" s="443"/>
      <c r="E490" s="446"/>
      <c r="F490" s="446"/>
      <c r="G490" s="446"/>
      <c r="H490" s="443"/>
      <c r="I490" s="443"/>
      <c r="J490" s="128"/>
      <c r="K490" s="128"/>
      <c r="L490" s="128"/>
      <c r="M490" s="128"/>
      <c r="N490" s="128"/>
      <c r="O490" s="128"/>
      <c r="P490" s="128"/>
      <c r="Q490" s="128"/>
      <c r="R490" s="128"/>
      <c r="S490" s="128"/>
      <c r="T490" s="128"/>
      <c r="U490" s="128"/>
      <c r="V490" s="128"/>
      <c r="W490" s="128"/>
      <c r="X490" s="128"/>
    </row>
    <row r="491" spans="1:24" ht="14.25" customHeight="1">
      <c r="A491" s="128"/>
      <c r="B491" s="128"/>
      <c r="C491" s="128"/>
      <c r="D491" s="443"/>
      <c r="E491" s="446"/>
      <c r="F491" s="446"/>
      <c r="G491" s="446"/>
      <c r="H491" s="443"/>
      <c r="I491" s="443"/>
      <c r="J491" s="128"/>
      <c r="K491" s="128"/>
      <c r="L491" s="128"/>
      <c r="M491" s="128"/>
      <c r="N491" s="128"/>
      <c r="O491" s="128"/>
      <c r="P491" s="128"/>
      <c r="Q491" s="128"/>
      <c r="R491" s="128"/>
      <c r="S491" s="128"/>
      <c r="T491" s="128"/>
      <c r="U491" s="128"/>
      <c r="V491" s="128"/>
      <c r="W491" s="128"/>
      <c r="X491" s="128"/>
    </row>
    <row r="492" spans="1:24" ht="14.25" customHeight="1">
      <c r="A492" s="128"/>
      <c r="B492" s="128"/>
      <c r="C492" s="128"/>
      <c r="D492" s="443"/>
      <c r="E492" s="446"/>
      <c r="F492" s="446"/>
      <c r="G492" s="446"/>
      <c r="H492" s="443"/>
      <c r="I492" s="443"/>
      <c r="J492" s="128"/>
      <c r="K492" s="128"/>
      <c r="L492" s="128"/>
      <c r="M492" s="128"/>
      <c r="N492" s="128"/>
      <c r="O492" s="128"/>
      <c r="P492" s="128"/>
      <c r="Q492" s="128"/>
      <c r="R492" s="128"/>
      <c r="S492" s="128"/>
      <c r="T492" s="128"/>
      <c r="U492" s="128"/>
      <c r="V492" s="128"/>
      <c r="W492" s="128"/>
      <c r="X492" s="128"/>
    </row>
    <row r="493" spans="1:24" ht="14.25" customHeight="1">
      <c r="A493" s="128"/>
      <c r="B493" s="128"/>
      <c r="C493" s="128"/>
      <c r="D493" s="443"/>
      <c r="E493" s="446"/>
      <c r="F493" s="446"/>
      <c r="G493" s="446"/>
      <c r="H493" s="443"/>
      <c r="I493" s="443"/>
      <c r="J493" s="128"/>
      <c r="K493" s="128"/>
      <c r="L493" s="128"/>
      <c r="M493" s="128"/>
      <c r="N493" s="128"/>
      <c r="O493" s="128"/>
      <c r="P493" s="128"/>
      <c r="Q493" s="128"/>
      <c r="R493" s="128"/>
      <c r="S493" s="128"/>
      <c r="T493" s="128"/>
      <c r="U493" s="128"/>
      <c r="V493" s="128"/>
      <c r="W493" s="128"/>
      <c r="X493" s="128"/>
    </row>
    <row r="494" spans="1:24" ht="14.25" customHeight="1">
      <c r="A494" s="128"/>
      <c r="B494" s="128"/>
      <c r="C494" s="128"/>
      <c r="D494" s="443"/>
      <c r="E494" s="446"/>
      <c r="F494" s="446"/>
      <c r="G494" s="446"/>
      <c r="H494" s="443"/>
      <c r="I494" s="443"/>
      <c r="J494" s="128"/>
      <c r="K494" s="128"/>
      <c r="L494" s="128"/>
      <c r="M494" s="128"/>
      <c r="N494" s="128"/>
      <c r="O494" s="128"/>
      <c r="P494" s="128"/>
      <c r="Q494" s="128"/>
      <c r="R494" s="128"/>
      <c r="S494" s="128"/>
      <c r="T494" s="128"/>
      <c r="U494" s="128"/>
      <c r="V494" s="128"/>
      <c r="W494" s="128"/>
      <c r="X494" s="128"/>
    </row>
    <row r="495" spans="1:24" ht="14.25" customHeight="1">
      <c r="A495" s="128"/>
      <c r="B495" s="128"/>
      <c r="C495" s="128"/>
      <c r="D495" s="443"/>
      <c r="E495" s="446"/>
      <c r="F495" s="446"/>
      <c r="G495" s="446"/>
      <c r="H495" s="443"/>
      <c r="I495" s="443"/>
      <c r="J495" s="128"/>
      <c r="K495" s="128"/>
      <c r="L495" s="128"/>
      <c r="M495" s="128"/>
      <c r="N495" s="128"/>
      <c r="O495" s="128"/>
      <c r="P495" s="128"/>
      <c r="Q495" s="128"/>
      <c r="R495" s="128"/>
      <c r="S495" s="128"/>
      <c r="T495" s="128"/>
      <c r="U495" s="128"/>
      <c r="V495" s="128"/>
      <c r="W495" s="128"/>
      <c r="X495" s="128"/>
    </row>
    <row r="496" spans="1:24" ht="14.25" customHeight="1">
      <c r="A496" s="128"/>
      <c r="B496" s="128"/>
      <c r="C496" s="128"/>
      <c r="D496" s="443"/>
      <c r="E496" s="446"/>
      <c r="F496" s="446"/>
      <c r="G496" s="446"/>
      <c r="H496" s="443"/>
      <c r="I496" s="443"/>
      <c r="J496" s="128"/>
      <c r="K496" s="128"/>
      <c r="L496" s="128"/>
      <c r="M496" s="128"/>
      <c r="N496" s="128"/>
      <c r="O496" s="128"/>
      <c r="P496" s="128"/>
      <c r="Q496" s="128"/>
      <c r="R496" s="128"/>
      <c r="S496" s="128"/>
      <c r="T496" s="128"/>
      <c r="U496" s="128"/>
      <c r="V496" s="128"/>
      <c r="W496" s="128"/>
      <c r="X496" s="128"/>
    </row>
    <row r="497" spans="1:24" ht="14.25" customHeight="1">
      <c r="A497" s="128"/>
      <c r="B497" s="128"/>
      <c r="C497" s="128"/>
      <c r="D497" s="443"/>
      <c r="E497" s="446"/>
      <c r="F497" s="446"/>
      <c r="G497" s="446"/>
      <c r="H497" s="443"/>
      <c r="I497" s="443"/>
      <c r="J497" s="128"/>
      <c r="K497" s="128"/>
      <c r="L497" s="128"/>
      <c r="M497" s="128"/>
      <c r="N497" s="128"/>
      <c r="O497" s="128"/>
      <c r="P497" s="128"/>
      <c r="Q497" s="128"/>
      <c r="R497" s="128"/>
      <c r="S497" s="128"/>
      <c r="T497" s="128"/>
      <c r="U497" s="128"/>
      <c r="V497" s="128"/>
      <c r="W497" s="128"/>
      <c r="X497" s="128"/>
    </row>
    <row r="498" spans="1:24" ht="14.25" customHeight="1">
      <c r="A498" s="128"/>
      <c r="B498" s="128"/>
      <c r="C498" s="128"/>
      <c r="D498" s="443"/>
      <c r="E498" s="446"/>
      <c r="F498" s="446"/>
      <c r="G498" s="446"/>
      <c r="H498" s="443"/>
      <c r="I498" s="443"/>
      <c r="J498" s="128"/>
      <c r="K498" s="128"/>
      <c r="L498" s="128"/>
      <c r="M498" s="128"/>
      <c r="N498" s="128"/>
      <c r="O498" s="128"/>
      <c r="P498" s="128"/>
      <c r="Q498" s="128"/>
      <c r="R498" s="128"/>
      <c r="S498" s="128"/>
      <c r="T498" s="128"/>
      <c r="U498" s="128"/>
      <c r="V498" s="128"/>
      <c r="W498" s="128"/>
      <c r="X498" s="128"/>
    </row>
    <row r="499" spans="1:24" ht="14.25" customHeight="1">
      <c r="A499" s="128"/>
      <c r="B499" s="128"/>
      <c r="C499" s="128"/>
      <c r="D499" s="443"/>
      <c r="E499" s="446"/>
      <c r="F499" s="446"/>
      <c r="G499" s="446"/>
      <c r="H499" s="443"/>
      <c r="I499" s="443"/>
      <c r="J499" s="128"/>
      <c r="K499" s="128"/>
      <c r="L499" s="128"/>
      <c r="M499" s="128"/>
      <c r="N499" s="128"/>
      <c r="O499" s="128"/>
      <c r="P499" s="128"/>
      <c r="Q499" s="128"/>
      <c r="R499" s="128"/>
      <c r="S499" s="128"/>
      <c r="T499" s="128"/>
      <c r="U499" s="128"/>
      <c r="V499" s="128"/>
      <c r="W499" s="128"/>
      <c r="X499" s="128"/>
    </row>
    <row r="500" spans="1:24" ht="14.25" customHeight="1">
      <c r="A500" s="128"/>
      <c r="B500" s="128"/>
      <c r="C500" s="128"/>
      <c r="D500" s="443"/>
      <c r="E500" s="446"/>
      <c r="F500" s="446"/>
      <c r="G500" s="446"/>
      <c r="H500" s="443"/>
      <c r="I500" s="443"/>
      <c r="J500" s="128"/>
      <c r="K500" s="128"/>
      <c r="L500" s="128"/>
      <c r="M500" s="128"/>
      <c r="N500" s="128"/>
      <c r="O500" s="128"/>
      <c r="P500" s="128"/>
      <c r="Q500" s="128"/>
      <c r="R500" s="128"/>
      <c r="S500" s="128"/>
      <c r="T500" s="128"/>
      <c r="U500" s="128"/>
      <c r="V500" s="128"/>
      <c r="W500" s="128"/>
      <c r="X500" s="128"/>
    </row>
    <row r="501" spans="1:24" ht="14.25" customHeight="1">
      <c r="A501" s="128"/>
      <c r="B501" s="128"/>
      <c r="C501" s="128"/>
      <c r="D501" s="443"/>
      <c r="E501" s="446"/>
      <c r="F501" s="446"/>
      <c r="G501" s="446"/>
      <c r="H501" s="443"/>
      <c r="I501" s="443"/>
      <c r="J501" s="128"/>
      <c r="K501" s="128"/>
      <c r="L501" s="128"/>
      <c r="M501" s="128"/>
      <c r="N501" s="128"/>
      <c r="O501" s="128"/>
      <c r="P501" s="128"/>
      <c r="Q501" s="128"/>
      <c r="R501" s="128"/>
      <c r="S501" s="128"/>
      <c r="T501" s="128"/>
      <c r="U501" s="128"/>
      <c r="V501" s="128"/>
      <c r="W501" s="128"/>
      <c r="X501" s="128"/>
    </row>
    <row r="502" spans="1:24" ht="14.25" customHeight="1">
      <c r="A502" s="128"/>
      <c r="B502" s="128"/>
      <c r="C502" s="128"/>
      <c r="D502" s="443"/>
      <c r="E502" s="446"/>
      <c r="F502" s="446"/>
      <c r="G502" s="446"/>
      <c r="H502" s="443"/>
      <c r="I502" s="443"/>
      <c r="J502" s="128"/>
      <c r="K502" s="128"/>
      <c r="L502" s="128"/>
      <c r="M502" s="128"/>
      <c r="N502" s="128"/>
      <c r="O502" s="128"/>
      <c r="P502" s="128"/>
      <c r="Q502" s="128"/>
      <c r="R502" s="128"/>
      <c r="S502" s="128"/>
      <c r="T502" s="128"/>
      <c r="U502" s="128"/>
      <c r="V502" s="128"/>
      <c r="W502" s="128"/>
      <c r="X502" s="128"/>
    </row>
    <row r="503" spans="1:24" ht="14.25" customHeight="1">
      <c r="A503" s="128"/>
      <c r="B503" s="128"/>
      <c r="C503" s="128"/>
      <c r="D503" s="443"/>
      <c r="E503" s="446"/>
      <c r="F503" s="446"/>
      <c r="G503" s="446"/>
      <c r="H503" s="443"/>
      <c r="I503" s="443"/>
      <c r="J503" s="128"/>
      <c r="K503" s="128"/>
      <c r="L503" s="128"/>
      <c r="M503" s="128"/>
      <c r="N503" s="128"/>
      <c r="O503" s="128"/>
      <c r="P503" s="128"/>
      <c r="Q503" s="128"/>
      <c r="R503" s="128"/>
      <c r="S503" s="128"/>
      <c r="T503" s="128"/>
      <c r="U503" s="128"/>
      <c r="V503" s="128"/>
      <c r="W503" s="128"/>
      <c r="X503" s="128"/>
    </row>
    <row r="504" spans="1:24" ht="14.25" customHeight="1">
      <c r="A504" s="128"/>
      <c r="B504" s="128"/>
      <c r="C504" s="128"/>
      <c r="D504" s="443"/>
      <c r="E504" s="446"/>
      <c r="F504" s="446"/>
      <c r="G504" s="446"/>
      <c r="H504" s="443"/>
      <c r="I504" s="443"/>
      <c r="J504" s="128"/>
      <c r="K504" s="128"/>
      <c r="L504" s="128"/>
      <c r="M504" s="128"/>
      <c r="N504" s="128"/>
      <c r="O504" s="128"/>
      <c r="P504" s="128"/>
      <c r="Q504" s="128"/>
      <c r="R504" s="128"/>
      <c r="S504" s="128"/>
      <c r="T504" s="128"/>
      <c r="U504" s="128"/>
      <c r="V504" s="128"/>
      <c r="W504" s="128"/>
      <c r="X504" s="128"/>
    </row>
    <row r="505" spans="1:24" ht="14.25" customHeight="1">
      <c r="A505" s="128"/>
      <c r="B505" s="128"/>
      <c r="C505" s="128"/>
      <c r="D505" s="443"/>
      <c r="E505" s="446"/>
      <c r="F505" s="446"/>
      <c r="G505" s="446"/>
      <c r="H505" s="443"/>
      <c r="I505" s="443"/>
      <c r="J505" s="128"/>
      <c r="K505" s="128"/>
      <c r="L505" s="128"/>
      <c r="M505" s="128"/>
      <c r="N505" s="128"/>
      <c r="O505" s="128"/>
      <c r="P505" s="128"/>
      <c r="Q505" s="128"/>
      <c r="R505" s="128"/>
      <c r="S505" s="128"/>
      <c r="T505" s="128"/>
      <c r="U505" s="128"/>
      <c r="V505" s="128"/>
      <c r="W505" s="128"/>
      <c r="X505" s="128"/>
    </row>
    <row r="506" spans="1:24" ht="14.25" customHeight="1">
      <c r="A506" s="128"/>
      <c r="B506" s="128"/>
      <c r="C506" s="128"/>
      <c r="D506" s="443"/>
      <c r="E506" s="446"/>
      <c r="F506" s="446"/>
      <c r="G506" s="446"/>
      <c r="H506" s="443"/>
      <c r="I506" s="443"/>
      <c r="J506" s="128"/>
      <c r="K506" s="128"/>
      <c r="L506" s="128"/>
      <c r="M506" s="128"/>
      <c r="N506" s="128"/>
      <c r="O506" s="128"/>
      <c r="P506" s="128"/>
      <c r="Q506" s="128"/>
      <c r="R506" s="128"/>
      <c r="S506" s="128"/>
      <c r="T506" s="128"/>
      <c r="U506" s="128"/>
      <c r="V506" s="128"/>
      <c r="W506" s="128"/>
      <c r="X506" s="128"/>
    </row>
    <row r="507" spans="1:24" ht="15.75" customHeight="1"/>
    <row r="508" spans="1:24" ht="15.75" customHeight="1"/>
    <row r="509" spans="1:24" ht="15.75" customHeight="1"/>
    <row r="510" spans="1:24" ht="15.75" customHeight="1"/>
    <row r="511" spans="1:24" ht="15.75" customHeight="1"/>
    <row r="512" spans="1:24"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C2:J2"/>
    <mergeCell ref="C3:J3"/>
    <mergeCell ref="C39:I40"/>
    <mergeCell ref="E41:H41"/>
    <mergeCell ref="C99:H100"/>
    <mergeCell ref="A142:A143"/>
    <mergeCell ref="A144:A145"/>
    <mergeCell ref="C202:H202"/>
    <mergeCell ref="C232:C233"/>
    <mergeCell ref="C274:C275"/>
  </mergeCells>
  <pageMargins left="0.7" right="0.7" top="0.75" bottom="0.75" header="0" footer="0"/>
  <pageSetup orientation="portrait"/>
  <rowBreaks count="1" manualBreakCount="1">
    <brk id="147" man="1"/>
  </rowBreaks>
  <colBreaks count="1" manualBreakCount="1">
    <brk id="12" man="1"/>
  </colBreak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baseColWidth="10" defaultColWidth="14.44140625" defaultRowHeight="15" customHeight="1"/>
  <cols>
    <col min="1" max="1" width="4.6640625" customWidth="1"/>
    <col min="2" max="2" width="45.6640625" customWidth="1"/>
    <col min="3" max="3" width="26.88671875" hidden="1" customWidth="1"/>
    <col min="4" max="4" width="24.109375" hidden="1" customWidth="1"/>
    <col min="5" max="5" width="14.6640625" customWidth="1"/>
    <col min="6" max="6" width="13.6640625" customWidth="1"/>
    <col min="7" max="7" width="16.88671875" customWidth="1"/>
    <col min="8" max="9" width="13.6640625" customWidth="1"/>
    <col min="10" max="10" width="11.6640625" customWidth="1"/>
    <col min="11" max="12" width="11.44140625" customWidth="1"/>
    <col min="13" max="13" width="3.33203125" customWidth="1"/>
    <col min="14" max="26" width="11.44140625" customWidth="1"/>
  </cols>
  <sheetData>
    <row r="1" spans="1:26" ht="14.25" customHeight="1">
      <c r="A1" s="128"/>
      <c r="B1" s="128"/>
      <c r="C1" s="128"/>
      <c r="D1" s="128"/>
      <c r="E1" s="128"/>
      <c r="F1" s="128"/>
      <c r="G1" s="128"/>
      <c r="H1" s="128"/>
      <c r="I1" s="128"/>
      <c r="J1" s="128"/>
      <c r="K1" s="128"/>
      <c r="L1" s="128"/>
      <c r="M1" s="128"/>
      <c r="N1" s="128"/>
      <c r="O1" s="128"/>
      <c r="P1" s="128"/>
      <c r="Q1" s="128"/>
      <c r="R1" s="128"/>
      <c r="S1" s="128"/>
      <c r="T1" s="128"/>
      <c r="U1" s="128"/>
      <c r="V1" s="128"/>
      <c r="W1" s="128"/>
      <c r="X1" s="128"/>
      <c r="Y1" s="128"/>
      <c r="Z1" s="128"/>
    </row>
    <row r="2" spans="1:26" ht="14.25" customHeight="1">
      <c r="A2" s="128"/>
      <c r="B2" s="128"/>
      <c r="C2" s="1409"/>
      <c r="D2" s="1345"/>
      <c r="E2" s="1345"/>
      <c r="F2" s="1345"/>
      <c r="G2" s="716"/>
      <c r="H2" s="716"/>
      <c r="I2" s="716"/>
      <c r="J2" s="128"/>
      <c r="K2" s="128"/>
      <c r="L2" s="128"/>
      <c r="M2" s="128"/>
      <c r="N2" s="128"/>
      <c r="O2" s="128"/>
      <c r="P2" s="128"/>
      <c r="Q2" s="128"/>
      <c r="R2" s="128"/>
      <c r="S2" s="128"/>
      <c r="T2" s="128"/>
      <c r="U2" s="128"/>
      <c r="V2" s="128"/>
      <c r="W2" s="128"/>
      <c r="X2" s="128"/>
      <c r="Y2" s="128"/>
      <c r="Z2" s="128"/>
    </row>
    <row r="3" spans="1:26" ht="14.25" customHeight="1">
      <c r="A3" s="128"/>
      <c r="B3" s="128"/>
      <c r="C3" s="128"/>
      <c r="D3" s="128"/>
      <c r="E3" s="128"/>
      <c r="F3" s="128"/>
      <c r="G3" s="128"/>
      <c r="H3" s="128"/>
      <c r="I3" s="128"/>
      <c r="J3" s="128"/>
      <c r="K3" s="128"/>
      <c r="L3" s="128"/>
      <c r="M3" s="128"/>
      <c r="N3" s="128"/>
      <c r="O3" s="128"/>
      <c r="P3" s="128"/>
      <c r="Q3" s="128"/>
      <c r="R3" s="128"/>
      <c r="S3" s="128"/>
      <c r="T3" s="128"/>
      <c r="U3" s="128"/>
      <c r="V3" s="128"/>
      <c r="W3" s="128"/>
      <c r="X3" s="128"/>
      <c r="Y3" s="128"/>
      <c r="Z3" s="128"/>
    </row>
    <row r="4" spans="1:26" ht="14.25" customHeight="1">
      <c r="A4" s="128"/>
      <c r="B4" s="128"/>
      <c r="C4" s="1414"/>
      <c r="D4" s="1334"/>
      <c r="E4" s="1334"/>
      <c r="F4" s="1334"/>
      <c r="G4" s="1334"/>
      <c r="H4" s="450"/>
      <c r="I4" s="450"/>
      <c r="J4" s="128"/>
      <c r="K4" s="128"/>
      <c r="L4" s="128"/>
      <c r="M4" s="128"/>
      <c r="N4" s="128"/>
      <c r="O4" s="128"/>
      <c r="P4" s="128"/>
      <c r="Q4" s="128"/>
      <c r="R4" s="128"/>
      <c r="S4" s="128"/>
      <c r="T4" s="128"/>
      <c r="U4" s="128"/>
      <c r="V4" s="128"/>
      <c r="W4" s="128"/>
      <c r="X4" s="128"/>
      <c r="Y4" s="128"/>
      <c r="Z4" s="128"/>
    </row>
    <row r="5" spans="1:26" ht="14.25" customHeight="1">
      <c r="A5" s="128"/>
      <c r="B5" s="128"/>
      <c r="C5" s="717">
        <v>2019</v>
      </c>
      <c r="D5" s="717">
        <f>+C5+1</f>
        <v>2020</v>
      </c>
      <c r="E5" s="717">
        <f>+D5+1</f>
        <v>2021</v>
      </c>
      <c r="F5" s="717">
        <f>+E5+1</f>
        <v>2022</v>
      </c>
      <c r="G5" s="718">
        <f>+F5+1</f>
        <v>2023</v>
      </c>
      <c r="H5" s="717">
        <v>2024</v>
      </c>
      <c r="I5" s="719">
        <v>2025</v>
      </c>
      <c r="J5" s="128"/>
      <c r="K5" s="128"/>
      <c r="L5" s="128"/>
      <c r="M5" s="128"/>
      <c r="N5" s="128"/>
      <c r="O5" s="128"/>
      <c r="P5" s="128"/>
      <c r="Q5" s="128"/>
      <c r="R5" s="128"/>
      <c r="S5" s="128"/>
      <c r="T5" s="128"/>
      <c r="U5" s="128"/>
      <c r="V5" s="128"/>
      <c r="W5" s="128"/>
      <c r="X5" s="128"/>
      <c r="Y5" s="128"/>
      <c r="Z5" s="128"/>
    </row>
    <row r="6" spans="1:26" ht="14.25" customHeight="1">
      <c r="A6" s="128"/>
      <c r="B6" s="720" t="s">
        <v>417</v>
      </c>
      <c r="C6" s="721">
        <f>'1. Datos'!D30</f>
        <v>0</v>
      </c>
      <c r="D6" s="721">
        <f>'1. Datos'!E30</f>
        <v>0</v>
      </c>
      <c r="E6" s="721">
        <f>'1. Datos'!F30</f>
        <v>0</v>
      </c>
      <c r="F6" s="721">
        <f>'1. Datos'!G30</f>
        <v>0</v>
      </c>
      <c r="G6" s="721">
        <f>'1. Datos'!H30</f>
        <v>0</v>
      </c>
      <c r="H6" s="721">
        <f>'1. Datos'!I30</f>
        <v>0</v>
      </c>
      <c r="I6" s="721">
        <f>'1. Datos'!J30</f>
        <v>0</v>
      </c>
      <c r="J6" s="128"/>
      <c r="K6" s="722"/>
      <c r="L6" s="722"/>
      <c r="M6" s="723"/>
      <c r="N6" s="724"/>
      <c r="O6" s="128"/>
      <c r="P6" s="128"/>
      <c r="Q6" s="128"/>
      <c r="R6" s="128"/>
      <c r="S6" s="128"/>
      <c r="T6" s="128"/>
      <c r="U6" s="128"/>
      <c r="V6" s="128"/>
      <c r="W6" s="128"/>
      <c r="X6" s="128"/>
      <c r="Y6" s="128"/>
      <c r="Z6" s="128"/>
    </row>
    <row r="7" spans="1:26" ht="18" customHeight="1">
      <c r="A7" s="128"/>
      <c r="B7" s="725" t="s">
        <v>357</v>
      </c>
      <c r="C7" s="721">
        <f>+'1. Datos'!D135</f>
        <v>0</v>
      </c>
      <c r="D7" s="721">
        <f>+'1. Datos'!E135</f>
        <v>0</v>
      </c>
      <c r="E7" s="721">
        <f>+'1. Datos'!F135</f>
        <v>0</v>
      </c>
      <c r="F7" s="721">
        <f>+'1. Datos'!G135</f>
        <v>0</v>
      </c>
      <c r="G7" s="721">
        <f>+'1. Datos'!H135</f>
        <v>0</v>
      </c>
      <c r="H7" s="721">
        <f>+'1. Datos'!I135</f>
        <v>0</v>
      </c>
      <c r="I7" s="721">
        <f>+'1. Datos'!J135</f>
        <v>0</v>
      </c>
      <c r="J7" s="128"/>
      <c r="K7" s="128"/>
      <c r="L7" s="128"/>
      <c r="M7" s="128"/>
      <c r="N7" s="128"/>
      <c r="O7" s="128"/>
      <c r="P7" s="128"/>
      <c r="Q7" s="128"/>
      <c r="R7" s="128"/>
      <c r="S7" s="128"/>
      <c r="T7" s="128"/>
      <c r="U7" s="128"/>
      <c r="V7" s="128"/>
      <c r="W7" s="128"/>
      <c r="X7" s="128"/>
      <c r="Y7" s="128"/>
      <c r="Z7" s="128"/>
    </row>
    <row r="8" spans="1:26" ht="15.75" customHeight="1">
      <c r="A8" s="128"/>
      <c r="B8" s="726" t="s">
        <v>418</v>
      </c>
      <c r="C8" s="727" t="e">
        <f>C6/C7</f>
        <v>#DIV/0!</v>
      </c>
      <c r="D8" s="727" t="e">
        <f>D6/D7</f>
        <v>#DIV/0!</v>
      </c>
      <c r="E8" s="727" t="e">
        <f>E6/E7</f>
        <v>#DIV/0!</v>
      </c>
      <c r="F8" s="727" t="e">
        <f>F6/F7</f>
        <v>#DIV/0!</v>
      </c>
      <c r="G8" s="727" t="e">
        <f>G6/G7</f>
        <v>#DIV/0!</v>
      </c>
      <c r="H8" s="727" t="e">
        <f>H6/H7</f>
        <v>#DIV/0!</v>
      </c>
      <c r="I8" s="727" t="e">
        <f>I6/I7</f>
        <v>#DIV/0!</v>
      </c>
      <c r="J8" s="128"/>
      <c r="K8" s="1411" t="s">
        <v>419</v>
      </c>
      <c r="L8" s="1348"/>
      <c r="M8" s="128"/>
      <c r="N8" s="1412" t="e">
        <f>AVERAGE(E11:H11)</f>
        <v>#DIV/0!</v>
      </c>
      <c r="O8" s="128"/>
      <c r="P8" s="128"/>
      <c r="Q8" s="128"/>
      <c r="R8" s="128"/>
      <c r="S8" s="128"/>
      <c r="T8" s="128"/>
      <c r="U8" s="128"/>
      <c r="V8" s="128"/>
      <c r="W8" s="128"/>
      <c r="X8" s="128"/>
      <c r="Y8" s="128"/>
      <c r="Z8" s="128"/>
    </row>
    <row r="9" spans="1:26" ht="14.25" customHeight="1">
      <c r="A9" s="128"/>
      <c r="B9" s="728" t="s">
        <v>420</v>
      </c>
      <c r="C9" s="729">
        <v>0</v>
      </c>
      <c r="D9" s="729">
        <v>0</v>
      </c>
      <c r="E9" s="729">
        <v>0</v>
      </c>
      <c r="F9" s="729">
        <v>0</v>
      </c>
      <c r="G9" s="729">
        <v>0</v>
      </c>
      <c r="H9" s="729">
        <v>0</v>
      </c>
      <c r="I9" s="729">
        <v>0</v>
      </c>
      <c r="J9" s="128"/>
      <c r="K9" s="1406"/>
      <c r="L9" s="1374"/>
      <c r="M9" s="128"/>
      <c r="N9" s="1408"/>
      <c r="O9" s="128"/>
      <c r="P9" s="128"/>
      <c r="Q9" s="128"/>
      <c r="R9" s="128"/>
      <c r="S9" s="128"/>
      <c r="T9" s="128"/>
      <c r="U9" s="128"/>
      <c r="V9" s="128"/>
      <c r="W9" s="128"/>
      <c r="X9" s="128"/>
      <c r="Y9" s="128"/>
      <c r="Z9" s="128"/>
    </row>
    <row r="10" spans="1:26" ht="14.25" customHeight="1">
      <c r="A10" s="128"/>
      <c r="B10" s="730" t="s">
        <v>421</v>
      </c>
      <c r="C10" s="151" t="e">
        <f>C9/C6</f>
        <v>#DIV/0!</v>
      </c>
      <c r="D10" s="151" t="e">
        <f>D9/D6</f>
        <v>#DIV/0!</v>
      </c>
      <c r="E10" s="151" t="e">
        <f>E9/E6</f>
        <v>#DIV/0!</v>
      </c>
      <c r="F10" s="151" t="e">
        <f>F9/F6</f>
        <v>#DIV/0!</v>
      </c>
      <c r="G10" s="151" t="e">
        <f>G9/G6</f>
        <v>#DIV/0!</v>
      </c>
      <c r="H10" s="151" t="e">
        <f>H9/H6</f>
        <v>#DIV/0!</v>
      </c>
      <c r="I10" s="151" t="e">
        <f>I9/I6</f>
        <v>#DIV/0!</v>
      </c>
      <c r="J10" s="128"/>
      <c r="K10" s="128"/>
      <c r="L10" s="128"/>
      <c r="M10" s="128"/>
      <c r="N10" s="128"/>
      <c r="O10" s="128"/>
      <c r="P10" s="128"/>
      <c r="Q10" s="128"/>
      <c r="R10" s="128"/>
      <c r="S10" s="128"/>
      <c r="T10" s="128"/>
      <c r="U10" s="128"/>
      <c r="V10" s="128"/>
      <c r="W10" s="128"/>
      <c r="X10" s="128"/>
      <c r="Y10" s="128"/>
      <c r="Z10" s="128"/>
    </row>
    <row r="11" spans="1:26" ht="14.25" customHeight="1">
      <c r="A11" s="128"/>
      <c r="B11" s="731" t="s">
        <v>422</v>
      </c>
      <c r="C11" s="732" t="e">
        <f>1-C10</f>
        <v>#DIV/0!</v>
      </c>
      <c r="D11" s="732" t="e">
        <f>1-D10</f>
        <v>#DIV/0!</v>
      </c>
      <c r="E11" s="732" t="e">
        <f>1-E10</f>
        <v>#DIV/0!</v>
      </c>
      <c r="F11" s="732" t="e">
        <f>1-F10</f>
        <v>#DIV/0!</v>
      </c>
      <c r="G11" s="732" t="e">
        <f>1-G10</f>
        <v>#DIV/0!</v>
      </c>
      <c r="H11" s="732" t="e">
        <f>1-H10</f>
        <v>#DIV/0!</v>
      </c>
      <c r="I11" s="732" t="e">
        <f>1-I10</f>
        <v>#DIV/0!</v>
      </c>
      <c r="J11" s="128"/>
      <c r="K11" s="1411" t="s">
        <v>423</v>
      </c>
      <c r="L11" s="1348"/>
      <c r="M11" s="128"/>
      <c r="N11" s="733" t="e">
        <f>+AVERAGE(F12:I12)</f>
        <v>#DIV/0!</v>
      </c>
      <c r="O11" s="128"/>
      <c r="P11" s="128"/>
      <c r="Q11" s="128"/>
      <c r="R11" s="128"/>
      <c r="S11" s="128"/>
      <c r="T11" s="128"/>
      <c r="U11" s="128"/>
      <c r="V11" s="128"/>
      <c r="W11" s="128"/>
      <c r="X11" s="128"/>
      <c r="Y11" s="128"/>
      <c r="Z11" s="128"/>
    </row>
    <row r="12" spans="1:26" ht="14.25" customHeight="1">
      <c r="A12" s="128"/>
      <c r="B12" s="734" t="s">
        <v>424</v>
      </c>
      <c r="C12" s="727" t="e">
        <f>C8*C11</f>
        <v>#DIV/0!</v>
      </c>
      <c r="D12" s="727" t="e">
        <f>D8*D11</f>
        <v>#DIV/0!</v>
      </c>
      <c r="E12" s="727" t="e">
        <f>E8*E11</f>
        <v>#DIV/0!</v>
      </c>
      <c r="F12" s="727" t="e">
        <f>F8*F11</f>
        <v>#DIV/0!</v>
      </c>
      <c r="G12" s="727" t="e">
        <f>G8*G11</f>
        <v>#DIV/0!</v>
      </c>
      <c r="H12" s="727" t="e">
        <f>H8*H11</f>
        <v>#DIV/0!</v>
      </c>
      <c r="I12" s="727" t="e">
        <f>I8*I11</f>
        <v>#DIV/0!</v>
      </c>
      <c r="J12" s="128"/>
      <c r="K12" s="1406"/>
      <c r="L12" s="1374"/>
      <c r="M12" s="128"/>
      <c r="N12" s="735"/>
      <c r="O12" s="128"/>
      <c r="P12" s="128"/>
      <c r="Q12" s="128"/>
      <c r="R12" s="128"/>
      <c r="S12" s="128"/>
      <c r="T12" s="128"/>
      <c r="U12" s="128"/>
      <c r="V12" s="128"/>
      <c r="W12" s="128"/>
      <c r="X12" s="128"/>
      <c r="Y12" s="128"/>
      <c r="Z12" s="128"/>
    </row>
    <row r="13" spans="1:26" ht="14.25" customHeight="1">
      <c r="A13" s="128"/>
      <c r="B13" s="128"/>
      <c r="C13" s="583"/>
      <c r="D13" s="583"/>
      <c r="E13" s="583"/>
      <c r="F13" s="583"/>
      <c r="G13" s="583"/>
      <c r="H13" s="583"/>
      <c r="I13" s="583"/>
      <c r="J13" s="192"/>
      <c r="K13" s="583"/>
      <c r="L13" s="128"/>
      <c r="M13" s="128"/>
      <c r="N13" s="128"/>
      <c r="O13" s="128"/>
      <c r="P13" s="128"/>
      <c r="Q13" s="128"/>
      <c r="R13" s="128"/>
      <c r="S13" s="128"/>
      <c r="T13" s="128"/>
      <c r="U13" s="128"/>
      <c r="V13" s="128"/>
      <c r="W13" s="128"/>
      <c r="X13" s="128"/>
      <c r="Y13" s="128"/>
      <c r="Z13" s="128"/>
    </row>
    <row r="14" spans="1:26" ht="15.75" customHeight="1">
      <c r="A14" s="128"/>
      <c r="B14" s="1415" t="s">
        <v>425</v>
      </c>
      <c r="C14" s="1347"/>
      <c r="D14" s="1347"/>
      <c r="E14" s="1347"/>
      <c r="F14" s="1347"/>
      <c r="G14" s="1348"/>
      <c r="H14" s="736"/>
      <c r="I14" s="736"/>
      <c r="J14" s="192"/>
      <c r="K14" s="583"/>
      <c r="L14" s="1411" t="s">
        <v>426</v>
      </c>
      <c r="M14" s="1348"/>
      <c r="N14" s="733" t="e">
        <f>+GEOMEAN(F12,I12)</f>
        <v>#DIV/0!</v>
      </c>
      <c r="O14" s="128"/>
      <c r="P14" s="128"/>
      <c r="Q14" s="128"/>
      <c r="R14" s="128"/>
      <c r="S14" s="128"/>
      <c r="T14" s="128"/>
      <c r="U14" s="128"/>
      <c r="V14" s="128"/>
      <c r="W14" s="128"/>
      <c r="X14" s="128"/>
      <c r="Y14" s="128"/>
      <c r="Z14" s="128"/>
    </row>
    <row r="15" spans="1:26" ht="15.75" customHeight="1">
      <c r="A15" s="128"/>
      <c r="B15" s="1416"/>
      <c r="C15" s="1334"/>
      <c r="D15" s="1334"/>
      <c r="E15" s="1334"/>
      <c r="F15" s="1334"/>
      <c r="G15" s="1353"/>
      <c r="H15" s="736"/>
      <c r="I15" s="736"/>
      <c r="J15" s="192"/>
      <c r="K15" s="737" t="s">
        <v>427</v>
      </c>
      <c r="L15" s="1406"/>
      <c r="M15" s="1374"/>
      <c r="N15" s="738"/>
      <c r="O15" s="739"/>
      <c r="P15" s="128"/>
      <c r="Q15" s="128"/>
      <c r="R15" s="128"/>
      <c r="S15" s="128"/>
      <c r="T15" s="128"/>
      <c r="U15" s="128"/>
      <c r="V15" s="128"/>
      <c r="W15" s="128"/>
      <c r="X15" s="128"/>
      <c r="Y15" s="128"/>
      <c r="Z15" s="128"/>
    </row>
    <row r="16" spans="1:26" ht="15.75" customHeight="1">
      <c r="A16" s="740"/>
      <c r="B16" s="1406"/>
      <c r="C16" s="1373"/>
      <c r="D16" s="1373"/>
      <c r="E16" s="1373"/>
      <c r="F16" s="1373"/>
      <c r="G16" s="1374"/>
      <c r="H16" s="736"/>
      <c r="I16" s="736"/>
      <c r="J16" s="192"/>
      <c r="K16" s="583"/>
      <c r="L16" s="128"/>
      <c r="M16" s="128"/>
      <c r="N16" s="128"/>
      <c r="O16" s="128"/>
      <c r="P16" s="128"/>
      <c r="Q16" s="128"/>
      <c r="R16" s="128"/>
      <c r="S16" s="128"/>
      <c r="T16" s="128"/>
      <c r="U16" s="128"/>
      <c r="V16" s="128"/>
      <c r="W16" s="128"/>
      <c r="X16" s="128"/>
      <c r="Y16" s="128"/>
      <c r="Z16" s="128"/>
    </row>
    <row r="17" spans="1:26" ht="16.5" customHeight="1">
      <c r="A17" s="128"/>
      <c r="B17" s="741" t="s">
        <v>328</v>
      </c>
      <c r="C17" s="742">
        <f>+'1. Datos'!D44</f>
        <v>0</v>
      </c>
      <c r="D17" s="742">
        <f>+'1. Datos'!E44</f>
        <v>6046273</v>
      </c>
      <c r="E17" s="742">
        <f>+'1. Datos'!F44</f>
        <v>0</v>
      </c>
      <c r="F17" s="742">
        <f>+'1. Datos'!G44</f>
        <v>0</v>
      </c>
      <c r="G17" s="742">
        <f>+'1. Datos'!H44</f>
        <v>0</v>
      </c>
      <c r="H17" s="742">
        <f>+'1. Datos'!I44</f>
        <v>0</v>
      </c>
      <c r="I17" s="583">
        <f>+'1. Datos'!J44</f>
        <v>0</v>
      </c>
      <c r="J17" s="743"/>
      <c r="K17" s="583"/>
      <c r="L17" s="583"/>
      <c r="M17" s="583"/>
      <c r="N17" s="583"/>
      <c r="O17" s="583"/>
      <c r="P17" s="583"/>
      <c r="Q17" s="583"/>
      <c r="R17" s="128"/>
      <c r="S17" s="128"/>
      <c r="T17" s="128"/>
      <c r="U17" s="128"/>
      <c r="V17" s="128"/>
      <c r="W17" s="128"/>
      <c r="X17" s="128"/>
      <c r="Y17" s="128"/>
      <c r="Z17" s="128"/>
    </row>
    <row r="18" spans="1:26" ht="14.25" customHeight="1">
      <c r="A18" s="128"/>
      <c r="B18" s="744" t="s">
        <v>345</v>
      </c>
      <c r="C18" s="721">
        <f>+'1. Datos'!D104</f>
        <v>0</v>
      </c>
      <c r="D18" s="721">
        <f>+'1. Datos'!E104</f>
        <v>0</v>
      </c>
      <c r="E18" s="721">
        <f>+'1. Datos'!F104</f>
        <v>0</v>
      </c>
      <c r="F18" s="721">
        <f>+'1. Datos'!G104</f>
        <v>0</v>
      </c>
      <c r="G18" s="721">
        <f>+'1. Datos'!H104</f>
        <v>0</v>
      </c>
      <c r="H18" s="721">
        <f>+'1. Datos'!I104</f>
        <v>0</v>
      </c>
      <c r="I18" s="583">
        <f>+'1. Datos'!J104</f>
        <v>0</v>
      </c>
      <c r="J18" s="128"/>
      <c r="K18" s="128"/>
      <c r="L18" s="128"/>
      <c r="M18" s="128"/>
      <c r="N18" s="128"/>
      <c r="O18" s="128"/>
      <c r="P18" s="128"/>
      <c r="Q18" s="128"/>
      <c r="R18" s="128"/>
      <c r="S18" s="128"/>
      <c r="T18" s="128"/>
      <c r="U18" s="128"/>
      <c r="V18" s="128"/>
      <c r="W18" s="128"/>
      <c r="X18" s="128"/>
      <c r="Y18" s="128"/>
      <c r="Z18" s="128"/>
    </row>
    <row r="19" spans="1:26" ht="14.25" customHeight="1">
      <c r="A19" s="128"/>
      <c r="B19" s="744" t="s">
        <v>428</v>
      </c>
      <c r="C19" s="721">
        <f>+C17-C18</f>
        <v>0</v>
      </c>
      <c r="D19" s="721">
        <f>+D17-D18</f>
        <v>6046273</v>
      </c>
      <c r="E19" s="721">
        <f>+E17-E18</f>
        <v>0</v>
      </c>
      <c r="F19" s="721">
        <f>+F17-F18</f>
        <v>0</v>
      </c>
      <c r="G19" s="721">
        <f>+G17-G18</f>
        <v>0</v>
      </c>
      <c r="H19" s="721">
        <f>+H17-H18</f>
        <v>0</v>
      </c>
      <c r="I19" s="583">
        <f>+I17-I18</f>
        <v>0</v>
      </c>
      <c r="J19" s="128"/>
      <c r="K19" s="128"/>
      <c r="L19" s="128"/>
      <c r="M19" s="128"/>
      <c r="N19" s="128"/>
      <c r="O19" s="128"/>
      <c r="P19" s="128"/>
      <c r="Q19" s="128"/>
      <c r="R19" s="128"/>
      <c r="S19" s="128"/>
      <c r="T19" s="128"/>
      <c r="U19" s="128"/>
      <c r="V19" s="128"/>
      <c r="W19" s="128"/>
      <c r="X19" s="128"/>
      <c r="Y19" s="128"/>
      <c r="Z19" s="128"/>
    </row>
    <row r="20" spans="1:26" ht="14.25" customHeight="1">
      <c r="A20" s="128">
        <v>3</v>
      </c>
      <c r="B20" s="745" t="s">
        <v>429</v>
      </c>
      <c r="C20" s="746">
        <f>C19</f>
        <v>0</v>
      </c>
      <c r="D20" s="746">
        <f>D19</f>
        <v>6046273</v>
      </c>
      <c r="E20" s="746">
        <f>E19</f>
        <v>0</v>
      </c>
      <c r="F20" s="746">
        <f>F19</f>
        <v>0</v>
      </c>
      <c r="G20" s="746">
        <f>G19</f>
        <v>0</v>
      </c>
      <c r="H20" s="746">
        <f>H19</f>
        <v>0</v>
      </c>
      <c r="I20" s="747">
        <f>I19</f>
        <v>0</v>
      </c>
      <c r="J20" s="128"/>
      <c r="K20" s="128"/>
      <c r="L20" s="128"/>
      <c r="M20" s="128"/>
      <c r="N20" s="1407" t="e">
        <f>AVERAGE(D21:H21)</f>
        <v>#DIV/0!</v>
      </c>
      <c r="O20" s="128"/>
      <c r="P20" s="128"/>
      <c r="Q20" s="128"/>
      <c r="R20" s="128"/>
      <c r="S20" s="128"/>
      <c r="T20" s="128"/>
      <c r="U20" s="128"/>
      <c r="V20" s="128"/>
      <c r="W20" s="128"/>
      <c r="X20" s="128"/>
      <c r="Y20" s="128"/>
      <c r="Z20" s="128"/>
    </row>
    <row r="21" spans="1:26" ht="14.25" customHeight="1">
      <c r="A21" s="128"/>
      <c r="B21" s="128"/>
      <c r="C21" s="614">
        <v>0</v>
      </c>
      <c r="D21" s="614"/>
      <c r="E21" s="614"/>
      <c r="F21" s="614" t="e">
        <f>+F22/E22-1</f>
        <v>#DIV/0!</v>
      </c>
      <c r="G21" s="614" t="e">
        <f>+G22/F22-1</f>
        <v>#DIV/0!</v>
      </c>
      <c r="H21" s="614" t="e">
        <f>+H22/G22-1</f>
        <v>#DIV/0!</v>
      </c>
      <c r="I21" s="614" t="e">
        <f>+I22/H22-1</f>
        <v>#DIV/0!</v>
      </c>
      <c r="J21" s="128"/>
      <c r="K21" s="128"/>
      <c r="L21" s="128"/>
      <c r="M21" s="128"/>
      <c r="N21" s="1408"/>
      <c r="O21" s="128"/>
      <c r="P21" s="128"/>
      <c r="Q21" s="128"/>
      <c r="R21" s="128"/>
      <c r="S21" s="128"/>
      <c r="T21" s="128"/>
      <c r="U21" s="128"/>
      <c r="V21" s="128"/>
      <c r="W21" s="128"/>
      <c r="X21" s="128"/>
      <c r="Y21" s="128"/>
      <c r="Z21" s="128"/>
    </row>
    <row r="22" spans="1:26" ht="15" customHeight="1">
      <c r="A22" s="128"/>
      <c r="B22" s="720" t="s">
        <v>430</v>
      </c>
      <c r="C22" s="721">
        <f>+'1. Datos'!D19</f>
        <v>0</v>
      </c>
      <c r="D22" s="721">
        <f>+'1. Datos'!E19</f>
        <v>0</v>
      </c>
      <c r="E22" s="721">
        <f>+'1. Datos'!F19</f>
        <v>0</v>
      </c>
      <c r="F22" s="721">
        <f>+'1. Datos'!G19</f>
        <v>0</v>
      </c>
      <c r="G22" s="721">
        <f>+'1. Datos'!H19</f>
        <v>0</v>
      </c>
      <c r="H22" s="721">
        <f>+'1. Datos'!I19</f>
        <v>0</v>
      </c>
      <c r="I22" s="583">
        <f>+'1. Datos'!K19</f>
        <v>0</v>
      </c>
      <c r="J22" s="128"/>
      <c r="K22" s="128"/>
      <c r="L22" s="128"/>
      <c r="M22" s="128"/>
      <c r="N22" s="128"/>
      <c r="O22" s="128"/>
      <c r="P22" s="128"/>
      <c r="Q22" s="128"/>
      <c r="R22" s="128"/>
      <c r="S22" s="128"/>
      <c r="T22" s="128"/>
      <c r="U22" s="128"/>
      <c r="V22" s="128"/>
      <c r="W22" s="128"/>
      <c r="X22" s="128"/>
      <c r="Y22" s="128"/>
      <c r="Z22" s="128"/>
    </row>
    <row r="23" spans="1:26" ht="14.25" customHeight="1">
      <c r="A23" s="128"/>
      <c r="B23" s="725" t="s">
        <v>431</v>
      </c>
      <c r="C23" s="721">
        <f>+'1. Datos'!D25</f>
        <v>0</v>
      </c>
      <c r="D23" s="721">
        <f>+'1. Datos'!E25</f>
        <v>0</v>
      </c>
      <c r="E23" s="721">
        <f>+'1. Datos'!F25</f>
        <v>0</v>
      </c>
      <c r="F23" s="721">
        <f>+'1. Datos'!G25</f>
        <v>0</v>
      </c>
      <c r="G23" s="721">
        <f>+'1. Datos'!H25</f>
        <v>0</v>
      </c>
      <c r="H23" s="721">
        <f>+'1. Datos'!I25</f>
        <v>0</v>
      </c>
      <c r="I23" s="583">
        <f>+'1. Datos'!J25</f>
        <v>0</v>
      </c>
      <c r="J23" s="128"/>
      <c r="K23" s="128"/>
      <c r="L23" s="128"/>
      <c r="M23" s="128"/>
      <c r="N23" s="128"/>
      <c r="O23" s="128"/>
      <c r="P23" s="128"/>
      <c r="Q23" s="128"/>
      <c r="R23" s="128"/>
      <c r="S23" s="128"/>
      <c r="T23" s="128"/>
      <c r="U23" s="128"/>
      <c r="V23" s="128"/>
      <c r="W23" s="128"/>
      <c r="X23" s="128"/>
      <c r="Y23" s="128"/>
      <c r="Z23" s="128"/>
    </row>
    <row r="24" spans="1:26" ht="14.25" customHeight="1">
      <c r="A24" s="128"/>
      <c r="B24" s="748" t="s">
        <v>432</v>
      </c>
      <c r="C24" s="721">
        <f>+C22</f>
        <v>0</v>
      </c>
      <c r="D24" s="721">
        <f>+D22</f>
        <v>0</v>
      </c>
      <c r="E24" s="721">
        <f>+E22</f>
        <v>0</v>
      </c>
      <c r="F24" s="721">
        <f>+F22</f>
        <v>0</v>
      </c>
      <c r="G24" s="721">
        <f>+G22</f>
        <v>0</v>
      </c>
      <c r="H24" s="721">
        <f>+H22</f>
        <v>0</v>
      </c>
      <c r="I24" s="583">
        <f>+I22</f>
        <v>0</v>
      </c>
      <c r="J24" s="128"/>
      <c r="K24" s="128"/>
      <c r="L24" s="128"/>
      <c r="M24" s="128"/>
      <c r="N24" s="128"/>
      <c r="O24" s="128"/>
      <c r="P24" s="128"/>
      <c r="Q24" s="128"/>
      <c r="R24" s="128"/>
      <c r="S24" s="128"/>
      <c r="T24" s="128"/>
      <c r="U24" s="128"/>
      <c r="V24" s="128"/>
      <c r="W24" s="128"/>
      <c r="X24" s="128"/>
      <c r="Y24" s="128"/>
      <c r="Z24" s="128"/>
    </row>
    <row r="25" spans="1:26" ht="14.25" customHeight="1">
      <c r="A25" s="128"/>
      <c r="B25" s="725" t="s">
        <v>433</v>
      </c>
      <c r="C25" s="749">
        <v>0.3</v>
      </c>
      <c r="D25" s="749">
        <v>0.3</v>
      </c>
      <c r="E25" s="749">
        <v>0.3</v>
      </c>
      <c r="F25" s="749">
        <v>0.3</v>
      </c>
      <c r="G25" s="749">
        <v>0.3</v>
      </c>
      <c r="H25" s="749">
        <v>0.3</v>
      </c>
      <c r="I25" s="750">
        <v>0.3</v>
      </c>
      <c r="J25" s="192"/>
      <c r="K25" s="128"/>
      <c r="L25" s="128"/>
      <c r="M25" s="128"/>
      <c r="N25" s="128"/>
      <c r="O25" s="128"/>
      <c r="P25" s="128"/>
      <c r="Q25" s="128"/>
      <c r="R25" s="128"/>
      <c r="S25" s="128"/>
      <c r="T25" s="128"/>
      <c r="U25" s="128"/>
      <c r="V25" s="128"/>
      <c r="W25" s="128"/>
      <c r="X25" s="128"/>
      <c r="Y25" s="128"/>
      <c r="Z25" s="128"/>
    </row>
    <row r="26" spans="1:26" ht="14.25" customHeight="1">
      <c r="A26" s="128"/>
      <c r="B26" s="748" t="s">
        <v>434</v>
      </c>
      <c r="C26" s="751">
        <f>C22*(1-C25)</f>
        <v>0</v>
      </c>
      <c r="D26" s="751">
        <f>D22*(1-D25)</f>
        <v>0</v>
      </c>
      <c r="E26" s="751">
        <f>E22*(1-E25)</f>
        <v>0</v>
      </c>
      <c r="F26" s="751">
        <f>F22*(1-F25)</f>
        <v>0</v>
      </c>
      <c r="G26" s="751">
        <f>G22*(1-G25)</f>
        <v>0</v>
      </c>
      <c r="H26" s="751">
        <f>H22*(1-H25)</f>
        <v>0</v>
      </c>
      <c r="I26" s="752">
        <f>I22*(1-I25)</f>
        <v>0</v>
      </c>
      <c r="J26" s="192"/>
      <c r="K26" s="128"/>
      <c r="L26" s="128"/>
      <c r="M26" s="128"/>
      <c r="N26" s="128"/>
      <c r="O26" s="128"/>
      <c r="P26" s="128"/>
      <c r="Q26" s="128"/>
      <c r="R26" s="128"/>
      <c r="S26" s="128"/>
      <c r="T26" s="128"/>
      <c r="U26" s="128"/>
      <c r="V26" s="128"/>
      <c r="W26" s="128"/>
      <c r="X26" s="128"/>
      <c r="Y26" s="128"/>
      <c r="Z26" s="128"/>
    </row>
    <row r="27" spans="1:26" ht="14.25" customHeight="1">
      <c r="A27" s="128"/>
      <c r="B27" s="725" t="s">
        <v>435</v>
      </c>
      <c r="C27" s="721">
        <v>0</v>
      </c>
      <c r="D27" s="721">
        <f>-'1. Datos'!E98</f>
        <v>0</v>
      </c>
      <c r="E27" s="721">
        <f>+-'1. Datos'!F98</f>
        <v>0</v>
      </c>
      <c r="F27" s="721">
        <f>+-'1. Datos'!G98</f>
        <v>0</v>
      </c>
      <c r="G27" s="721">
        <f>+-'1. Datos'!H98</f>
        <v>0</v>
      </c>
      <c r="H27" s="721">
        <f>+-'1. Datos'!I98</f>
        <v>0</v>
      </c>
      <c r="I27" s="721">
        <f>+-'1. Datos'!J98</f>
        <v>0</v>
      </c>
      <c r="J27" s="128"/>
      <c r="K27" s="51"/>
      <c r="L27" s="128"/>
      <c r="M27" s="128"/>
      <c r="N27" s="128"/>
      <c r="O27" s="128"/>
      <c r="P27" s="128"/>
      <c r="Q27" s="128"/>
      <c r="R27" s="128"/>
      <c r="S27" s="128"/>
      <c r="T27" s="128"/>
      <c r="U27" s="128"/>
      <c r="V27" s="128"/>
      <c r="W27" s="128"/>
      <c r="X27" s="128"/>
      <c r="Y27" s="128"/>
      <c r="Z27" s="128"/>
    </row>
    <row r="28" spans="1:26" ht="14.25" customHeight="1">
      <c r="A28" s="128"/>
      <c r="B28" s="734" t="s">
        <v>436</v>
      </c>
      <c r="C28" s="753">
        <f>C27+C26</f>
        <v>0</v>
      </c>
      <c r="D28" s="753">
        <f>D27+D26</f>
        <v>0</v>
      </c>
      <c r="E28" s="753">
        <f>E27+E26</f>
        <v>0</v>
      </c>
      <c r="F28" s="753">
        <f>F27+F26</f>
        <v>0</v>
      </c>
      <c r="G28" s="753">
        <f>G27+G26</f>
        <v>0</v>
      </c>
      <c r="H28" s="753">
        <f>H27+H26</f>
        <v>0</v>
      </c>
      <c r="I28" s="754">
        <f>I27+I26</f>
        <v>0</v>
      </c>
      <c r="J28" s="128"/>
      <c r="K28" s="128"/>
      <c r="L28" s="128"/>
      <c r="M28" s="128"/>
      <c r="N28" s="128"/>
      <c r="O28" s="128"/>
      <c r="P28" s="128"/>
      <c r="Q28" s="128"/>
      <c r="R28" s="128"/>
      <c r="S28" s="128"/>
      <c r="T28" s="128"/>
      <c r="U28" s="128"/>
      <c r="V28" s="128"/>
      <c r="W28" s="128"/>
      <c r="X28" s="128"/>
      <c r="Y28" s="128"/>
      <c r="Z28" s="128"/>
    </row>
    <row r="29" spans="1:26" ht="14.25" customHeight="1">
      <c r="A29" s="128"/>
      <c r="B29" s="128"/>
      <c r="C29" s="752"/>
      <c r="D29" s="752"/>
      <c r="E29" s="752"/>
      <c r="F29" s="752"/>
      <c r="G29" s="752"/>
      <c r="H29" s="752"/>
      <c r="I29" s="752"/>
      <c r="J29" s="128"/>
      <c r="K29" s="128"/>
      <c r="L29" s="128"/>
      <c r="M29" s="128"/>
      <c r="N29" s="128"/>
      <c r="O29" s="128"/>
      <c r="P29" s="128"/>
      <c r="Q29" s="128"/>
      <c r="R29" s="128"/>
      <c r="S29" s="128"/>
      <c r="T29" s="128"/>
      <c r="U29" s="128"/>
      <c r="V29" s="128"/>
      <c r="W29" s="128"/>
      <c r="X29" s="128"/>
      <c r="Y29" s="128"/>
      <c r="Z29" s="128"/>
    </row>
    <row r="30" spans="1:26" ht="14.25" customHeight="1">
      <c r="A30" s="128"/>
      <c r="B30" s="755" t="s">
        <v>429</v>
      </c>
      <c r="C30" s="756">
        <f>+C20</f>
        <v>0</v>
      </c>
      <c r="D30" s="756">
        <f>+D20</f>
        <v>6046273</v>
      </c>
      <c r="E30" s="756">
        <f>+E20</f>
        <v>0</v>
      </c>
      <c r="F30" s="756">
        <f>+F20</f>
        <v>0</v>
      </c>
      <c r="G30" s="756">
        <f>+G20</f>
        <v>0</v>
      </c>
      <c r="H30" s="756">
        <f>+H20</f>
        <v>0</v>
      </c>
      <c r="I30" s="757">
        <f>+I20</f>
        <v>0</v>
      </c>
      <c r="J30" s="128"/>
      <c r="K30" s="128"/>
      <c r="L30" s="128"/>
      <c r="M30" s="128"/>
      <c r="N30" s="128"/>
      <c r="O30" s="128"/>
      <c r="P30" s="128"/>
      <c r="Q30" s="128"/>
      <c r="R30" s="128"/>
      <c r="S30" s="128"/>
      <c r="T30" s="128"/>
      <c r="U30" s="128"/>
      <c r="V30" s="128"/>
      <c r="W30" s="128"/>
      <c r="X30" s="128"/>
      <c r="Y30" s="128"/>
      <c r="Z30" s="128"/>
    </row>
    <row r="31" spans="1:26" ht="14.25" customHeight="1">
      <c r="A31" s="128"/>
      <c r="B31" s="758" t="s">
        <v>435</v>
      </c>
      <c r="C31" s="759">
        <v>0</v>
      </c>
      <c r="D31" s="759">
        <f>D27</f>
        <v>0</v>
      </c>
      <c r="E31" s="759">
        <f>E27</f>
        <v>0</v>
      </c>
      <c r="F31" s="759">
        <f>F27</f>
        <v>0</v>
      </c>
      <c r="G31" s="759">
        <f>G27</f>
        <v>0</v>
      </c>
      <c r="H31" s="759">
        <f>H27</f>
        <v>0</v>
      </c>
      <c r="I31" s="760">
        <f>I27</f>
        <v>0</v>
      </c>
      <c r="J31" s="128"/>
      <c r="K31" s="128"/>
      <c r="L31" s="128"/>
      <c r="M31" s="128"/>
      <c r="N31" s="128"/>
      <c r="O31" s="128"/>
      <c r="P31" s="128"/>
      <c r="Q31" s="128"/>
      <c r="R31" s="128"/>
      <c r="S31" s="128"/>
      <c r="T31" s="128"/>
      <c r="U31" s="128"/>
      <c r="V31" s="128"/>
      <c r="W31" s="128"/>
      <c r="X31" s="128"/>
      <c r="Y31" s="128"/>
      <c r="Z31" s="128"/>
    </row>
    <row r="32" spans="1:26" ht="14.25" customHeight="1">
      <c r="A32" s="128"/>
      <c r="B32" s="761" t="s">
        <v>437</v>
      </c>
      <c r="C32" s="751">
        <f>'2.Cálculos (2)'!C81</f>
        <v>0</v>
      </c>
      <c r="D32" s="751">
        <f>'2.Cálculos (2)'!C81</f>
        <v>0</v>
      </c>
      <c r="E32" s="751">
        <f>+E81</f>
        <v>0</v>
      </c>
      <c r="F32" s="751">
        <f>+F81</f>
        <v>0</v>
      </c>
      <c r="G32" s="751">
        <f>+G81</f>
        <v>0</v>
      </c>
      <c r="H32" s="751">
        <f>+H81</f>
        <v>0</v>
      </c>
      <c r="I32" s="751">
        <f>+I81</f>
        <v>0</v>
      </c>
      <c r="J32" s="128"/>
      <c r="K32" s="128"/>
      <c r="L32" s="128"/>
      <c r="M32" s="128"/>
      <c r="N32" s="128"/>
      <c r="O32" s="128"/>
      <c r="P32" s="128"/>
      <c r="Q32" s="128"/>
      <c r="R32" s="128"/>
      <c r="S32" s="128"/>
      <c r="T32" s="128"/>
      <c r="U32" s="128"/>
      <c r="V32" s="128"/>
      <c r="W32" s="128"/>
      <c r="X32" s="128"/>
      <c r="Y32" s="128"/>
      <c r="Z32" s="128"/>
    </row>
    <row r="33" spans="1:26" ht="14.25" customHeight="1">
      <c r="A33" s="128"/>
      <c r="B33" s="762" t="s">
        <v>438</v>
      </c>
      <c r="C33" s="763"/>
      <c r="D33" s="763"/>
      <c r="E33" s="763"/>
      <c r="F33" s="763"/>
      <c r="G33" s="763"/>
      <c r="H33" s="763"/>
      <c r="I33" s="764"/>
      <c r="J33" s="128"/>
      <c r="K33" s="128"/>
      <c r="L33" s="128"/>
      <c r="M33" s="128"/>
      <c r="N33" s="128"/>
      <c r="O33" s="128"/>
      <c r="P33" s="128"/>
      <c r="Q33" s="128"/>
      <c r="R33" s="128"/>
      <c r="S33" s="128"/>
      <c r="T33" s="128"/>
      <c r="U33" s="128"/>
      <c r="V33" s="128"/>
      <c r="W33" s="128"/>
      <c r="X33" s="128"/>
      <c r="Y33" s="128"/>
      <c r="Z33" s="128"/>
    </row>
    <row r="34" spans="1:26" ht="14.25" customHeight="1">
      <c r="A34" s="128"/>
      <c r="B34" s="741" t="str">
        <f>B28</f>
        <v>Flujo Bruto de Efectivo (FBE)</v>
      </c>
      <c r="C34" s="765">
        <f>C28</f>
        <v>0</v>
      </c>
      <c r="D34" s="765">
        <f>D28</f>
        <v>0</v>
      </c>
      <c r="E34" s="765">
        <f>E28</f>
        <v>0</v>
      </c>
      <c r="F34" s="765">
        <f>F28</f>
        <v>0</v>
      </c>
      <c r="G34" s="765">
        <f>G28</f>
        <v>0</v>
      </c>
      <c r="H34" s="765">
        <f>H28</f>
        <v>0</v>
      </c>
      <c r="I34" s="766">
        <f>I28</f>
        <v>0</v>
      </c>
      <c r="J34" s="128"/>
      <c r="K34" s="128"/>
      <c r="L34" s="128"/>
      <c r="M34" s="128"/>
      <c r="N34" s="128"/>
      <c r="O34" s="128"/>
      <c r="P34" s="128"/>
      <c r="Q34" s="128"/>
      <c r="R34" s="128"/>
      <c r="S34" s="128"/>
      <c r="T34" s="128"/>
      <c r="U34" s="128"/>
      <c r="V34" s="128"/>
      <c r="W34" s="128"/>
      <c r="X34" s="128"/>
      <c r="Y34" s="128"/>
      <c r="Z34" s="128"/>
    </row>
    <row r="35" spans="1:26" ht="14.25" customHeight="1">
      <c r="A35" s="128"/>
      <c r="B35" s="744" t="s">
        <v>439</v>
      </c>
      <c r="C35" s="767">
        <f>C33+C32+C30</f>
        <v>0</v>
      </c>
      <c r="D35" s="767">
        <f>D33+D32+D30</f>
        <v>6046273</v>
      </c>
      <c r="E35" s="767">
        <f>E33+E32+E30</f>
        <v>0</v>
      </c>
      <c r="F35" s="767">
        <f>F33+F32+F30</f>
        <v>0</v>
      </c>
      <c r="G35" s="767">
        <f>G33+G32+G30</f>
        <v>0</v>
      </c>
      <c r="H35" s="767">
        <f>H33+H32+H30</f>
        <v>0</v>
      </c>
      <c r="I35" s="766">
        <f>I33+I32+I30</f>
        <v>0</v>
      </c>
      <c r="J35" s="128"/>
      <c r="K35" s="128"/>
      <c r="L35" s="128"/>
      <c r="M35" s="128"/>
      <c r="N35" s="128"/>
      <c r="O35" s="128"/>
      <c r="P35" s="128"/>
      <c r="Q35" s="128"/>
      <c r="R35" s="128"/>
      <c r="S35" s="128"/>
      <c r="T35" s="128"/>
      <c r="U35" s="128"/>
      <c r="V35" s="128"/>
      <c r="W35" s="128"/>
      <c r="X35" s="128"/>
      <c r="Y35" s="128"/>
      <c r="Z35" s="128"/>
    </row>
    <row r="36" spans="1:26" ht="14.25" customHeight="1">
      <c r="A36" s="128"/>
      <c r="B36" s="768" t="s">
        <v>440</v>
      </c>
      <c r="C36" s="769">
        <f>C34-C35</f>
        <v>0</v>
      </c>
      <c r="D36" s="769">
        <f>D34-D35</f>
        <v>-6046273</v>
      </c>
      <c r="E36" s="769">
        <f>E34-E35</f>
        <v>0</v>
      </c>
      <c r="F36" s="769">
        <f>F34-F35</f>
        <v>0</v>
      </c>
      <c r="G36" s="769">
        <f>G34-G35</f>
        <v>0</v>
      </c>
      <c r="H36" s="769">
        <f>H34-H35</f>
        <v>0</v>
      </c>
      <c r="I36" s="770">
        <f>I34-I35</f>
        <v>0</v>
      </c>
      <c r="J36" s="128"/>
      <c r="K36" s="1411" t="s">
        <v>441</v>
      </c>
      <c r="L36" s="1348"/>
      <c r="M36" s="128"/>
      <c r="N36" s="1412" t="e">
        <f>AVERAGE(D37:I37)</f>
        <v>#DIV/0!</v>
      </c>
      <c r="O36" s="128"/>
      <c r="P36" s="128"/>
      <c r="Q36" s="128"/>
      <c r="R36" s="128"/>
      <c r="S36" s="128"/>
      <c r="T36" s="128"/>
      <c r="U36" s="128"/>
      <c r="V36" s="128"/>
      <c r="W36" s="128"/>
      <c r="X36" s="128"/>
      <c r="Y36" s="128"/>
      <c r="Z36" s="128"/>
    </row>
    <row r="37" spans="1:26" ht="14.25" customHeight="1">
      <c r="A37" s="128"/>
      <c r="B37" s="741" t="s">
        <v>442</v>
      </c>
      <c r="C37" s="771" t="e">
        <f>1-(C35)/C34</f>
        <v>#DIV/0!</v>
      </c>
      <c r="D37" s="771">
        <f>1-(D34)/D35</f>
        <v>1</v>
      </c>
      <c r="E37" s="771" t="e">
        <f>1-(E26)/E36</f>
        <v>#DIV/0!</v>
      </c>
      <c r="F37" s="771" t="e">
        <f>1-(F26)/F36</f>
        <v>#DIV/0!</v>
      </c>
      <c r="G37" s="771" t="e">
        <f>1-(G26)/G36</f>
        <v>#DIV/0!</v>
      </c>
      <c r="H37" s="771" t="e">
        <f>1-(H26)/H36</f>
        <v>#DIV/0!</v>
      </c>
      <c r="I37" s="771" t="e">
        <f>1-(I36)/I35</f>
        <v>#DIV/0!</v>
      </c>
      <c r="J37" s="192"/>
      <c r="K37" s="1406"/>
      <c r="L37" s="1374"/>
      <c r="M37" s="128"/>
      <c r="N37" s="1408"/>
      <c r="O37" s="128"/>
      <c r="P37" s="128"/>
      <c r="Q37" s="128"/>
      <c r="R37" s="128"/>
      <c r="S37" s="128"/>
      <c r="T37" s="128"/>
      <c r="U37" s="128"/>
      <c r="V37" s="128"/>
      <c r="W37" s="128"/>
      <c r="X37" s="128"/>
      <c r="Y37" s="128"/>
      <c r="Z37" s="128"/>
    </row>
    <row r="38" spans="1:26" ht="14.25" customHeight="1">
      <c r="A38" s="128"/>
      <c r="B38" s="772" t="s">
        <v>443</v>
      </c>
      <c r="C38" s="773" t="e">
        <f>1-C37</f>
        <v>#DIV/0!</v>
      </c>
      <c r="D38" s="773">
        <f>1-D37</f>
        <v>0</v>
      </c>
      <c r="E38" s="774" t="e">
        <f>1-E37</f>
        <v>#DIV/0!</v>
      </c>
      <c r="F38" s="774" t="e">
        <f>1-F37</f>
        <v>#DIV/0!</v>
      </c>
      <c r="G38" s="774" t="e">
        <f>1-G37</f>
        <v>#DIV/0!</v>
      </c>
      <c r="H38" s="774" t="e">
        <f>1-H37</f>
        <v>#DIV/0!</v>
      </c>
      <c r="I38" s="775" t="e">
        <f>1-I37</f>
        <v>#DIV/0!</v>
      </c>
      <c r="J38" s="192"/>
      <c r="K38" s="128"/>
      <c r="L38" s="128"/>
      <c r="M38" s="128"/>
      <c r="N38" s="128"/>
      <c r="O38" s="128"/>
      <c r="P38" s="128"/>
      <c r="Q38" s="128"/>
      <c r="R38" s="128"/>
      <c r="S38" s="128"/>
      <c r="T38" s="128"/>
      <c r="U38" s="128"/>
      <c r="V38" s="128"/>
      <c r="W38" s="128"/>
      <c r="X38" s="128"/>
      <c r="Y38" s="128"/>
      <c r="Z38" s="128"/>
    </row>
    <row r="39" spans="1:26" ht="13.5" customHeight="1">
      <c r="A39" s="128"/>
      <c r="B39" s="128"/>
      <c r="C39" s="128"/>
      <c r="D39" s="128"/>
      <c r="E39" s="128"/>
      <c r="F39" s="128"/>
      <c r="G39" s="128"/>
      <c r="H39" s="128"/>
      <c r="I39" s="128"/>
      <c r="J39" s="128"/>
      <c r="K39" s="1411" t="s">
        <v>444</v>
      </c>
      <c r="L39" s="1348"/>
      <c r="M39" s="128"/>
      <c r="N39" s="1412" t="e">
        <f>AVERAGE(D38:I38)</f>
        <v>#DIV/0!</v>
      </c>
      <c r="O39" s="128"/>
      <c r="P39" s="128"/>
      <c r="Q39" s="128"/>
      <c r="R39" s="128"/>
      <c r="S39" s="128"/>
      <c r="T39" s="128"/>
      <c r="U39" s="128"/>
      <c r="V39" s="128"/>
      <c r="W39" s="128"/>
      <c r="X39" s="128"/>
      <c r="Y39" s="128"/>
      <c r="Z39" s="128"/>
    </row>
    <row r="40" spans="1:26" ht="13.5" customHeight="1">
      <c r="A40" s="128"/>
      <c r="B40" s="128"/>
      <c r="C40" s="128"/>
      <c r="D40" s="128"/>
      <c r="E40" s="128"/>
      <c r="F40" s="128"/>
      <c r="G40" s="128"/>
      <c r="H40" s="128"/>
      <c r="I40" s="128"/>
      <c r="J40" s="128"/>
      <c r="K40" s="1406"/>
      <c r="L40" s="1374"/>
      <c r="M40" s="128"/>
      <c r="N40" s="1408"/>
      <c r="O40" s="128"/>
      <c r="P40" s="128"/>
      <c r="Q40" s="128"/>
      <c r="R40" s="128"/>
      <c r="S40" s="128"/>
      <c r="T40" s="128"/>
      <c r="U40" s="128"/>
      <c r="V40" s="128"/>
      <c r="W40" s="128"/>
      <c r="X40" s="128"/>
      <c r="Y40" s="128"/>
      <c r="Z40" s="128"/>
    </row>
    <row r="41" spans="1:26" ht="13.5" customHeight="1">
      <c r="A41" s="128"/>
      <c r="B41" s="128"/>
      <c r="C41" s="128"/>
      <c r="D41" s="128"/>
      <c r="E41" s="128"/>
      <c r="F41" s="128"/>
      <c r="G41" s="128"/>
      <c r="H41" s="128"/>
      <c r="I41" s="128"/>
      <c r="J41" s="128"/>
      <c r="K41" s="128"/>
      <c r="L41" s="128"/>
      <c r="M41" s="128"/>
      <c r="N41" s="128"/>
      <c r="O41" s="128"/>
      <c r="P41" s="128"/>
      <c r="Q41" s="128"/>
      <c r="R41" s="128"/>
      <c r="S41" s="128"/>
      <c r="T41" s="128"/>
      <c r="U41" s="128"/>
      <c r="V41" s="128"/>
      <c r="W41" s="128"/>
      <c r="X41" s="128"/>
      <c r="Y41" s="128"/>
      <c r="Z41" s="128"/>
    </row>
    <row r="42" spans="1:26" ht="13.5" customHeight="1">
      <c r="A42" s="128"/>
      <c r="B42" s="128"/>
      <c r="C42" s="128"/>
      <c r="D42" s="128"/>
      <c r="E42" s="128"/>
      <c r="F42" s="128"/>
      <c r="G42" s="128"/>
      <c r="H42" s="128"/>
      <c r="I42" s="128"/>
      <c r="J42" s="128"/>
      <c r="K42" s="128"/>
      <c r="L42" s="128"/>
      <c r="M42" s="128"/>
      <c r="N42" s="128"/>
      <c r="O42" s="128"/>
      <c r="P42" s="128"/>
      <c r="Q42" s="128"/>
      <c r="R42" s="128"/>
      <c r="S42" s="128"/>
      <c r="T42" s="128"/>
      <c r="U42" s="128"/>
      <c r="V42" s="128"/>
      <c r="W42" s="128"/>
      <c r="X42" s="128"/>
      <c r="Y42" s="128"/>
      <c r="Z42" s="128"/>
    </row>
    <row r="43" spans="1:26" ht="13.5" customHeight="1">
      <c r="A43" s="128"/>
      <c r="B43" s="128"/>
      <c r="C43" s="128"/>
      <c r="D43" s="128"/>
      <c r="E43" s="128"/>
      <c r="F43" s="128"/>
      <c r="G43" s="128"/>
      <c r="H43" s="128"/>
      <c r="I43" s="128"/>
      <c r="J43" s="128"/>
      <c r="K43" s="128"/>
      <c r="L43" s="128"/>
      <c r="M43" s="128"/>
      <c r="N43" s="128"/>
      <c r="O43" s="128"/>
      <c r="P43" s="128"/>
      <c r="Q43" s="128"/>
      <c r="R43" s="128"/>
      <c r="S43" s="128"/>
      <c r="T43" s="128"/>
      <c r="U43" s="128"/>
      <c r="V43" s="128"/>
      <c r="W43" s="128"/>
      <c r="X43" s="128"/>
      <c r="Y43" s="128"/>
      <c r="Z43" s="128"/>
    </row>
    <row r="44" spans="1:26" ht="14.25" customHeight="1">
      <c r="A44" s="128"/>
      <c r="B44" s="776" t="s">
        <v>445</v>
      </c>
      <c r="C44" s="151"/>
      <c r="D44" s="151"/>
      <c r="E44" s="151"/>
      <c r="F44" s="151"/>
      <c r="G44" s="192"/>
      <c r="H44" s="192"/>
      <c r="I44" s="192"/>
      <c r="J44" s="128"/>
      <c r="K44" s="128"/>
      <c r="L44" s="128"/>
      <c r="M44" s="128"/>
      <c r="N44" s="128"/>
      <c r="O44" s="128"/>
      <c r="P44" s="128"/>
      <c r="Q44" s="128"/>
      <c r="R44" s="128"/>
      <c r="S44" s="128"/>
      <c r="T44" s="128"/>
      <c r="U44" s="128"/>
      <c r="V44" s="128"/>
      <c r="W44" s="128"/>
      <c r="X44" s="128"/>
      <c r="Y44" s="128"/>
      <c r="Z44" s="128"/>
    </row>
    <row r="45" spans="1:26" ht="14.25" customHeight="1">
      <c r="A45" s="128"/>
      <c r="B45" s="128"/>
      <c r="C45" s="128"/>
      <c r="D45" s="128"/>
      <c r="E45" s="128"/>
      <c r="F45" s="128"/>
      <c r="G45" s="128"/>
      <c r="H45" s="128"/>
      <c r="I45" s="128"/>
      <c r="J45" s="128"/>
      <c r="K45" s="128"/>
      <c r="L45" s="128"/>
      <c r="M45" s="128"/>
      <c r="N45" s="128"/>
      <c r="O45" s="128"/>
      <c r="P45" s="128"/>
      <c r="Q45" s="128"/>
      <c r="R45" s="128"/>
      <c r="S45" s="128"/>
      <c r="T45" s="128"/>
      <c r="U45" s="128"/>
      <c r="V45" s="128"/>
      <c r="W45" s="128"/>
      <c r="X45" s="128"/>
      <c r="Y45" s="128"/>
      <c r="Z45" s="128"/>
    </row>
    <row r="46" spans="1:26" ht="14.25" customHeight="1">
      <c r="A46" s="128"/>
      <c r="B46" s="128"/>
      <c r="C46" s="128"/>
      <c r="D46" s="128"/>
      <c r="E46" s="128"/>
      <c r="F46" s="128"/>
      <c r="G46" s="128"/>
      <c r="H46" s="128"/>
      <c r="I46" s="128"/>
      <c r="J46" s="128"/>
      <c r="K46" s="128"/>
      <c r="L46" s="128"/>
      <c r="M46" s="128"/>
      <c r="N46" s="128"/>
      <c r="O46" s="128"/>
      <c r="P46" s="128"/>
      <c r="Q46" s="128"/>
      <c r="R46" s="128"/>
      <c r="S46" s="128"/>
      <c r="T46" s="128"/>
      <c r="U46" s="128"/>
      <c r="V46" s="128"/>
      <c r="W46" s="128"/>
      <c r="X46" s="128"/>
      <c r="Y46" s="128"/>
      <c r="Z46" s="128"/>
    </row>
    <row r="47" spans="1:26" ht="14.25" customHeight="1">
      <c r="A47" s="128"/>
      <c r="B47" s="128"/>
      <c r="C47" s="723"/>
      <c r="D47" s="723">
        <v>0.56719583101596704</v>
      </c>
      <c r="E47" s="723">
        <v>0.91954389339962805</v>
      </c>
      <c r="F47" s="128"/>
      <c r="G47" s="128"/>
      <c r="H47" s="128"/>
      <c r="I47" s="128"/>
      <c r="J47" s="128"/>
      <c r="K47" s="128"/>
      <c r="L47" s="128"/>
      <c r="M47" s="128"/>
      <c r="N47" s="128"/>
      <c r="O47" s="128"/>
      <c r="P47" s="128"/>
      <c r="Q47" s="128"/>
      <c r="R47" s="128"/>
      <c r="S47" s="128"/>
      <c r="T47" s="128"/>
      <c r="U47" s="128"/>
      <c r="V47" s="128"/>
      <c r="W47" s="128"/>
      <c r="X47" s="128"/>
      <c r="Y47" s="128"/>
      <c r="Z47" s="128"/>
    </row>
    <row r="48" spans="1:26" ht="14.25" hidden="1" customHeight="1">
      <c r="A48" s="128"/>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row>
    <row r="49" spans="1:26" ht="14.25" hidden="1" customHeight="1">
      <c r="A49" s="128"/>
      <c r="B49" s="128"/>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28"/>
    </row>
    <row r="50" spans="1:26" ht="14.25" hidden="1" customHeight="1">
      <c r="A50" s="128"/>
      <c r="B50" s="128"/>
      <c r="C50" s="128"/>
      <c r="D50" s="128"/>
      <c r="E50" s="128"/>
      <c r="F50" s="128"/>
      <c r="G50" s="128"/>
      <c r="H50" s="128"/>
      <c r="I50" s="128"/>
      <c r="J50" s="128"/>
      <c r="K50" s="128"/>
      <c r="L50" s="128"/>
      <c r="M50" s="128"/>
      <c r="N50" s="128"/>
      <c r="O50" s="128"/>
      <c r="P50" s="128"/>
      <c r="Q50" s="128"/>
      <c r="R50" s="128"/>
      <c r="S50" s="128"/>
      <c r="T50" s="128"/>
      <c r="U50" s="128"/>
      <c r="V50" s="128"/>
      <c r="W50" s="128"/>
      <c r="X50" s="128"/>
      <c r="Y50" s="128"/>
      <c r="Z50" s="128"/>
    </row>
    <row r="51" spans="1:26" ht="14.25" hidden="1" customHeight="1">
      <c r="A51" s="128"/>
      <c r="B51" s="550" t="s">
        <v>446</v>
      </c>
      <c r="C51" s="1413"/>
      <c r="D51" s="1334"/>
      <c r="E51" s="1334"/>
      <c r="F51" s="1334"/>
      <c r="G51" s="450"/>
      <c r="H51" s="450"/>
      <c r="I51" s="450"/>
      <c r="J51" s="128"/>
      <c r="K51" s="128"/>
      <c r="L51" s="128"/>
      <c r="M51" s="128"/>
      <c r="N51" s="128"/>
      <c r="O51" s="128"/>
      <c r="P51" s="128"/>
      <c r="Q51" s="128"/>
      <c r="R51" s="128"/>
      <c r="S51" s="128"/>
      <c r="T51" s="128"/>
      <c r="U51" s="128"/>
      <c r="V51" s="128"/>
      <c r="W51" s="128"/>
      <c r="X51" s="128"/>
      <c r="Y51" s="128"/>
      <c r="Z51" s="128"/>
    </row>
    <row r="52" spans="1:26" ht="14.25" hidden="1" customHeight="1">
      <c r="A52" s="128"/>
      <c r="B52" s="550" t="s">
        <v>446</v>
      </c>
      <c r="C52" s="777">
        <f>+C5</f>
        <v>2019</v>
      </c>
      <c r="D52" s="777">
        <f>+D5</f>
        <v>2020</v>
      </c>
      <c r="E52" s="777">
        <f>+E5</f>
        <v>2021</v>
      </c>
      <c r="F52" s="777">
        <f>+F5</f>
        <v>2022</v>
      </c>
      <c r="G52" s="777"/>
      <c r="H52" s="777"/>
      <c r="I52" s="777"/>
      <c r="J52" s="128"/>
      <c r="K52" s="128"/>
      <c r="L52" s="128"/>
      <c r="M52" s="128"/>
      <c r="N52" s="128"/>
      <c r="O52" s="128"/>
      <c r="P52" s="128"/>
      <c r="Q52" s="128"/>
      <c r="R52" s="128"/>
      <c r="S52" s="128"/>
      <c r="T52" s="128"/>
      <c r="U52" s="128"/>
      <c r="V52" s="128"/>
      <c r="W52" s="128"/>
      <c r="X52" s="128"/>
      <c r="Y52" s="128"/>
      <c r="Z52" s="128"/>
    </row>
    <row r="53" spans="1:26" ht="14.25" hidden="1" customHeight="1">
      <c r="A53" s="128"/>
      <c r="B53" s="778" t="s">
        <v>328</v>
      </c>
      <c r="C53" s="630"/>
      <c r="D53" s="128"/>
      <c r="E53" s="128"/>
      <c r="F53" s="779"/>
      <c r="G53" s="128"/>
      <c r="H53" s="128"/>
      <c r="I53" s="128"/>
      <c r="J53" s="128"/>
      <c r="K53" s="128"/>
      <c r="L53" s="128"/>
      <c r="M53" s="128"/>
      <c r="N53" s="128"/>
      <c r="O53" s="128"/>
      <c r="P53" s="128"/>
      <c r="Q53" s="128"/>
      <c r="R53" s="128"/>
      <c r="S53" s="128"/>
      <c r="T53" s="128"/>
      <c r="U53" s="128"/>
      <c r="V53" s="128"/>
      <c r="W53" s="128"/>
      <c r="X53" s="128"/>
      <c r="Y53" s="128"/>
      <c r="Z53" s="128"/>
    </row>
    <row r="54" spans="1:26" ht="14.25" hidden="1" customHeight="1">
      <c r="A54" s="128"/>
      <c r="B54" s="780" t="e">
        <v>#REF!</v>
      </c>
      <c r="C54" s="584" t="s">
        <v>1015</v>
      </c>
      <c r="D54" s="584" t="e">
        <v>#REF!</v>
      </c>
      <c r="E54" s="584" t="e">
        <v>#REF!</v>
      </c>
      <c r="F54" s="781" t="e">
        <v>#REF!</v>
      </c>
      <c r="G54" s="584"/>
      <c r="H54" s="584"/>
      <c r="I54" s="584"/>
      <c r="J54" s="128"/>
      <c r="K54" s="128"/>
      <c r="L54" s="128"/>
      <c r="M54" s="128"/>
      <c r="N54" s="128"/>
      <c r="O54" s="128"/>
      <c r="P54" s="128"/>
      <c r="Q54" s="128"/>
      <c r="R54" s="128"/>
      <c r="S54" s="128"/>
      <c r="T54" s="128"/>
      <c r="U54" s="128"/>
      <c r="V54" s="128"/>
      <c r="W54" s="128"/>
      <c r="X54" s="128"/>
      <c r="Y54" s="128"/>
      <c r="Z54" s="128"/>
    </row>
    <row r="55" spans="1:26" ht="14.25" hidden="1" customHeight="1">
      <c r="A55" s="128"/>
      <c r="B55" s="782" t="s">
        <v>448</v>
      </c>
      <c r="C55" s="783" t="e">
        <f>C54-#REF!</f>
        <v>#VALUE!</v>
      </c>
      <c r="D55" s="783" t="e">
        <f>D54-#REF!</f>
        <v>#REF!</v>
      </c>
      <c r="E55" s="783" t="e">
        <f>E54-D54</f>
        <v>#REF!</v>
      </c>
      <c r="F55" s="784" t="e">
        <f>F54-E54</f>
        <v>#REF!</v>
      </c>
      <c r="G55" s="783"/>
      <c r="H55" s="783"/>
      <c r="I55" s="783"/>
      <c r="J55" s="128"/>
      <c r="K55" s="128"/>
      <c r="L55" s="128"/>
      <c r="M55" s="128"/>
      <c r="N55" s="128"/>
      <c r="O55" s="128"/>
      <c r="P55" s="128"/>
      <c r="Q55" s="128"/>
      <c r="R55" s="128"/>
      <c r="S55" s="128"/>
      <c r="T55" s="128"/>
      <c r="U55" s="128"/>
      <c r="V55" s="128"/>
      <c r="W55" s="128"/>
      <c r="X55" s="128"/>
      <c r="Y55" s="128"/>
      <c r="Z55" s="128"/>
    </row>
    <row r="56" spans="1:26" ht="14.25" hidden="1" customHeight="1">
      <c r="A56" s="128"/>
      <c r="B56" s="782" t="s">
        <v>1015</v>
      </c>
      <c r="C56" s="785" t="s">
        <v>1015</v>
      </c>
      <c r="D56" s="785" t="s">
        <v>1015</v>
      </c>
      <c r="E56" s="785" t="s">
        <v>1015</v>
      </c>
      <c r="F56" s="786" t="s">
        <v>1015</v>
      </c>
      <c r="G56" s="785"/>
      <c r="H56" s="785"/>
      <c r="I56" s="785"/>
      <c r="J56" s="128"/>
      <c r="K56" s="128"/>
      <c r="L56" s="128"/>
      <c r="M56" s="128"/>
      <c r="N56" s="128"/>
      <c r="O56" s="128"/>
      <c r="P56" s="128"/>
      <c r="Q56" s="128"/>
      <c r="R56" s="128"/>
      <c r="S56" s="128"/>
      <c r="T56" s="128"/>
      <c r="U56" s="128"/>
      <c r="V56" s="128"/>
      <c r="W56" s="128"/>
      <c r="X56" s="128"/>
      <c r="Y56" s="128"/>
      <c r="Z56" s="128"/>
    </row>
    <row r="57" spans="1:26" ht="14.25" hidden="1" customHeight="1">
      <c r="A57" s="128"/>
      <c r="B57" s="782" t="s">
        <v>449</v>
      </c>
      <c r="C57" s="783" t="e">
        <f>C56-#REF!</f>
        <v>#VALUE!</v>
      </c>
      <c r="D57" s="783" t="e">
        <f>D56-#REF!</f>
        <v>#VALUE!</v>
      </c>
      <c r="E57" s="783" t="e">
        <f>E56-D56</f>
        <v>#VALUE!</v>
      </c>
      <c r="F57" s="784" t="e">
        <f>F56-E56</f>
        <v>#VALUE!</v>
      </c>
      <c r="G57" s="783"/>
      <c r="H57" s="783"/>
      <c r="I57" s="783"/>
      <c r="J57" s="128"/>
      <c r="K57" s="128"/>
      <c r="L57" s="128"/>
      <c r="M57" s="128"/>
      <c r="N57" s="128"/>
      <c r="O57" s="128"/>
      <c r="P57" s="128"/>
      <c r="Q57" s="128"/>
      <c r="R57" s="128"/>
      <c r="S57" s="128"/>
      <c r="T57" s="128"/>
      <c r="U57" s="128"/>
      <c r="V57" s="128"/>
      <c r="W57" s="128"/>
      <c r="X57" s="128"/>
      <c r="Y57" s="128"/>
      <c r="Z57" s="128"/>
    </row>
    <row r="58" spans="1:26" ht="14.25" hidden="1" customHeight="1">
      <c r="A58" s="128"/>
      <c r="B58" s="782" t="s">
        <v>1015</v>
      </c>
      <c r="C58" s="785" t="s">
        <v>1015</v>
      </c>
      <c r="D58" s="785" t="s">
        <v>1015</v>
      </c>
      <c r="E58" s="785" t="s">
        <v>1015</v>
      </c>
      <c r="F58" s="786" t="s">
        <v>1015</v>
      </c>
      <c r="G58" s="785"/>
      <c r="H58" s="785"/>
      <c r="I58" s="785"/>
      <c r="J58" s="128"/>
      <c r="K58" s="128"/>
      <c r="L58" s="128"/>
      <c r="M58" s="128"/>
      <c r="N58" s="128"/>
      <c r="O58" s="128"/>
      <c r="P58" s="128"/>
      <c r="Q58" s="128"/>
      <c r="R58" s="128"/>
      <c r="S58" s="128"/>
      <c r="T58" s="128"/>
      <c r="U58" s="128"/>
      <c r="V58" s="128"/>
      <c r="W58" s="128"/>
      <c r="X58" s="128"/>
      <c r="Y58" s="128"/>
      <c r="Z58" s="128"/>
    </row>
    <row r="59" spans="1:26" ht="14.25" hidden="1" customHeight="1">
      <c r="A59" s="128"/>
      <c r="B59" s="782" t="s">
        <v>450</v>
      </c>
      <c r="C59" s="783" t="e">
        <f>C58+#REF!</f>
        <v>#VALUE!</v>
      </c>
      <c r="D59" s="783" t="e">
        <f>D58+#REF!</f>
        <v>#VALUE!</v>
      </c>
      <c r="E59" s="783" t="e">
        <f>E58+D58</f>
        <v>#VALUE!</v>
      </c>
      <c r="F59" s="784" t="e">
        <f>F58+E58</f>
        <v>#VALUE!</v>
      </c>
      <c r="G59" s="783"/>
      <c r="H59" s="783"/>
      <c r="I59" s="783"/>
      <c r="J59" s="128"/>
      <c r="K59" s="128"/>
      <c r="L59" s="128"/>
      <c r="M59" s="128"/>
      <c r="N59" s="128"/>
      <c r="O59" s="128"/>
      <c r="P59" s="128"/>
      <c r="Q59" s="128"/>
      <c r="R59" s="128"/>
      <c r="S59" s="128"/>
      <c r="T59" s="128"/>
      <c r="U59" s="128"/>
      <c r="V59" s="128"/>
      <c r="W59" s="128"/>
      <c r="X59" s="128"/>
      <c r="Y59" s="128"/>
      <c r="Z59" s="128"/>
    </row>
    <row r="60" spans="1:26" ht="14.25" hidden="1" customHeight="1">
      <c r="A60" s="128"/>
      <c r="B60" s="782" t="s">
        <v>451</v>
      </c>
      <c r="C60" s="783">
        <v>0</v>
      </c>
      <c r="D60" s="783">
        <v>0</v>
      </c>
      <c r="E60" s="783">
        <v>0</v>
      </c>
      <c r="F60" s="784">
        <v>0</v>
      </c>
      <c r="G60" s="783"/>
      <c r="H60" s="783"/>
      <c r="I60" s="783"/>
      <c r="J60" s="128"/>
      <c r="K60" s="128"/>
      <c r="L60" s="128"/>
      <c r="M60" s="128"/>
      <c r="N60" s="128"/>
      <c r="O60" s="128"/>
      <c r="P60" s="128"/>
      <c r="Q60" s="128"/>
      <c r="R60" s="128"/>
      <c r="S60" s="128"/>
      <c r="T60" s="128"/>
      <c r="U60" s="128"/>
      <c r="V60" s="128"/>
      <c r="W60" s="128"/>
      <c r="X60" s="128"/>
      <c r="Y60" s="128"/>
      <c r="Z60" s="128"/>
    </row>
    <row r="61" spans="1:26" ht="14.25" hidden="1" customHeight="1">
      <c r="A61" s="128"/>
      <c r="B61" s="787" t="s">
        <v>452</v>
      </c>
      <c r="C61" s="788" t="e">
        <f>C60-#REF!</f>
        <v>#REF!</v>
      </c>
      <c r="D61" s="788" t="e">
        <f>D60-#REF!</f>
        <v>#REF!</v>
      </c>
      <c r="E61" s="788">
        <f>E60-D60</f>
        <v>0</v>
      </c>
      <c r="F61" s="789">
        <f>F60-E60</f>
        <v>0</v>
      </c>
      <c r="G61" s="783"/>
      <c r="H61" s="783"/>
      <c r="I61" s="783"/>
      <c r="J61" s="128"/>
      <c r="K61" s="128"/>
      <c r="L61" s="128"/>
      <c r="M61" s="128"/>
      <c r="N61" s="128"/>
      <c r="O61" s="128"/>
      <c r="P61" s="128"/>
      <c r="Q61" s="128"/>
      <c r="R61" s="128"/>
      <c r="S61" s="128"/>
      <c r="T61" s="128"/>
      <c r="U61" s="128"/>
      <c r="V61" s="128"/>
      <c r="W61" s="128"/>
      <c r="X61" s="128"/>
      <c r="Y61" s="128"/>
      <c r="Z61" s="128"/>
    </row>
    <row r="62" spans="1:26" ht="14.25" hidden="1" customHeight="1">
      <c r="A62" s="128"/>
      <c r="B62" s="790" t="s">
        <v>453</v>
      </c>
      <c r="C62" s="791" t="e">
        <f>C55+C57+C59+C61</f>
        <v>#VALUE!</v>
      </c>
      <c r="D62" s="791" t="e">
        <f>D55+D57+D59+D61</f>
        <v>#REF!</v>
      </c>
      <c r="E62" s="791" t="e">
        <f>E55+E57+E59+E61</f>
        <v>#REF!</v>
      </c>
      <c r="F62" s="791" t="e">
        <f>F55+F57+F59+F61</f>
        <v>#REF!</v>
      </c>
      <c r="G62" s="792"/>
      <c r="H62" s="792"/>
      <c r="I62" s="792"/>
      <c r="J62" s="128"/>
      <c r="K62" s="128"/>
      <c r="L62" s="128"/>
      <c r="M62" s="128"/>
      <c r="N62" s="128"/>
      <c r="O62" s="128"/>
      <c r="P62" s="128"/>
      <c r="Q62" s="128"/>
      <c r="R62" s="128"/>
      <c r="S62" s="128"/>
      <c r="T62" s="128"/>
      <c r="U62" s="128"/>
      <c r="V62" s="128"/>
      <c r="W62" s="128"/>
      <c r="X62" s="128"/>
      <c r="Y62" s="128"/>
      <c r="Z62" s="128"/>
    </row>
    <row r="63" spans="1:26" ht="14.25" hidden="1" customHeight="1">
      <c r="A63" s="128"/>
      <c r="B63" s="128"/>
      <c r="C63" s="128"/>
      <c r="D63" s="128"/>
      <c r="E63" s="128"/>
      <c r="F63" s="128"/>
      <c r="G63" s="128"/>
      <c r="H63" s="128"/>
      <c r="I63" s="128"/>
      <c r="J63" s="128"/>
      <c r="K63" s="128"/>
      <c r="L63" s="128"/>
      <c r="M63" s="128"/>
      <c r="N63" s="128"/>
      <c r="O63" s="128"/>
      <c r="P63" s="128"/>
      <c r="Q63" s="128"/>
      <c r="R63" s="128"/>
      <c r="S63" s="128"/>
      <c r="T63" s="128"/>
      <c r="U63" s="128"/>
      <c r="V63" s="128"/>
      <c r="W63" s="128"/>
      <c r="X63" s="128"/>
      <c r="Y63" s="128"/>
      <c r="Z63" s="128"/>
    </row>
    <row r="64" spans="1:26" ht="14.25" hidden="1" customHeight="1">
      <c r="A64" s="128"/>
      <c r="B64" s="778" t="s">
        <v>345</v>
      </c>
      <c r="C64" s="793"/>
      <c r="D64" s="794"/>
      <c r="E64" s="794"/>
      <c r="F64" s="795"/>
      <c r="G64" s="128"/>
      <c r="H64" s="128"/>
      <c r="I64" s="128"/>
      <c r="J64" s="128"/>
      <c r="K64" s="128"/>
      <c r="L64" s="128"/>
      <c r="M64" s="128"/>
      <c r="N64" s="128"/>
      <c r="O64" s="128"/>
      <c r="P64" s="128"/>
      <c r="Q64" s="128"/>
      <c r="R64" s="128"/>
      <c r="S64" s="128"/>
      <c r="T64" s="128"/>
      <c r="U64" s="128"/>
      <c r="V64" s="128"/>
      <c r="W64" s="128"/>
      <c r="X64" s="128"/>
      <c r="Y64" s="128"/>
      <c r="Z64" s="128"/>
    </row>
    <row r="65" spans="1:26" ht="14.25" hidden="1" customHeight="1">
      <c r="A65" s="128"/>
      <c r="B65" s="782" t="s">
        <v>454</v>
      </c>
      <c r="C65" s="443">
        <v>0</v>
      </c>
      <c r="D65" s="128">
        <v>0</v>
      </c>
      <c r="E65" s="128">
        <v>0</v>
      </c>
      <c r="F65" s="779">
        <v>0</v>
      </c>
      <c r="G65" s="128"/>
      <c r="H65" s="128"/>
      <c r="I65" s="128"/>
      <c r="J65" s="128"/>
      <c r="K65" s="128"/>
      <c r="L65" s="128"/>
      <c r="M65" s="128"/>
      <c r="N65" s="128"/>
      <c r="O65" s="128"/>
      <c r="P65" s="128"/>
      <c r="Q65" s="128"/>
      <c r="R65" s="128"/>
      <c r="S65" s="128"/>
      <c r="T65" s="128"/>
      <c r="U65" s="128"/>
      <c r="V65" s="128"/>
      <c r="W65" s="128"/>
      <c r="X65" s="128"/>
      <c r="Y65" s="128"/>
      <c r="Z65" s="128"/>
    </row>
    <row r="66" spans="1:26" ht="14.25" hidden="1" customHeight="1">
      <c r="A66" s="128"/>
      <c r="B66" s="782" t="s">
        <v>455</v>
      </c>
      <c r="C66" s="796"/>
      <c r="D66" s="128" t="e">
        <f>D65-#REF!</f>
        <v>#REF!</v>
      </c>
      <c r="E66" s="128">
        <f>E65-D65</f>
        <v>0</v>
      </c>
      <c r="F66" s="779">
        <f>F65-E65</f>
        <v>0</v>
      </c>
      <c r="G66" s="128"/>
      <c r="H66" s="128"/>
      <c r="I66" s="128"/>
      <c r="J66" s="128"/>
      <c r="K66" s="128"/>
      <c r="L66" s="128"/>
      <c r="M66" s="128"/>
      <c r="N66" s="128"/>
      <c r="O66" s="128"/>
      <c r="P66" s="128"/>
      <c r="Q66" s="128"/>
      <c r="R66" s="128"/>
      <c r="S66" s="128"/>
      <c r="T66" s="128"/>
      <c r="U66" s="128"/>
      <c r="V66" s="128"/>
      <c r="W66" s="128"/>
      <c r="X66" s="128"/>
      <c r="Y66" s="128"/>
      <c r="Z66" s="128"/>
    </row>
    <row r="67" spans="1:26" ht="14.25" hidden="1" customHeight="1">
      <c r="A67" s="128"/>
      <c r="B67" s="782" t="s">
        <v>1015</v>
      </c>
      <c r="C67" s="797" t="s">
        <v>1015</v>
      </c>
      <c r="D67" s="797" t="s">
        <v>1015</v>
      </c>
      <c r="E67" s="797" t="s">
        <v>1015</v>
      </c>
      <c r="F67" s="798" t="s">
        <v>1015</v>
      </c>
      <c r="G67" s="797"/>
      <c r="H67" s="797"/>
      <c r="I67" s="797"/>
      <c r="J67" s="128"/>
      <c r="K67" s="128"/>
      <c r="L67" s="128"/>
      <c r="M67" s="128"/>
      <c r="N67" s="128"/>
      <c r="O67" s="128"/>
      <c r="P67" s="128"/>
      <c r="Q67" s="128"/>
      <c r="R67" s="128"/>
      <c r="S67" s="128"/>
      <c r="T67" s="128"/>
      <c r="U67" s="128"/>
      <c r="V67" s="128"/>
      <c r="W67" s="128"/>
      <c r="X67" s="128"/>
      <c r="Y67" s="128"/>
      <c r="Z67" s="128"/>
    </row>
    <row r="68" spans="1:26" ht="14.25" hidden="1" customHeight="1">
      <c r="A68" s="128"/>
      <c r="B68" s="787" t="s">
        <v>456</v>
      </c>
      <c r="C68" s="799" t="e">
        <f>C67-#REF!</f>
        <v>#VALUE!</v>
      </c>
      <c r="D68" s="799" t="e">
        <f>D67-#REF!</f>
        <v>#VALUE!</v>
      </c>
      <c r="E68" s="799" t="e">
        <f>E67-D67</f>
        <v>#VALUE!</v>
      </c>
      <c r="F68" s="800" t="e">
        <f>F67-E67</f>
        <v>#VALUE!</v>
      </c>
      <c r="G68" s="583"/>
      <c r="H68" s="583"/>
      <c r="I68" s="583"/>
      <c r="J68" s="128"/>
      <c r="K68" s="128"/>
      <c r="L68" s="128"/>
      <c r="M68" s="128"/>
      <c r="N68" s="128"/>
      <c r="O68" s="128"/>
      <c r="P68" s="128"/>
      <c r="Q68" s="128"/>
      <c r="R68" s="128"/>
      <c r="S68" s="128"/>
      <c r="T68" s="128"/>
      <c r="U68" s="128"/>
      <c r="V68" s="128"/>
      <c r="W68" s="128"/>
      <c r="X68" s="128"/>
      <c r="Y68" s="128"/>
      <c r="Z68" s="128"/>
    </row>
    <row r="69" spans="1:26" ht="14.25" hidden="1" customHeight="1">
      <c r="A69" s="128"/>
      <c r="B69" s="790" t="s">
        <v>457</v>
      </c>
      <c r="C69" s="801" t="e">
        <f>C66+C68</f>
        <v>#VALUE!</v>
      </c>
      <c r="D69" s="801" t="e">
        <f>D66+D68</f>
        <v>#REF!</v>
      </c>
      <c r="E69" s="801" t="e">
        <f>E66+E68</f>
        <v>#VALUE!</v>
      </c>
      <c r="F69" s="801" t="e">
        <f>F66+F68</f>
        <v>#VALUE!</v>
      </c>
      <c r="G69" s="802"/>
      <c r="H69" s="802"/>
      <c r="I69" s="802"/>
      <c r="J69" s="128"/>
      <c r="K69" s="128"/>
      <c r="L69" s="128"/>
      <c r="M69" s="128"/>
      <c r="N69" s="128"/>
      <c r="O69" s="128"/>
      <c r="P69" s="128"/>
      <c r="Q69" s="128"/>
      <c r="R69" s="128"/>
      <c r="S69" s="128"/>
      <c r="T69" s="128"/>
      <c r="U69" s="128"/>
      <c r="V69" s="128"/>
      <c r="W69" s="128"/>
      <c r="X69" s="128"/>
      <c r="Y69" s="128"/>
      <c r="Z69" s="128"/>
    </row>
    <row r="70" spans="1:26" ht="14.25" hidden="1" customHeight="1">
      <c r="A70" s="128"/>
      <c r="B70" s="128"/>
      <c r="C70" s="128"/>
      <c r="D70" s="128"/>
      <c r="E70" s="128"/>
      <c r="F70" s="128"/>
      <c r="G70" s="128"/>
      <c r="H70" s="128"/>
      <c r="I70" s="128"/>
      <c r="J70" s="128"/>
      <c r="K70" s="128"/>
      <c r="L70" s="128"/>
      <c r="M70" s="128"/>
      <c r="N70" s="128"/>
      <c r="O70" s="128"/>
      <c r="P70" s="128"/>
      <c r="Q70" s="128"/>
      <c r="R70" s="128"/>
      <c r="S70" s="128"/>
      <c r="T70" s="128"/>
      <c r="U70" s="128"/>
      <c r="V70" s="128"/>
      <c r="W70" s="128"/>
      <c r="X70" s="128"/>
      <c r="Y70" s="128"/>
      <c r="Z70" s="128"/>
    </row>
    <row r="71" spans="1:26" ht="14.25" hidden="1" customHeight="1">
      <c r="A71" s="128"/>
      <c r="B71" s="803" t="s">
        <v>458</v>
      </c>
      <c r="C71" s="804" t="e">
        <f>C62-C69</f>
        <v>#VALUE!</v>
      </c>
      <c r="D71" s="804" t="e">
        <f>D62-D69</f>
        <v>#REF!</v>
      </c>
      <c r="E71" s="804" t="e">
        <f>E62-E69</f>
        <v>#REF!</v>
      </c>
      <c r="F71" s="805" t="e">
        <f>F62-F69</f>
        <v>#REF!</v>
      </c>
      <c r="G71" s="615"/>
      <c r="H71" s="615"/>
      <c r="I71" s="615"/>
      <c r="J71" s="128"/>
      <c r="K71" s="128"/>
      <c r="L71" s="128"/>
      <c r="M71" s="128"/>
      <c r="N71" s="128"/>
      <c r="O71" s="128"/>
      <c r="P71" s="128"/>
      <c r="Q71" s="128"/>
      <c r="R71" s="128"/>
      <c r="S71" s="128"/>
      <c r="T71" s="128"/>
      <c r="U71" s="128"/>
      <c r="V71" s="128"/>
      <c r="W71" s="128"/>
      <c r="X71" s="128"/>
      <c r="Y71" s="128"/>
      <c r="Z71" s="128"/>
    </row>
    <row r="72" spans="1:26" ht="14.25" customHeight="1">
      <c r="A72" s="128"/>
      <c r="B72" s="128"/>
      <c r="C72" s="128"/>
      <c r="D72" s="128"/>
      <c r="E72" s="128"/>
      <c r="F72" s="128"/>
      <c r="G72" s="128"/>
      <c r="H72" s="128"/>
      <c r="I72" s="128"/>
      <c r="J72" s="128"/>
      <c r="K72" s="128"/>
      <c r="L72" s="128"/>
      <c r="M72" s="128"/>
      <c r="N72" s="128"/>
      <c r="O72" s="128"/>
      <c r="P72" s="128"/>
      <c r="Q72" s="128"/>
      <c r="R72" s="128"/>
      <c r="S72" s="128"/>
      <c r="T72" s="128"/>
      <c r="U72" s="128"/>
      <c r="V72" s="128"/>
      <c r="W72" s="128"/>
      <c r="X72" s="128"/>
      <c r="Y72" s="128"/>
      <c r="Z72" s="128"/>
    </row>
    <row r="73" spans="1:26" ht="14.25" customHeight="1">
      <c r="A73" s="128"/>
      <c r="B73" s="128"/>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28"/>
    </row>
    <row r="74" spans="1:26" ht="20.25" customHeight="1">
      <c r="A74" s="128"/>
      <c r="B74" s="806" t="s">
        <v>459</v>
      </c>
      <c r="C74" s="1409"/>
      <c r="D74" s="1345"/>
      <c r="E74" s="1345"/>
      <c r="F74" s="1345"/>
      <c r="G74" s="716"/>
      <c r="H74" s="716"/>
      <c r="I74" s="716"/>
      <c r="J74" s="128"/>
      <c r="K74" s="128"/>
      <c r="L74" s="128"/>
      <c r="M74" s="128"/>
      <c r="N74" s="128"/>
      <c r="O74" s="128"/>
      <c r="P74" s="128"/>
      <c r="Q74" s="128"/>
      <c r="R74" s="128"/>
      <c r="S74" s="128"/>
      <c r="T74" s="128"/>
      <c r="U74" s="128"/>
      <c r="V74" s="128"/>
      <c r="W74" s="128"/>
      <c r="X74" s="128"/>
      <c r="Y74" s="128"/>
      <c r="Z74" s="128"/>
    </row>
    <row r="75" spans="1:26" ht="14.25" customHeight="1">
      <c r="A75" s="128"/>
      <c r="B75" s="128"/>
      <c r="C75" s="128"/>
      <c r="D75" s="128"/>
      <c r="E75" s="128"/>
      <c r="F75" s="128"/>
      <c r="G75" s="128"/>
      <c r="H75" s="128"/>
      <c r="I75" s="128"/>
      <c r="J75" s="128"/>
      <c r="K75" s="128"/>
      <c r="L75" s="128"/>
      <c r="M75" s="128"/>
      <c r="N75" s="128"/>
      <c r="O75" s="128"/>
      <c r="P75" s="128"/>
      <c r="Q75" s="128"/>
      <c r="R75" s="128"/>
      <c r="S75" s="128"/>
      <c r="T75" s="128"/>
      <c r="U75" s="128"/>
      <c r="V75" s="128"/>
      <c r="W75" s="128"/>
      <c r="X75" s="128"/>
      <c r="Y75" s="128"/>
      <c r="Z75" s="128"/>
    </row>
    <row r="76" spans="1:26" ht="14.25" customHeight="1">
      <c r="A76" s="128"/>
      <c r="B76" s="128"/>
      <c r="C76" s="1413"/>
      <c r="D76" s="1334"/>
      <c r="E76" s="1334"/>
      <c r="F76" s="1334"/>
      <c r="G76" s="1334"/>
      <c r="H76" s="450"/>
      <c r="I76" s="450"/>
      <c r="J76" s="128"/>
      <c r="K76" s="128"/>
      <c r="L76" s="128"/>
      <c r="M76" s="128"/>
      <c r="N76" s="128"/>
      <c r="O76" s="128"/>
      <c r="P76" s="128"/>
      <c r="Q76" s="128"/>
      <c r="R76" s="128"/>
      <c r="S76" s="128"/>
      <c r="T76" s="128"/>
      <c r="U76" s="128"/>
      <c r="V76" s="128"/>
      <c r="W76" s="128"/>
      <c r="X76" s="128"/>
      <c r="Y76" s="128"/>
      <c r="Z76" s="128"/>
    </row>
    <row r="77" spans="1:26" ht="14.25" customHeight="1">
      <c r="A77" s="128"/>
      <c r="B77" s="128"/>
      <c r="C77" s="719">
        <v>2020</v>
      </c>
      <c r="D77" s="719">
        <v>2021</v>
      </c>
      <c r="E77" s="719">
        <v>2021</v>
      </c>
      <c r="F77" s="719">
        <f>E77+1</f>
        <v>2022</v>
      </c>
      <c r="G77" s="719">
        <f>F77+1</f>
        <v>2023</v>
      </c>
      <c r="H77" s="719">
        <f>G77+1</f>
        <v>2024</v>
      </c>
      <c r="I77" s="719">
        <f>+H77+1</f>
        <v>2025</v>
      </c>
      <c r="J77" s="128"/>
      <c r="K77" s="128"/>
      <c r="L77" s="128"/>
      <c r="M77" s="128"/>
      <c r="N77" s="128"/>
      <c r="O77" s="128"/>
      <c r="P77" s="128"/>
      <c r="Q77" s="128"/>
      <c r="R77" s="128"/>
      <c r="S77" s="128"/>
      <c r="T77" s="128"/>
      <c r="U77" s="128"/>
      <c r="V77" s="128"/>
      <c r="W77" s="128"/>
      <c r="X77" s="128"/>
      <c r="Y77" s="128"/>
      <c r="Z77" s="128"/>
    </row>
    <row r="78" spans="1:26" ht="14.25" customHeight="1">
      <c r="A78" s="128"/>
      <c r="B78" s="451" t="s">
        <v>460</v>
      </c>
      <c r="C78" s="721">
        <f>+'1. Datos'!E64</f>
        <v>0</v>
      </c>
      <c r="D78" s="721">
        <f>+'1. Datos'!F64</f>
        <v>0</v>
      </c>
      <c r="E78" s="721">
        <f>+'1. Datos'!F64</f>
        <v>0</v>
      </c>
      <c r="F78" s="721">
        <f>+'1. Datos'!G64</f>
        <v>0</v>
      </c>
      <c r="G78" s="721">
        <f>+'1. Datos'!H64</f>
        <v>0</v>
      </c>
      <c r="H78" s="721">
        <f>+'1. Datos'!I64</f>
        <v>0</v>
      </c>
      <c r="I78" s="721">
        <f>+'1. Datos'!J64</f>
        <v>0</v>
      </c>
      <c r="J78" s="128"/>
      <c r="K78" s="128"/>
      <c r="L78" s="128"/>
      <c r="M78" s="128"/>
      <c r="N78" s="128"/>
      <c r="O78" s="128"/>
      <c r="P78" s="128"/>
      <c r="Q78" s="128"/>
      <c r="R78" s="128"/>
      <c r="S78" s="128"/>
      <c r="T78" s="128"/>
      <c r="U78" s="128"/>
      <c r="V78" s="128"/>
      <c r="W78" s="128"/>
      <c r="X78" s="128"/>
      <c r="Y78" s="128"/>
      <c r="Z78" s="128"/>
    </row>
    <row r="79" spans="1:26" ht="14.25" customHeight="1">
      <c r="A79" s="128"/>
      <c r="B79" s="807" t="s">
        <v>461</v>
      </c>
      <c r="C79" s="721"/>
      <c r="D79" s="721">
        <f>+D78-C78</f>
        <v>0</v>
      </c>
      <c r="E79" s="721">
        <f>+E78-D78</f>
        <v>0</v>
      </c>
      <c r="F79" s="721">
        <f>+F78-E78</f>
        <v>0</v>
      </c>
      <c r="G79" s="721">
        <f>+G78-F78</f>
        <v>0</v>
      </c>
      <c r="H79" s="721">
        <f>+H78-G78</f>
        <v>0</v>
      </c>
      <c r="I79" s="721">
        <f>+I78-H78</f>
        <v>0</v>
      </c>
      <c r="J79" s="128"/>
      <c r="K79" s="128"/>
      <c r="L79" s="128"/>
      <c r="M79" s="128"/>
      <c r="N79" s="128"/>
      <c r="O79" s="128"/>
      <c r="P79" s="128"/>
      <c r="Q79" s="128"/>
      <c r="R79" s="128"/>
      <c r="S79" s="128"/>
      <c r="T79" s="128"/>
      <c r="U79" s="128"/>
      <c r="V79" s="128"/>
      <c r="W79" s="128"/>
      <c r="X79" s="128"/>
      <c r="Y79" s="128"/>
      <c r="Z79" s="128"/>
    </row>
    <row r="80" spans="1:26" ht="14.25" customHeight="1">
      <c r="A80" s="128"/>
      <c r="B80" s="710" t="s">
        <v>435</v>
      </c>
      <c r="C80" s="721">
        <f>-'1. Datos'!E98</f>
        <v>0</v>
      </c>
      <c r="D80" s="721">
        <f>-'1. Datos'!F98</f>
        <v>0</v>
      </c>
      <c r="E80" s="721">
        <f>+'1. Datos'!F98</f>
        <v>0</v>
      </c>
      <c r="F80" s="721">
        <f>+'1. Datos'!G98</f>
        <v>0</v>
      </c>
      <c r="G80" s="721">
        <f>+'1. Datos'!H98</f>
        <v>0</v>
      </c>
      <c r="H80" s="721">
        <f>+'1. Datos'!I98</f>
        <v>0</v>
      </c>
      <c r="I80" s="721">
        <f>+'1. Datos'!J98</f>
        <v>0</v>
      </c>
      <c r="J80" s="721"/>
      <c r="K80" s="128"/>
      <c r="L80" s="128"/>
      <c r="M80" s="128"/>
      <c r="N80" s="128"/>
      <c r="O80" s="128"/>
      <c r="P80" s="128"/>
      <c r="Q80" s="128"/>
      <c r="R80" s="128"/>
      <c r="S80" s="128"/>
      <c r="T80" s="128"/>
      <c r="U80" s="128"/>
      <c r="V80" s="128"/>
      <c r="W80" s="128"/>
      <c r="X80" s="128"/>
      <c r="Y80" s="128"/>
      <c r="Z80" s="128"/>
    </row>
    <row r="81" spans="1:26" ht="14.25" customHeight="1">
      <c r="A81" s="128"/>
      <c r="B81" s="808" t="s">
        <v>459</v>
      </c>
      <c r="C81" s="809">
        <f>C79+C80</f>
        <v>0</v>
      </c>
      <c r="D81" s="809">
        <f>D79+D80</f>
        <v>0</v>
      </c>
      <c r="E81" s="809">
        <f>E79+E80</f>
        <v>0</v>
      </c>
      <c r="F81" s="809">
        <f>F79+F80</f>
        <v>0</v>
      </c>
      <c r="G81" s="809">
        <f>G79+G80</f>
        <v>0</v>
      </c>
      <c r="H81" s="809">
        <f>H79+H80</f>
        <v>0</v>
      </c>
      <c r="I81" s="809">
        <f>I79+I80</f>
        <v>0</v>
      </c>
      <c r="J81" s="47"/>
      <c r="K81" s="128"/>
      <c r="L81" s="128"/>
      <c r="M81" s="128"/>
      <c r="N81" s="128"/>
      <c r="O81" s="128"/>
      <c r="P81" s="128"/>
      <c r="Q81" s="128"/>
      <c r="R81" s="128"/>
      <c r="S81" s="128"/>
      <c r="T81" s="128"/>
      <c r="U81" s="128"/>
      <c r="V81" s="128"/>
      <c r="W81" s="128"/>
      <c r="X81" s="128"/>
      <c r="Y81" s="128"/>
      <c r="Z81" s="128"/>
    </row>
    <row r="82" spans="1:26" ht="14.25" customHeight="1">
      <c r="A82" s="128"/>
      <c r="B82" s="740"/>
      <c r="C82" s="615"/>
      <c r="D82" s="615"/>
      <c r="E82" s="615"/>
      <c r="F82" s="615"/>
      <c r="G82" s="615"/>
      <c r="H82" s="615"/>
      <c r="I82" s="615"/>
      <c r="J82" s="128"/>
      <c r="K82" s="128"/>
      <c r="L82" s="128"/>
      <c r="M82" s="128"/>
      <c r="N82" s="128"/>
      <c r="O82" s="128"/>
      <c r="P82" s="128"/>
      <c r="Q82" s="128"/>
      <c r="R82" s="128"/>
      <c r="S82" s="128"/>
      <c r="T82" s="128"/>
      <c r="U82" s="128"/>
      <c r="V82" s="128"/>
      <c r="W82" s="128"/>
      <c r="X82" s="128"/>
      <c r="Y82" s="128"/>
      <c r="Z82" s="128"/>
    </row>
    <row r="83" spans="1:26" ht="14.25" customHeight="1">
      <c r="A83" s="128"/>
      <c r="B83" s="128"/>
      <c r="C83" s="128"/>
      <c r="D83" s="128"/>
      <c r="E83" s="128"/>
      <c r="F83" s="128"/>
      <c r="G83" s="128"/>
      <c r="H83" s="128"/>
      <c r="I83" s="128"/>
      <c r="J83" s="128"/>
      <c r="K83" s="128"/>
      <c r="L83" s="128"/>
      <c r="M83" s="128"/>
      <c r="N83" s="128"/>
      <c r="O83" s="128"/>
      <c r="P83" s="128"/>
      <c r="Q83" s="128"/>
      <c r="R83" s="128"/>
      <c r="S83" s="128"/>
      <c r="T83" s="128"/>
      <c r="U83" s="128"/>
      <c r="V83" s="128"/>
      <c r="W83" s="128"/>
      <c r="X83" s="128"/>
      <c r="Y83" s="128"/>
      <c r="Z83" s="128"/>
    </row>
    <row r="84" spans="1:26" ht="14.25" hidden="1" customHeight="1">
      <c r="A84" s="128"/>
      <c r="B84" s="152" t="s">
        <v>462</v>
      </c>
      <c r="C84" s="810" t="e">
        <f>+C81/C80</f>
        <v>#DIV/0!</v>
      </c>
      <c r="D84" s="810" t="e">
        <f>+D81/D80</f>
        <v>#DIV/0!</v>
      </c>
      <c r="E84" s="810" t="e">
        <f>+E81/E80</f>
        <v>#DIV/0!</v>
      </c>
      <c r="F84" s="811" t="e">
        <f>F81/F80</f>
        <v>#DIV/0!</v>
      </c>
      <c r="G84" s="812"/>
      <c r="H84" s="812"/>
      <c r="I84" s="812"/>
      <c r="J84" s="128"/>
      <c r="K84" s="128"/>
      <c r="L84" s="128"/>
      <c r="M84" s="128"/>
      <c r="N84" s="128"/>
      <c r="O84" s="128"/>
      <c r="P84" s="128"/>
      <c r="Q84" s="128"/>
      <c r="R84" s="128"/>
      <c r="S84" s="128"/>
      <c r="T84" s="128"/>
      <c r="U84" s="128"/>
      <c r="V84" s="128"/>
      <c r="W84" s="128"/>
      <c r="X84" s="128"/>
      <c r="Y84" s="128"/>
      <c r="Z84" s="128"/>
    </row>
    <row r="85" spans="1:26" ht="14.25" hidden="1" customHeight="1">
      <c r="A85" s="128"/>
      <c r="B85" s="128"/>
      <c r="C85" s="128"/>
      <c r="D85" s="128"/>
      <c r="E85" s="128"/>
      <c r="F85" s="128"/>
      <c r="G85" s="128"/>
      <c r="H85" s="128"/>
      <c r="I85" s="128"/>
      <c r="J85" s="128"/>
      <c r="K85" s="128"/>
      <c r="L85" s="128"/>
      <c r="M85" s="128"/>
      <c r="N85" s="128"/>
      <c r="O85" s="128"/>
      <c r="P85" s="128"/>
      <c r="Q85" s="128"/>
      <c r="R85" s="128"/>
      <c r="S85" s="128"/>
      <c r="T85" s="128"/>
      <c r="U85" s="128"/>
      <c r="V85" s="128"/>
      <c r="W85" s="128"/>
      <c r="X85" s="128"/>
      <c r="Y85" s="128"/>
      <c r="Z85" s="128"/>
    </row>
    <row r="86" spans="1:26" ht="14.25" customHeight="1">
      <c r="A86" s="128"/>
      <c r="B86" s="128"/>
      <c r="C86" s="128"/>
      <c r="D86" s="128"/>
      <c r="E86" s="128"/>
      <c r="F86" s="128"/>
      <c r="G86" s="128"/>
      <c r="H86" s="128"/>
      <c r="I86" s="128"/>
      <c r="J86" s="128"/>
      <c r="K86" s="128"/>
      <c r="L86" s="128"/>
      <c r="M86" s="128"/>
      <c r="N86" s="128"/>
      <c r="O86" s="128"/>
      <c r="P86" s="128"/>
      <c r="Q86" s="128"/>
      <c r="R86" s="128"/>
      <c r="S86" s="128"/>
      <c r="T86" s="128"/>
      <c r="U86" s="128"/>
      <c r="V86" s="128"/>
      <c r="W86" s="128"/>
      <c r="X86" s="128"/>
      <c r="Y86" s="128"/>
      <c r="Z86" s="128"/>
    </row>
    <row r="87" spans="1:26" ht="14.25" customHeight="1">
      <c r="A87" s="128"/>
      <c r="B87" s="128"/>
      <c r="C87" s="1409"/>
      <c r="D87" s="1345"/>
      <c r="E87" s="1345"/>
      <c r="F87" s="1345"/>
      <c r="G87" s="716"/>
      <c r="H87" s="716"/>
      <c r="I87" s="716"/>
      <c r="J87" s="128"/>
      <c r="K87" s="128"/>
      <c r="L87" s="128"/>
      <c r="M87" s="128"/>
      <c r="N87" s="128"/>
      <c r="O87" s="128"/>
      <c r="P87" s="128"/>
      <c r="Q87" s="128"/>
      <c r="R87" s="128"/>
      <c r="S87" s="128"/>
      <c r="T87" s="128"/>
      <c r="U87" s="128"/>
      <c r="V87" s="128"/>
      <c r="W87" s="128"/>
      <c r="X87" s="128"/>
      <c r="Y87" s="128"/>
      <c r="Z87" s="128"/>
    </row>
    <row r="88" spans="1:26" ht="14.25" customHeight="1">
      <c r="A88" s="51" t="s">
        <v>463</v>
      </c>
      <c r="B88" s="128"/>
      <c r="C88" s="128"/>
      <c r="D88" s="128"/>
      <c r="E88" s="128"/>
      <c r="F88" s="128"/>
      <c r="G88" s="128"/>
      <c r="H88" s="128"/>
      <c r="I88" s="128"/>
      <c r="J88" s="128"/>
      <c r="K88" s="128"/>
      <c r="L88" s="128"/>
      <c r="M88" s="128"/>
      <c r="N88" s="128"/>
      <c r="O88" s="128"/>
      <c r="P88" s="128"/>
      <c r="Q88" s="128"/>
      <c r="R88" s="128"/>
      <c r="S88" s="128"/>
      <c r="T88" s="128"/>
      <c r="U88" s="128"/>
      <c r="V88" s="128"/>
      <c r="W88" s="128"/>
      <c r="X88" s="128"/>
      <c r="Y88" s="128"/>
      <c r="Z88" s="128"/>
    </row>
    <row r="89" spans="1:26" ht="14.25" customHeight="1">
      <c r="A89" s="128"/>
      <c r="B89" s="128"/>
      <c r="C89" s="1410"/>
      <c r="D89" s="1334"/>
      <c r="E89" s="1334"/>
      <c r="F89" s="1334"/>
      <c r="G89" s="1334"/>
      <c r="H89" s="813"/>
      <c r="I89" s="813"/>
      <c r="J89" s="128"/>
      <c r="K89" s="128"/>
      <c r="L89" s="128"/>
      <c r="M89" s="128"/>
      <c r="N89" s="128"/>
      <c r="O89" s="128"/>
      <c r="P89" s="128"/>
      <c r="Q89" s="128"/>
      <c r="R89" s="128"/>
      <c r="S89" s="128"/>
      <c r="T89" s="128"/>
      <c r="U89" s="128"/>
      <c r="V89" s="128"/>
      <c r="W89" s="128"/>
      <c r="X89" s="128"/>
      <c r="Y89" s="128"/>
      <c r="Z89" s="128"/>
    </row>
    <row r="90" spans="1:26" ht="14.25" customHeight="1">
      <c r="A90" s="128"/>
      <c r="B90" s="128"/>
      <c r="C90" s="719">
        <f>+C77</f>
        <v>2020</v>
      </c>
      <c r="D90" s="719">
        <f>+D77</f>
        <v>2021</v>
      </c>
      <c r="E90" s="719">
        <f>+E77</f>
        <v>2021</v>
      </c>
      <c r="F90" s="719">
        <f>+F77</f>
        <v>2022</v>
      </c>
      <c r="G90" s="719">
        <f>+G77</f>
        <v>2023</v>
      </c>
      <c r="H90" s="719">
        <f>H77</f>
        <v>2024</v>
      </c>
      <c r="I90" s="719">
        <f>+H90+1</f>
        <v>2025</v>
      </c>
      <c r="J90" s="128"/>
      <c r="K90" s="128"/>
      <c r="L90" s="128"/>
      <c r="M90" s="128"/>
      <c r="N90" s="128"/>
      <c r="O90" s="128"/>
      <c r="P90" s="128"/>
      <c r="Q90" s="128"/>
      <c r="R90" s="128"/>
      <c r="S90" s="128"/>
      <c r="T90" s="128"/>
      <c r="U90" s="128"/>
      <c r="V90" s="128"/>
      <c r="W90" s="128"/>
      <c r="X90" s="128"/>
      <c r="Y90" s="128"/>
      <c r="Z90" s="128"/>
    </row>
    <row r="91" spans="1:26" ht="14.25" customHeight="1">
      <c r="A91" s="128"/>
      <c r="B91" s="720" t="s">
        <v>341</v>
      </c>
      <c r="C91" s="814">
        <f>+'1. Datos'!E95</f>
        <v>0</v>
      </c>
      <c r="D91" s="814">
        <f>+'1. Datos'!F95</f>
        <v>0</v>
      </c>
      <c r="E91" s="814">
        <f>+'1. Datos'!F95</f>
        <v>0</v>
      </c>
      <c r="F91" s="814">
        <f>+'1. Datos'!G95</f>
        <v>0</v>
      </c>
      <c r="G91" s="814">
        <f>+'1. Datos'!H95</f>
        <v>0</v>
      </c>
      <c r="H91" s="814">
        <f>+'1. Datos'!I95</f>
        <v>0</v>
      </c>
      <c r="I91" s="814">
        <f>+'1. Datos'!J95</f>
        <v>0</v>
      </c>
      <c r="J91" s="128"/>
      <c r="K91" s="128"/>
      <c r="L91" s="128"/>
      <c r="M91" s="128"/>
      <c r="N91" s="128"/>
      <c r="O91" s="128"/>
      <c r="P91" s="128"/>
      <c r="Q91" s="128"/>
      <c r="R91" s="128"/>
      <c r="S91" s="128"/>
      <c r="T91" s="128"/>
      <c r="U91" s="128"/>
      <c r="V91" s="128"/>
      <c r="W91" s="128"/>
      <c r="X91" s="128"/>
      <c r="Y91" s="128"/>
      <c r="Z91" s="128"/>
    </row>
    <row r="92" spans="1:26" ht="14.25" customHeight="1">
      <c r="A92" s="128"/>
      <c r="B92" s="725" t="s">
        <v>464</v>
      </c>
      <c r="C92" s="742">
        <f>+'1. Datos'!E104</f>
        <v>0</v>
      </c>
      <c r="D92" s="742">
        <f>+'1. Datos'!F104</f>
        <v>0</v>
      </c>
      <c r="E92" s="742">
        <f>+'1. Datos'!F104</f>
        <v>0</v>
      </c>
      <c r="F92" s="742">
        <f>+'1. Datos'!G104</f>
        <v>0</v>
      </c>
      <c r="G92" s="742">
        <f>+'1. Datos'!H104</f>
        <v>0</v>
      </c>
      <c r="H92" s="742">
        <f>+'1. Datos'!I104</f>
        <v>0</v>
      </c>
      <c r="I92" s="742">
        <f>+'1. Datos'!J104</f>
        <v>0</v>
      </c>
      <c r="J92" s="128"/>
      <c r="K92" s="128"/>
      <c r="L92" s="128"/>
      <c r="M92" s="128"/>
      <c r="N92" s="128"/>
      <c r="O92" s="128"/>
      <c r="P92" s="128"/>
      <c r="Q92" s="128"/>
      <c r="R92" s="128"/>
      <c r="S92" s="128"/>
      <c r="T92" s="128"/>
      <c r="U92" s="128"/>
      <c r="V92" s="128"/>
      <c r="W92" s="128"/>
      <c r="X92" s="128"/>
      <c r="Y92" s="128"/>
      <c r="Z92" s="128"/>
    </row>
    <row r="93" spans="1:26" ht="14.25" customHeight="1">
      <c r="A93" s="128"/>
      <c r="B93" s="720" t="s">
        <v>465</v>
      </c>
      <c r="C93" s="815">
        <f>C91-C92</f>
        <v>0</v>
      </c>
      <c r="D93" s="815">
        <f>D91-D92</f>
        <v>0</v>
      </c>
      <c r="E93" s="815">
        <f>E91-E92</f>
        <v>0</v>
      </c>
      <c r="F93" s="815">
        <f>F91-F92</f>
        <v>0</v>
      </c>
      <c r="G93" s="815">
        <f>G91-G92</f>
        <v>0</v>
      </c>
      <c r="H93" s="815">
        <f>H91-H92</f>
        <v>0</v>
      </c>
      <c r="I93" s="815">
        <f>I91-I92</f>
        <v>0</v>
      </c>
      <c r="J93" s="128"/>
      <c r="K93" s="128"/>
      <c r="L93" s="128"/>
      <c r="M93" s="128"/>
      <c r="N93" s="128"/>
      <c r="O93" s="128"/>
      <c r="P93" s="128"/>
      <c r="Q93" s="128"/>
      <c r="R93" s="128"/>
      <c r="S93" s="128"/>
      <c r="T93" s="128"/>
      <c r="U93" s="128"/>
      <c r="V93" s="128"/>
      <c r="W93" s="128"/>
      <c r="X93" s="128"/>
      <c r="Y93" s="128"/>
      <c r="Z93" s="128"/>
    </row>
    <row r="94" spans="1:26" ht="14.25" customHeight="1">
      <c r="A94" s="128"/>
      <c r="B94" s="725" t="str">
        <f>'2.Cálculos (2)'!B6</f>
        <v>Utilidad Neta</v>
      </c>
      <c r="C94" s="816">
        <f>+'1. Datos'!E30</f>
        <v>0</v>
      </c>
      <c r="D94" s="816">
        <f>+'1. Datos'!F30</f>
        <v>0</v>
      </c>
      <c r="E94" s="816">
        <f>+'1. Datos'!F30</f>
        <v>0</v>
      </c>
      <c r="F94" s="816">
        <f>+'1. Datos'!G30</f>
        <v>0</v>
      </c>
      <c r="G94" s="816">
        <f>+'1. Datos'!H30</f>
        <v>0</v>
      </c>
      <c r="H94" s="816">
        <f>+'1. Datos'!I30</f>
        <v>0</v>
      </c>
      <c r="I94" s="816">
        <f>+'1. Datos'!J30</f>
        <v>0</v>
      </c>
      <c r="J94" s="128"/>
      <c r="K94" s="128"/>
      <c r="L94" s="128"/>
      <c r="M94" s="128"/>
      <c r="N94" s="128"/>
      <c r="O94" s="128"/>
      <c r="P94" s="128"/>
      <c r="Q94" s="128"/>
      <c r="R94" s="128"/>
      <c r="S94" s="128"/>
      <c r="T94" s="128"/>
      <c r="U94" s="128"/>
      <c r="V94" s="128"/>
      <c r="W94" s="128"/>
      <c r="X94" s="128"/>
      <c r="Y94" s="128"/>
      <c r="Z94" s="128"/>
    </row>
    <row r="95" spans="1:26" ht="14.25" customHeight="1">
      <c r="A95" s="128"/>
      <c r="B95" s="734" t="s">
        <v>412</v>
      </c>
      <c r="C95" s="817" t="e">
        <f>C94/C93</f>
        <v>#DIV/0!</v>
      </c>
      <c r="D95" s="817" t="e">
        <f>D94/D93</f>
        <v>#DIV/0!</v>
      </c>
      <c r="E95" s="817" t="e">
        <f>E94/E93</f>
        <v>#DIV/0!</v>
      </c>
      <c r="F95" s="817" t="e">
        <f>F94/F93</f>
        <v>#DIV/0!</v>
      </c>
      <c r="G95" s="817" t="e">
        <f>G94/G93</f>
        <v>#DIV/0!</v>
      </c>
      <c r="H95" s="817" t="e">
        <f>H94/H93</f>
        <v>#DIV/0!</v>
      </c>
      <c r="I95" s="817" t="e">
        <f>I94/I93</f>
        <v>#DIV/0!</v>
      </c>
      <c r="J95" s="818" t="e">
        <f>AVERAGE(F95:I95)</f>
        <v>#DIV/0!</v>
      </c>
      <c r="K95" s="128" t="s">
        <v>466</v>
      </c>
      <c r="L95" s="128"/>
      <c r="M95" s="128"/>
      <c r="N95" s="128"/>
      <c r="O95" s="128"/>
      <c r="P95" s="128"/>
      <c r="Q95" s="128"/>
      <c r="R95" s="128"/>
      <c r="S95" s="128"/>
      <c r="T95" s="128"/>
      <c r="U95" s="128"/>
      <c r="V95" s="128"/>
      <c r="W95" s="128"/>
      <c r="X95" s="128"/>
      <c r="Y95" s="128"/>
      <c r="Z95" s="128"/>
    </row>
    <row r="96" spans="1:26" ht="14.25" customHeight="1">
      <c r="A96" s="128"/>
      <c r="B96" s="128"/>
      <c r="C96" s="128"/>
      <c r="D96" s="128"/>
      <c r="E96" s="47"/>
      <c r="F96" s="128"/>
      <c r="G96" s="128"/>
      <c r="H96" s="128"/>
      <c r="I96" s="128"/>
      <c r="J96" s="128"/>
      <c r="K96" s="128"/>
      <c r="L96" s="128"/>
      <c r="M96" s="128"/>
      <c r="N96" s="128"/>
      <c r="O96" s="128"/>
      <c r="P96" s="128"/>
      <c r="Q96" s="128"/>
      <c r="R96" s="128"/>
      <c r="S96" s="128"/>
      <c r="T96" s="128"/>
      <c r="U96" s="128"/>
      <c r="V96" s="128"/>
      <c r="W96" s="128"/>
      <c r="X96" s="128"/>
      <c r="Y96" s="128"/>
      <c r="Z96" s="128"/>
    </row>
    <row r="97" spans="1:26" ht="14.25" customHeight="1">
      <c r="A97" s="128"/>
      <c r="B97" s="128"/>
      <c r="C97" s="128"/>
      <c r="D97" s="128"/>
      <c r="E97" s="128"/>
      <c r="F97" s="128"/>
      <c r="G97" s="128"/>
      <c r="H97" s="128"/>
      <c r="I97" s="128"/>
      <c r="J97" s="128"/>
      <c r="K97" s="128"/>
      <c r="L97" s="128"/>
      <c r="M97" s="128"/>
      <c r="N97" s="128"/>
      <c r="O97" s="128"/>
      <c r="P97" s="128"/>
      <c r="Q97" s="128"/>
      <c r="R97" s="128"/>
      <c r="S97" s="128"/>
      <c r="T97" s="128"/>
      <c r="U97" s="128"/>
      <c r="V97" s="128"/>
      <c r="W97" s="128"/>
      <c r="X97" s="128"/>
      <c r="Y97" s="128"/>
      <c r="Z97" s="128"/>
    </row>
    <row r="98" spans="1:26" ht="14.25" customHeight="1">
      <c r="A98" s="128"/>
      <c r="B98" s="128"/>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row>
    <row r="99" spans="1:26" ht="14.25" customHeight="1">
      <c r="A99" s="128"/>
      <c r="B99" s="128"/>
      <c r="C99" s="128"/>
      <c r="D99" s="128"/>
      <c r="E99" s="128"/>
      <c r="F99" s="128"/>
      <c r="G99" s="128"/>
      <c r="H99" s="128"/>
      <c r="I99" s="128"/>
      <c r="J99" s="128"/>
      <c r="K99" s="128"/>
      <c r="L99" s="128"/>
      <c r="M99" s="128"/>
      <c r="N99" s="128"/>
      <c r="O99" s="128"/>
      <c r="P99" s="128"/>
      <c r="Q99" s="128"/>
      <c r="R99" s="128"/>
      <c r="S99" s="128"/>
      <c r="T99" s="128"/>
      <c r="U99" s="128"/>
      <c r="V99" s="128"/>
      <c r="W99" s="128"/>
      <c r="X99" s="128"/>
      <c r="Y99" s="128"/>
      <c r="Z99" s="128"/>
    </row>
    <row r="100" spans="1:26" ht="14.25" customHeight="1">
      <c r="A100" s="128"/>
      <c r="B100" s="128"/>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row>
    <row r="101" spans="1:26" ht="14.25" customHeight="1">
      <c r="A101" s="128"/>
      <c r="B101" s="128"/>
      <c r="C101" s="128"/>
      <c r="D101" s="128"/>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28"/>
    </row>
    <row r="102" spans="1:26" ht="14.25" customHeight="1">
      <c r="A102" s="128"/>
      <c r="B102" s="128"/>
      <c r="C102" s="128"/>
      <c r="D102" s="128"/>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row>
    <row r="103" spans="1:26" ht="14.25" customHeight="1">
      <c r="A103" s="128"/>
      <c r="B103" s="128"/>
      <c r="C103" s="128"/>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row>
    <row r="104" spans="1:26" ht="14.25" customHeight="1">
      <c r="A104" s="128"/>
      <c r="B104" s="128"/>
      <c r="C104" s="128"/>
      <c r="D104" s="128"/>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row>
    <row r="105" spans="1:26" ht="14.25" customHeight="1">
      <c r="A105" s="128"/>
      <c r="B105" s="128"/>
      <c r="C105" s="128"/>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row>
    <row r="106" spans="1:26" ht="14.25" customHeight="1">
      <c r="A106" s="128"/>
      <c r="B106" s="128"/>
      <c r="C106" s="128"/>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row>
    <row r="107" spans="1:26" ht="14.25" customHeight="1">
      <c r="A107" s="128"/>
      <c r="B107" s="128"/>
      <c r="C107" s="128"/>
      <c r="D107" s="128"/>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row>
    <row r="108" spans="1:26" ht="14.25" customHeight="1">
      <c r="A108" s="128"/>
      <c r="B108" s="128"/>
      <c r="C108" s="128"/>
      <c r="D108" s="128"/>
      <c r="E108" s="128"/>
      <c r="F108" s="128"/>
      <c r="G108" s="128"/>
      <c r="H108" s="128"/>
      <c r="I108" s="128"/>
      <c r="J108" s="128"/>
      <c r="K108" s="128"/>
      <c r="L108" s="128"/>
      <c r="M108" s="128"/>
      <c r="N108" s="128"/>
      <c r="O108" s="128"/>
      <c r="P108" s="128"/>
      <c r="Q108" s="128"/>
      <c r="R108" s="128"/>
      <c r="S108" s="128"/>
      <c r="T108" s="128"/>
      <c r="U108" s="128"/>
      <c r="V108" s="128"/>
      <c r="W108" s="128"/>
      <c r="X108" s="128"/>
      <c r="Y108" s="128"/>
      <c r="Z108" s="128"/>
    </row>
    <row r="109" spans="1:26" ht="14.25" customHeight="1">
      <c r="A109" s="128"/>
      <c r="B109" s="128"/>
      <c r="C109" s="128"/>
      <c r="D109" s="128"/>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28"/>
    </row>
    <row r="110" spans="1:26" ht="14.25" customHeight="1">
      <c r="A110" s="128"/>
      <c r="B110" s="128"/>
      <c r="C110" s="128"/>
      <c r="D110" s="128"/>
      <c r="E110" s="128"/>
      <c r="F110" s="128"/>
      <c r="G110" s="128"/>
      <c r="H110" s="128"/>
      <c r="I110" s="128"/>
      <c r="J110" s="128"/>
      <c r="K110" s="128"/>
      <c r="L110" s="128"/>
      <c r="M110" s="128"/>
      <c r="N110" s="128"/>
      <c r="O110" s="128"/>
      <c r="P110" s="128"/>
      <c r="Q110" s="128"/>
      <c r="R110" s="128"/>
      <c r="S110" s="128"/>
      <c r="T110" s="128"/>
      <c r="U110" s="128"/>
      <c r="V110" s="128"/>
      <c r="W110" s="128"/>
      <c r="X110" s="128"/>
      <c r="Y110" s="128"/>
      <c r="Z110" s="128"/>
    </row>
    <row r="111" spans="1:26" ht="14.25" customHeight="1">
      <c r="A111" s="128"/>
      <c r="B111" s="128"/>
      <c r="C111" s="128"/>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row>
    <row r="112" spans="1:26" ht="14.25" customHeight="1">
      <c r="A112" s="128"/>
      <c r="B112" s="128"/>
      <c r="C112" s="128"/>
      <c r="D112" s="128"/>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row>
    <row r="113" spans="1:26" ht="14.25" customHeight="1">
      <c r="A113" s="128"/>
      <c r="B113" s="128"/>
      <c r="C113" s="128"/>
      <c r="D113" s="128"/>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28"/>
    </row>
    <row r="114" spans="1:26" ht="14.25" customHeight="1">
      <c r="A114" s="128"/>
      <c r="B114" s="128"/>
      <c r="C114" s="128"/>
      <c r="D114" s="128"/>
      <c r="E114" s="128"/>
      <c r="F114" s="128"/>
      <c r="G114" s="128"/>
      <c r="H114" s="128"/>
      <c r="I114" s="128"/>
      <c r="J114" s="128"/>
      <c r="K114" s="128"/>
      <c r="L114" s="128"/>
      <c r="M114" s="128"/>
      <c r="N114" s="128"/>
      <c r="O114" s="128"/>
      <c r="P114" s="128"/>
      <c r="Q114" s="128"/>
      <c r="R114" s="128"/>
      <c r="S114" s="128"/>
      <c r="T114" s="128"/>
      <c r="U114" s="128"/>
      <c r="V114" s="128"/>
      <c r="W114" s="128"/>
      <c r="X114" s="128"/>
      <c r="Y114" s="128"/>
      <c r="Z114" s="128"/>
    </row>
    <row r="115" spans="1:26" ht="14.25" customHeight="1">
      <c r="A115" s="128"/>
      <c r="B115" s="128"/>
      <c r="C115" s="128"/>
      <c r="D115" s="128"/>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28"/>
    </row>
    <row r="116" spans="1:26" ht="14.25" customHeight="1">
      <c r="A116" s="128"/>
      <c r="B116" s="128"/>
      <c r="C116" s="128"/>
      <c r="D116" s="128"/>
      <c r="E116" s="128"/>
      <c r="F116" s="128"/>
      <c r="G116" s="128"/>
      <c r="H116" s="128"/>
      <c r="I116" s="128"/>
      <c r="J116" s="128"/>
      <c r="K116" s="128"/>
      <c r="L116" s="128"/>
      <c r="M116" s="128"/>
      <c r="N116" s="128"/>
      <c r="O116" s="128"/>
      <c r="P116" s="128"/>
      <c r="Q116" s="128"/>
      <c r="R116" s="128"/>
      <c r="S116" s="128"/>
      <c r="T116" s="128"/>
      <c r="U116" s="128"/>
      <c r="V116" s="128"/>
      <c r="W116" s="128"/>
      <c r="X116" s="128"/>
      <c r="Y116" s="128"/>
      <c r="Z116" s="128"/>
    </row>
    <row r="117" spans="1:26" ht="14.25" customHeight="1">
      <c r="A117" s="128"/>
      <c r="B117" s="128"/>
      <c r="C117" s="128"/>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row>
    <row r="118" spans="1:26" ht="14.25" customHeight="1">
      <c r="A118" s="128"/>
      <c r="B118" s="128"/>
      <c r="C118" s="128"/>
      <c r="D118" s="128"/>
      <c r="E118" s="128"/>
      <c r="F118" s="128"/>
      <c r="G118" s="128"/>
      <c r="H118" s="128"/>
      <c r="I118" s="128"/>
      <c r="J118" s="128"/>
      <c r="K118" s="128"/>
      <c r="L118" s="128"/>
      <c r="M118" s="128"/>
      <c r="N118" s="128"/>
      <c r="O118" s="128"/>
      <c r="P118" s="128"/>
      <c r="Q118" s="128"/>
      <c r="R118" s="128"/>
      <c r="S118" s="128"/>
      <c r="T118" s="128"/>
      <c r="U118" s="128"/>
      <c r="V118" s="128"/>
      <c r="W118" s="128"/>
      <c r="X118" s="128"/>
      <c r="Y118" s="128"/>
      <c r="Z118" s="128"/>
    </row>
    <row r="119" spans="1:26" ht="14.25" customHeight="1">
      <c r="A119" s="128"/>
      <c r="B119" s="128"/>
      <c r="C119" s="128"/>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row>
    <row r="120" spans="1:26" ht="14.25" customHeight="1">
      <c r="A120" s="128"/>
      <c r="B120" s="128"/>
      <c r="C120" s="128"/>
      <c r="D120" s="128"/>
      <c r="E120" s="128"/>
      <c r="F120" s="128"/>
      <c r="G120" s="128"/>
      <c r="H120" s="128"/>
      <c r="I120" s="128"/>
      <c r="J120" s="128"/>
      <c r="K120" s="128"/>
      <c r="L120" s="128"/>
      <c r="M120" s="128"/>
      <c r="N120" s="128"/>
      <c r="O120" s="128"/>
      <c r="P120" s="128"/>
      <c r="Q120" s="128"/>
      <c r="R120" s="128"/>
      <c r="S120" s="128"/>
      <c r="T120" s="128"/>
      <c r="U120" s="128"/>
      <c r="V120" s="128"/>
      <c r="W120" s="128"/>
      <c r="X120" s="128"/>
      <c r="Y120" s="128"/>
      <c r="Z120" s="128"/>
    </row>
    <row r="121" spans="1:26" ht="14.25" customHeight="1">
      <c r="A121" s="128"/>
      <c r="B121" s="128"/>
      <c r="C121" s="128"/>
      <c r="D121" s="128"/>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28"/>
    </row>
    <row r="122" spans="1:26" ht="14.25" customHeight="1">
      <c r="A122" s="128"/>
      <c r="B122" s="128"/>
      <c r="C122" s="128"/>
      <c r="D122" s="128"/>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row>
    <row r="123" spans="1:26" ht="14.25" customHeight="1">
      <c r="A123" s="128"/>
      <c r="B123" s="128"/>
      <c r="C123" s="128"/>
      <c r="D123" s="128"/>
      <c r="E123" s="128"/>
      <c r="F123" s="128"/>
      <c r="G123" s="128"/>
      <c r="H123" s="128"/>
      <c r="I123" s="128"/>
      <c r="J123" s="128"/>
      <c r="K123" s="128"/>
      <c r="L123" s="128"/>
      <c r="M123" s="128"/>
      <c r="N123" s="128"/>
      <c r="O123" s="128"/>
      <c r="P123" s="128"/>
      <c r="Q123" s="128"/>
      <c r="R123" s="128"/>
      <c r="S123" s="128"/>
      <c r="T123" s="128"/>
      <c r="U123" s="128"/>
      <c r="V123" s="128"/>
      <c r="W123" s="128"/>
      <c r="X123" s="128"/>
      <c r="Y123" s="128"/>
      <c r="Z123" s="128"/>
    </row>
    <row r="124" spans="1:26" ht="14.25" customHeight="1">
      <c r="A124" s="128"/>
      <c r="B124" s="128"/>
      <c r="C124" s="128"/>
      <c r="D124" s="128"/>
      <c r="E124" s="128"/>
      <c r="F124" s="128"/>
      <c r="G124" s="128"/>
      <c r="H124" s="128"/>
      <c r="I124" s="128"/>
      <c r="J124" s="128"/>
      <c r="K124" s="128"/>
      <c r="L124" s="128"/>
      <c r="M124" s="128"/>
      <c r="N124" s="128"/>
      <c r="O124" s="128"/>
      <c r="P124" s="128"/>
      <c r="Q124" s="128"/>
      <c r="R124" s="128"/>
      <c r="S124" s="128"/>
      <c r="T124" s="128"/>
      <c r="U124" s="128"/>
      <c r="V124" s="128"/>
      <c r="W124" s="128"/>
      <c r="X124" s="128"/>
      <c r="Y124" s="128"/>
      <c r="Z124" s="128"/>
    </row>
    <row r="125" spans="1:26" ht="14.25" customHeight="1">
      <c r="A125" s="128"/>
      <c r="B125" s="128"/>
      <c r="C125" s="128"/>
      <c r="D125" s="128"/>
      <c r="E125" s="128"/>
      <c r="F125" s="128"/>
      <c r="G125" s="128"/>
      <c r="H125" s="128"/>
      <c r="I125" s="128"/>
      <c r="J125" s="128"/>
      <c r="K125" s="128"/>
      <c r="L125" s="128"/>
      <c r="M125" s="128"/>
      <c r="N125" s="128"/>
      <c r="O125" s="128"/>
      <c r="P125" s="128"/>
      <c r="Q125" s="128"/>
      <c r="R125" s="128"/>
      <c r="S125" s="128"/>
      <c r="T125" s="128"/>
      <c r="U125" s="128"/>
      <c r="V125" s="128"/>
      <c r="W125" s="128"/>
      <c r="X125" s="128"/>
      <c r="Y125" s="128"/>
      <c r="Z125" s="128"/>
    </row>
    <row r="126" spans="1:26" ht="14.25" customHeight="1">
      <c r="A126" s="128"/>
      <c r="B126" s="128"/>
      <c r="C126" s="128"/>
      <c r="D126" s="128"/>
      <c r="E126" s="128"/>
      <c r="F126" s="128"/>
      <c r="G126" s="128"/>
      <c r="H126" s="128"/>
      <c r="I126" s="128"/>
      <c r="J126" s="128"/>
      <c r="K126" s="128"/>
      <c r="L126" s="128"/>
      <c r="M126" s="128"/>
      <c r="N126" s="128"/>
      <c r="O126" s="128"/>
      <c r="P126" s="128"/>
      <c r="Q126" s="128"/>
      <c r="R126" s="128"/>
      <c r="S126" s="128"/>
      <c r="T126" s="128"/>
      <c r="U126" s="128"/>
      <c r="V126" s="128"/>
      <c r="W126" s="128"/>
      <c r="X126" s="128"/>
      <c r="Y126" s="128"/>
      <c r="Z126" s="128"/>
    </row>
    <row r="127" spans="1:26" ht="14.25" customHeight="1">
      <c r="A127" s="128"/>
      <c r="B127" s="128"/>
      <c r="C127" s="128"/>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row>
    <row r="128" spans="1:26" ht="14.25" customHeight="1">
      <c r="A128" s="128"/>
      <c r="B128" s="128"/>
      <c r="C128" s="128"/>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row>
    <row r="129" spans="1:26" ht="14.25" customHeight="1">
      <c r="A129" s="128"/>
      <c r="B129" s="128"/>
      <c r="C129" s="128"/>
      <c r="D129" s="128"/>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28"/>
    </row>
    <row r="130" spans="1:26" ht="14.25" customHeight="1">
      <c r="A130" s="128"/>
      <c r="B130" s="128"/>
      <c r="C130" s="128"/>
      <c r="D130" s="128"/>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row>
    <row r="131" spans="1:26" ht="14.25" customHeight="1">
      <c r="A131" s="128"/>
      <c r="B131" s="128"/>
      <c r="C131" s="128"/>
      <c r="D131" s="128"/>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row>
    <row r="132" spans="1:26" ht="14.25" customHeight="1">
      <c r="A132" s="128"/>
      <c r="B132" s="128"/>
      <c r="C132" s="128"/>
      <c r="D132" s="128"/>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28"/>
    </row>
    <row r="133" spans="1:26" ht="14.25" customHeight="1">
      <c r="A133" s="128"/>
      <c r="B133" s="128"/>
      <c r="C133" s="128"/>
      <c r="D133" s="128"/>
      <c r="E133" s="128"/>
      <c r="F133" s="128"/>
      <c r="G133" s="128"/>
      <c r="H133" s="128"/>
      <c r="I133" s="128"/>
      <c r="J133" s="128"/>
      <c r="K133" s="128"/>
      <c r="L133" s="128"/>
      <c r="M133" s="128"/>
      <c r="N133" s="128"/>
      <c r="O133" s="128"/>
      <c r="P133" s="128"/>
      <c r="Q133" s="128"/>
      <c r="R133" s="128"/>
      <c r="S133" s="128"/>
      <c r="T133" s="128"/>
      <c r="U133" s="128"/>
      <c r="V133" s="128"/>
      <c r="W133" s="128"/>
      <c r="X133" s="128"/>
      <c r="Y133" s="128"/>
      <c r="Z133" s="128"/>
    </row>
    <row r="134" spans="1:26" ht="14.25" customHeight="1">
      <c r="A134" s="128"/>
      <c r="B134" s="128"/>
      <c r="C134" s="128"/>
      <c r="D134" s="128"/>
      <c r="E134" s="128"/>
      <c r="F134" s="128"/>
      <c r="G134" s="128"/>
      <c r="H134" s="128"/>
      <c r="I134" s="128"/>
      <c r="J134" s="128"/>
      <c r="K134" s="128"/>
      <c r="L134" s="128"/>
      <c r="M134" s="128"/>
      <c r="N134" s="128"/>
      <c r="O134" s="128"/>
      <c r="P134" s="128"/>
      <c r="Q134" s="128"/>
      <c r="R134" s="128"/>
      <c r="S134" s="128"/>
      <c r="T134" s="128"/>
      <c r="U134" s="128"/>
      <c r="V134" s="128"/>
      <c r="W134" s="128"/>
      <c r="X134" s="128"/>
      <c r="Y134" s="128"/>
      <c r="Z134" s="128"/>
    </row>
    <row r="135" spans="1:26" ht="14.25" customHeight="1">
      <c r="A135" s="128"/>
      <c r="B135" s="128"/>
      <c r="C135" s="128"/>
      <c r="D135" s="128"/>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28"/>
    </row>
    <row r="136" spans="1:26" ht="14.25" customHeight="1">
      <c r="A136" s="128"/>
      <c r="B136" s="128"/>
      <c r="C136" s="128"/>
      <c r="D136" s="128"/>
      <c r="E136" s="128"/>
      <c r="F136" s="128"/>
      <c r="G136" s="128"/>
      <c r="H136" s="128"/>
      <c r="I136" s="128"/>
      <c r="J136" s="128"/>
      <c r="K136" s="128"/>
      <c r="L136" s="128"/>
      <c r="M136" s="128"/>
      <c r="N136" s="128"/>
      <c r="O136" s="128"/>
      <c r="P136" s="128"/>
      <c r="Q136" s="128"/>
      <c r="R136" s="128"/>
      <c r="S136" s="128"/>
      <c r="T136" s="128"/>
      <c r="U136" s="128"/>
      <c r="V136" s="128"/>
      <c r="W136" s="128"/>
      <c r="X136" s="128"/>
      <c r="Y136" s="128"/>
      <c r="Z136" s="128"/>
    </row>
    <row r="137" spans="1:26" ht="14.25" customHeight="1">
      <c r="A137" s="128"/>
      <c r="B137" s="128"/>
      <c r="C137" s="128"/>
      <c r="D137" s="128"/>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28"/>
    </row>
    <row r="138" spans="1:26" ht="14.25" customHeight="1">
      <c r="A138" s="128"/>
      <c r="B138" s="128"/>
      <c r="C138" s="128"/>
      <c r="D138" s="128"/>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row>
    <row r="139" spans="1:26" ht="14.25" customHeight="1">
      <c r="A139" s="128"/>
      <c r="B139" s="128"/>
      <c r="C139" s="128"/>
      <c r="D139" s="128"/>
      <c r="E139" s="128"/>
      <c r="F139" s="128"/>
      <c r="G139" s="128"/>
      <c r="H139" s="128"/>
      <c r="I139" s="128"/>
      <c r="J139" s="128"/>
      <c r="K139" s="128"/>
      <c r="L139" s="128"/>
      <c r="M139" s="128"/>
      <c r="N139" s="128"/>
      <c r="O139" s="128"/>
      <c r="P139" s="128"/>
      <c r="Q139" s="128"/>
      <c r="R139" s="128"/>
      <c r="S139" s="128"/>
      <c r="T139" s="128"/>
      <c r="U139" s="128"/>
      <c r="V139" s="128"/>
      <c r="W139" s="128"/>
      <c r="X139" s="128"/>
      <c r="Y139" s="128"/>
      <c r="Z139" s="128"/>
    </row>
    <row r="140" spans="1:26" ht="14.25" customHeight="1">
      <c r="A140" s="128"/>
      <c r="B140" s="128"/>
      <c r="C140" s="128"/>
      <c r="D140" s="128"/>
      <c r="E140" s="128"/>
      <c r="F140" s="128"/>
      <c r="G140" s="128"/>
      <c r="H140" s="128"/>
      <c r="I140" s="128"/>
      <c r="J140" s="128"/>
      <c r="K140" s="128"/>
      <c r="L140" s="128"/>
      <c r="M140" s="128"/>
      <c r="N140" s="128"/>
      <c r="O140" s="128"/>
      <c r="P140" s="128"/>
      <c r="Q140" s="128"/>
      <c r="R140" s="128"/>
      <c r="S140" s="128"/>
      <c r="T140" s="128"/>
      <c r="U140" s="128"/>
      <c r="V140" s="128"/>
      <c r="W140" s="128"/>
      <c r="X140" s="128"/>
      <c r="Y140" s="128"/>
      <c r="Z140" s="128"/>
    </row>
    <row r="141" spans="1:26" ht="14.25" customHeight="1">
      <c r="A141" s="128"/>
      <c r="B141" s="128"/>
      <c r="C141" s="128"/>
      <c r="D141" s="128"/>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28"/>
    </row>
    <row r="142" spans="1:26" ht="14.25" customHeight="1">
      <c r="A142" s="128"/>
      <c r="B142" s="128"/>
      <c r="C142" s="128"/>
      <c r="D142" s="128"/>
      <c r="E142" s="128"/>
      <c r="F142" s="128"/>
      <c r="G142" s="128"/>
      <c r="H142" s="128"/>
      <c r="I142" s="128"/>
      <c r="J142" s="128"/>
      <c r="K142" s="128"/>
      <c r="L142" s="128"/>
      <c r="M142" s="128"/>
      <c r="N142" s="128"/>
      <c r="O142" s="128"/>
      <c r="P142" s="128"/>
      <c r="Q142" s="128"/>
      <c r="R142" s="128"/>
      <c r="S142" s="128"/>
      <c r="T142" s="128"/>
      <c r="U142" s="128"/>
      <c r="V142" s="128"/>
      <c r="W142" s="128"/>
      <c r="X142" s="128"/>
      <c r="Y142" s="128"/>
      <c r="Z142" s="128"/>
    </row>
    <row r="143" spans="1:26" ht="14.25" customHeight="1">
      <c r="A143" s="128"/>
      <c r="B143" s="128"/>
      <c r="C143" s="128"/>
      <c r="D143" s="128"/>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28"/>
    </row>
    <row r="144" spans="1:26" ht="14.25" customHeight="1">
      <c r="A144" s="128"/>
      <c r="B144" s="128"/>
      <c r="C144" s="128"/>
      <c r="D144" s="128"/>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row>
    <row r="145" spans="1:26" ht="14.25" customHeight="1">
      <c r="A145" s="128"/>
      <c r="B145" s="128"/>
      <c r="C145" s="128"/>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row>
    <row r="146" spans="1:26" ht="14.25" customHeight="1">
      <c r="A146" s="128"/>
      <c r="B146" s="128"/>
      <c r="C146" s="128"/>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row>
    <row r="147" spans="1:26" ht="14.25" customHeight="1">
      <c r="A147" s="128"/>
      <c r="B147" s="128"/>
      <c r="C147" s="128"/>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row>
    <row r="148" spans="1:26" ht="14.25" customHeight="1">
      <c r="A148" s="128"/>
      <c r="B148" s="128"/>
      <c r="C148" s="128"/>
      <c r="D148" s="128"/>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row>
    <row r="149" spans="1:26" ht="14.25" customHeight="1">
      <c r="A149" s="128"/>
      <c r="B149" s="128"/>
      <c r="C149" s="128"/>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row>
    <row r="150" spans="1:26" ht="14.25" customHeight="1">
      <c r="A150" s="128"/>
      <c r="B150" s="128"/>
      <c r="C150" s="128"/>
      <c r="D150" s="128"/>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row>
    <row r="151" spans="1:26" ht="14.25" customHeight="1">
      <c r="A151" s="128"/>
      <c r="B151" s="128"/>
      <c r="C151" s="128"/>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row>
    <row r="152" spans="1:26" ht="14.25" customHeight="1">
      <c r="A152" s="128"/>
      <c r="B152" s="128"/>
      <c r="C152" s="128"/>
      <c r="D152" s="128"/>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row>
    <row r="153" spans="1:26" ht="14.25" customHeight="1">
      <c r="A153" s="128"/>
      <c r="B153" s="128"/>
      <c r="C153" s="128"/>
      <c r="D153" s="128"/>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28"/>
    </row>
    <row r="154" spans="1:26" ht="14.25" customHeight="1">
      <c r="A154" s="128"/>
      <c r="B154" s="128"/>
      <c r="C154" s="128"/>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row>
    <row r="155" spans="1:26" ht="14.25" customHeight="1">
      <c r="A155" s="128"/>
      <c r="B155" s="128"/>
      <c r="C155" s="128"/>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row>
    <row r="156" spans="1:26" ht="14.25" customHeight="1">
      <c r="A156" s="128"/>
      <c r="B156" s="128"/>
      <c r="C156" s="128"/>
      <c r="D156" s="128"/>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row>
    <row r="157" spans="1:26" ht="14.25" customHeight="1">
      <c r="A157" s="128"/>
      <c r="B157" s="128"/>
      <c r="C157" s="128"/>
      <c r="D157" s="128"/>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28"/>
    </row>
    <row r="158" spans="1:26" ht="14.25" customHeight="1">
      <c r="A158" s="128"/>
      <c r="B158" s="128"/>
      <c r="C158" s="128"/>
      <c r="D158" s="128"/>
      <c r="E158" s="128"/>
      <c r="F158" s="128"/>
      <c r="G158" s="128"/>
      <c r="H158" s="128"/>
      <c r="I158" s="128"/>
      <c r="J158" s="128"/>
      <c r="K158" s="128"/>
      <c r="L158" s="128"/>
      <c r="M158" s="128"/>
      <c r="N158" s="128"/>
      <c r="O158" s="128"/>
      <c r="P158" s="128"/>
      <c r="Q158" s="128"/>
      <c r="R158" s="128"/>
      <c r="S158" s="128"/>
      <c r="T158" s="128"/>
      <c r="U158" s="128"/>
      <c r="V158" s="128"/>
      <c r="W158" s="128"/>
      <c r="X158" s="128"/>
      <c r="Y158" s="128"/>
      <c r="Z158" s="128"/>
    </row>
    <row r="159" spans="1:26" ht="14.25" customHeight="1">
      <c r="A159" s="128"/>
      <c r="B159" s="128"/>
      <c r="C159" s="128"/>
      <c r="D159" s="128"/>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28"/>
    </row>
    <row r="160" spans="1:26" ht="14.25" customHeight="1">
      <c r="A160" s="128"/>
      <c r="B160" s="128"/>
      <c r="C160" s="128"/>
      <c r="D160" s="128"/>
      <c r="E160" s="128"/>
      <c r="F160" s="128"/>
      <c r="G160" s="128"/>
      <c r="H160" s="128"/>
      <c r="I160" s="128"/>
      <c r="J160" s="128"/>
      <c r="K160" s="128"/>
      <c r="L160" s="128"/>
      <c r="M160" s="128"/>
      <c r="N160" s="128"/>
      <c r="O160" s="128"/>
      <c r="P160" s="128"/>
      <c r="Q160" s="128"/>
      <c r="R160" s="128"/>
      <c r="S160" s="128"/>
      <c r="T160" s="128"/>
      <c r="U160" s="128"/>
      <c r="V160" s="128"/>
      <c r="W160" s="128"/>
      <c r="X160" s="128"/>
      <c r="Y160" s="128"/>
      <c r="Z160" s="128"/>
    </row>
    <row r="161" spans="1:26" ht="14.25" customHeight="1">
      <c r="A161" s="128"/>
      <c r="B161" s="128"/>
      <c r="C161" s="128"/>
      <c r="D161" s="128"/>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28"/>
    </row>
    <row r="162" spans="1:26" ht="14.25" customHeight="1">
      <c r="A162" s="128"/>
      <c r="B162" s="128"/>
      <c r="C162" s="128"/>
      <c r="D162" s="128"/>
      <c r="E162" s="128"/>
      <c r="F162" s="128"/>
      <c r="G162" s="128"/>
      <c r="H162" s="128"/>
      <c r="I162" s="128"/>
      <c r="J162" s="128"/>
      <c r="K162" s="128"/>
      <c r="L162" s="128"/>
      <c r="M162" s="128"/>
      <c r="N162" s="128"/>
      <c r="O162" s="128"/>
      <c r="P162" s="128"/>
      <c r="Q162" s="128"/>
      <c r="R162" s="128"/>
      <c r="S162" s="128"/>
      <c r="T162" s="128"/>
      <c r="U162" s="128"/>
      <c r="V162" s="128"/>
      <c r="W162" s="128"/>
      <c r="X162" s="128"/>
      <c r="Y162" s="128"/>
      <c r="Z162" s="128"/>
    </row>
    <row r="163" spans="1:26" ht="14.25" customHeight="1">
      <c r="A163" s="128"/>
      <c r="B163" s="128"/>
      <c r="C163" s="128"/>
      <c r="D163" s="128"/>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28"/>
    </row>
    <row r="164" spans="1:26" ht="14.25" customHeight="1">
      <c r="A164" s="128"/>
      <c r="B164" s="128"/>
      <c r="C164" s="128"/>
      <c r="D164" s="128"/>
      <c r="E164" s="128"/>
      <c r="F164" s="128"/>
      <c r="G164" s="128"/>
      <c r="H164" s="128"/>
      <c r="I164" s="128"/>
      <c r="J164" s="128"/>
      <c r="K164" s="128"/>
      <c r="L164" s="128"/>
      <c r="M164" s="128"/>
      <c r="N164" s="128"/>
      <c r="O164" s="128"/>
      <c r="P164" s="128"/>
      <c r="Q164" s="128"/>
      <c r="R164" s="128"/>
      <c r="S164" s="128"/>
      <c r="T164" s="128"/>
      <c r="U164" s="128"/>
      <c r="V164" s="128"/>
      <c r="W164" s="128"/>
      <c r="X164" s="128"/>
      <c r="Y164" s="128"/>
      <c r="Z164" s="128"/>
    </row>
    <row r="165" spans="1:26" ht="14.25" customHeight="1">
      <c r="A165" s="128"/>
      <c r="B165" s="128"/>
      <c r="C165" s="128"/>
      <c r="D165" s="128"/>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28"/>
    </row>
    <row r="166" spans="1:26" ht="14.25" customHeight="1">
      <c r="A166" s="128"/>
      <c r="B166" s="128"/>
      <c r="C166" s="128"/>
      <c r="D166" s="128"/>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row>
    <row r="167" spans="1:26" ht="14.25" customHeight="1">
      <c r="A167" s="128"/>
      <c r="B167" s="128"/>
      <c r="C167" s="128"/>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row>
    <row r="168" spans="1:26" ht="14.25" customHeight="1">
      <c r="A168" s="128"/>
      <c r="B168" s="128"/>
      <c r="C168" s="128"/>
      <c r="D168" s="128"/>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row>
    <row r="169" spans="1:26" ht="14.25" customHeight="1">
      <c r="A169" s="128"/>
      <c r="B169" s="128"/>
      <c r="C169" s="128"/>
      <c r="D169" s="128"/>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28"/>
    </row>
    <row r="170" spans="1:26" ht="14.25" customHeight="1">
      <c r="A170" s="128"/>
      <c r="B170" s="128"/>
      <c r="C170" s="128"/>
      <c r="D170" s="128"/>
      <c r="E170" s="128"/>
      <c r="F170" s="128"/>
      <c r="G170" s="128"/>
      <c r="H170" s="128"/>
      <c r="I170" s="128"/>
      <c r="J170" s="128"/>
      <c r="K170" s="128"/>
      <c r="L170" s="128"/>
      <c r="M170" s="128"/>
      <c r="N170" s="128"/>
      <c r="O170" s="128"/>
      <c r="P170" s="128"/>
      <c r="Q170" s="128"/>
      <c r="R170" s="128"/>
      <c r="S170" s="128"/>
      <c r="T170" s="128"/>
      <c r="U170" s="128"/>
      <c r="V170" s="128"/>
      <c r="W170" s="128"/>
      <c r="X170" s="128"/>
      <c r="Y170" s="128"/>
      <c r="Z170" s="128"/>
    </row>
    <row r="171" spans="1:26" ht="14.25" customHeight="1">
      <c r="A171" s="128"/>
      <c r="B171" s="128"/>
      <c r="C171" s="128"/>
      <c r="D171" s="128"/>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28"/>
    </row>
    <row r="172" spans="1:26" ht="14.25" customHeight="1">
      <c r="A172" s="128"/>
      <c r="B172" s="128"/>
      <c r="C172" s="128"/>
      <c r="D172" s="128"/>
      <c r="E172" s="128"/>
      <c r="F172" s="128"/>
      <c r="G172" s="128"/>
      <c r="H172" s="128"/>
      <c r="I172" s="128"/>
      <c r="J172" s="128"/>
      <c r="K172" s="128"/>
      <c r="L172" s="128"/>
      <c r="M172" s="128"/>
      <c r="N172" s="128"/>
      <c r="O172" s="128"/>
      <c r="P172" s="128"/>
      <c r="Q172" s="128"/>
      <c r="R172" s="128"/>
      <c r="S172" s="128"/>
      <c r="T172" s="128"/>
      <c r="U172" s="128"/>
      <c r="V172" s="128"/>
      <c r="W172" s="128"/>
      <c r="X172" s="128"/>
      <c r="Y172" s="128"/>
      <c r="Z172" s="128"/>
    </row>
    <row r="173" spans="1:26" ht="14.25" customHeight="1">
      <c r="A173" s="128"/>
      <c r="B173" s="128"/>
      <c r="C173" s="128"/>
      <c r="D173" s="128"/>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28"/>
    </row>
    <row r="174" spans="1:26" ht="14.25" customHeight="1">
      <c r="A174" s="128"/>
      <c r="B174" s="128"/>
      <c r="C174" s="128"/>
      <c r="D174" s="128"/>
      <c r="E174" s="128"/>
      <c r="F174" s="128"/>
      <c r="G174" s="128"/>
      <c r="H174" s="128"/>
      <c r="I174" s="128"/>
      <c r="J174" s="128"/>
      <c r="K174" s="128"/>
      <c r="L174" s="128"/>
      <c r="M174" s="128"/>
      <c r="N174" s="128"/>
      <c r="O174" s="128"/>
      <c r="P174" s="128"/>
      <c r="Q174" s="128"/>
      <c r="R174" s="128"/>
      <c r="S174" s="128"/>
      <c r="T174" s="128"/>
      <c r="U174" s="128"/>
      <c r="V174" s="128"/>
      <c r="W174" s="128"/>
      <c r="X174" s="128"/>
      <c r="Y174" s="128"/>
      <c r="Z174" s="128"/>
    </row>
    <row r="175" spans="1:26" ht="14.25" customHeight="1">
      <c r="A175" s="128"/>
      <c r="B175" s="128"/>
      <c r="C175" s="128"/>
      <c r="D175" s="128"/>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28"/>
    </row>
    <row r="176" spans="1:26" ht="14.25" customHeight="1">
      <c r="A176" s="128"/>
      <c r="B176" s="128"/>
      <c r="C176" s="128"/>
      <c r="D176" s="128"/>
      <c r="E176" s="128"/>
      <c r="F176" s="128"/>
      <c r="G176" s="128"/>
      <c r="H176" s="128"/>
      <c r="I176" s="128"/>
      <c r="J176" s="128"/>
      <c r="K176" s="128"/>
      <c r="L176" s="128"/>
      <c r="M176" s="128"/>
      <c r="N176" s="128"/>
      <c r="O176" s="128"/>
      <c r="P176" s="128"/>
      <c r="Q176" s="128"/>
      <c r="R176" s="128"/>
      <c r="S176" s="128"/>
      <c r="T176" s="128"/>
      <c r="U176" s="128"/>
      <c r="V176" s="128"/>
      <c r="W176" s="128"/>
      <c r="X176" s="128"/>
      <c r="Y176" s="128"/>
      <c r="Z176" s="128"/>
    </row>
    <row r="177" spans="1:26" ht="14.25" customHeight="1">
      <c r="A177" s="128"/>
      <c r="B177" s="128"/>
      <c r="C177" s="12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row>
    <row r="178" spans="1:26" ht="14.25" customHeight="1">
      <c r="A178" s="128"/>
      <c r="B178" s="128"/>
      <c r="C178" s="128"/>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row>
    <row r="179" spans="1:26" ht="14.25" customHeight="1">
      <c r="A179" s="128"/>
      <c r="B179" s="128"/>
      <c r="C179" s="128"/>
      <c r="D179" s="128"/>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28"/>
    </row>
    <row r="180" spans="1:26" ht="14.25" customHeight="1">
      <c r="A180" s="128"/>
      <c r="B180" s="128"/>
      <c r="C180" s="128"/>
      <c r="D180" s="128"/>
      <c r="E180" s="128"/>
      <c r="F180" s="128"/>
      <c r="G180" s="128"/>
      <c r="H180" s="128"/>
      <c r="I180" s="128"/>
      <c r="J180" s="128"/>
      <c r="K180" s="128"/>
      <c r="L180" s="128"/>
      <c r="M180" s="128"/>
      <c r="N180" s="128"/>
      <c r="O180" s="128"/>
      <c r="P180" s="128"/>
      <c r="Q180" s="128"/>
      <c r="R180" s="128"/>
      <c r="S180" s="128"/>
      <c r="T180" s="128"/>
      <c r="U180" s="128"/>
      <c r="V180" s="128"/>
      <c r="W180" s="128"/>
      <c r="X180" s="128"/>
      <c r="Y180" s="128"/>
      <c r="Z180" s="128"/>
    </row>
    <row r="181" spans="1:26" ht="14.25" customHeight="1">
      <c r="A181" s="128"/>
      <c r="B181" s="128"/>
      <c r="C181" s="128"/>
      <c r="D181" s="128"/>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28"/>
    </row>
    <row r="182" spans="1:26" ht="14.25" customHeight="1">
      <c r="A182" s="128"/>
      <c r="B182" s="128"/>
      <c r="C182" s="128"/>
      <c r="D182" s="128"/>
      <c r="E182" s="128"/>
      <c r="F182" s="128"/>
      <c r="G182" s="128"/>
      <c r="H182" s="128"/>
      <c r="I182" s="128"/>
      <c r="J182" s="128"/>
      <c r="K182" s="128"/>
      <c r="L182" s="128"/>
      <c r="M182" s="128"/>
      <c r="N182" s="128"/>
      <c r="O182" s="128"/>
      <c r="P182" s="128"/>
      <c r="Q182" s="128"/>
      <c r="R182" s="128"/>
      <c r="S182" s="128"/>
      <c r="T182" s="128"/>
      <c r="U182" s="128"/>
      <c r="V182" s="128"/>
      <c r="W182" s="128"/>
      <c r="X182" s="128"/>
      <c r="Y182" s="128"/>
      <c r="Z182" s="128"/>
    </row>
    <row r="183" spans="1:26" ht="14.25" customHeight="1">
      <c r="A183" s="128"/>
      <c r="B183" s="128"/>
      <c r="C183" s="128"/>
      <c r="D183" s="128"/>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28"/>
    </row>
    <row r="184" spans="1:26" ht="14.25" customHeight="1">
      <c r="A184" s="128"/>
      <c r="B184" s="128"/>
      <c r="C184" s="128"/>
      <c r="D184" s="128"/>
      <c r="E184" s="128"/>
      <c r="F184" s="128"/>
      <c r="G184" s="128"/>
      <c r="H184" s="128"/>
      <c r="I184" s="128"/>
      <c r="J184" s="128"/>
      <c r="K184" s="128"/>
      <c r="L184" s="128"/>
      <c r="M184" s="128"/>
      <c r="N184" s="128"/>
      <c r="O184" s="128"/>
      <c r="P184" s="128"/>
      <c r="Q184" s="128"/>
      <c r="R184" s="128"/>
      <c r="S184" s="128"/>
      <c r="T184" s="128"/>
      <c r="U184" s="128"/>
      <c r="V184" s="128"/>
      <c r="W184" s="128"/>
      <c r="X184" s="128"/>
      <c r="Y184" s="128"/>
      <c r="Z184" s="128"/>
    </row>
    <row r="185" spans="1:26" ht="14.25" customHeight="1">
      <c r="A185" s="128"/>
      <c r="B185" s="128"/>
      <c r="C185" s="128"/>
      <c r="D185" s="128"/>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28"/>
    </row>
    <row r="186" spans="1:26" ht="14.25" customHeight="1">
      <c r="A186" s="128"/>
      <c r="B186" s="128"/>
      <c r="C186" s="128"/>
      <c r="D186" s="128"/>
      <c r="E186" s="128"/>
      <c r="F186" s="128"/>
      <c r="G186" s="128"/>
      <c r="H186" s="128"/>
      <c r="I186" s="128"/>
      <c r="J186" s="128"/>
      <c r="K186" s="128"/>
      <c r="L186" s="128"/>
      <c r="M186" s="128"/>
      <c r="N186" s="128"/>
      <c r="O186" s="128"/>
      <c r="P186" s="128"/>
      <c r="Q186" s="128"/>
      <c r="R186" s="128"/>
      <c r="S186" s="128"/>
      <c r="T186" s="128"/>
      <c r="U186" s="128"/>
      <c r="V186" s="128"/>
      <c r="W186" s="128"/>
      <c r="X186" s="128"/>
      <c r="Y186" s="128"/>
      <c r="Z186" s="128"/>
    </row>
    <row r="187" spans="1:26" ht="14.25" customHeight="1">
      <c r="A187" s="128"/>
      <c r="B187" s="128"/>
      <c r="C187" s="128"/>
      <c r="D187" s="128"/>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row>
    <row r="188" spans="1:26" ht="14.25" customHeight="1">
      <c r="A188" s="128"/>
      <c r="B188" s="128"/>
      <c r="C188" s="128"/>
      <c r="D188" s="128"/>
      <c r="E188" s="128"/>
      <c r="F188" s="128"/>
      <c r="G188" s="128"/>
      <c r="H188" s="128"/>
      <c r="I188" s="128"/>
      <c r="J188" s="128"/>
      <c r="K188" s="128"/>
      <c r="L188" s="128"/>
      <c r="M188" s="128"/>
      <c r="N188" s="128"/>
      <c r="O188" s="128"/>
      <c r="P188" s="128"/>
      <c r="Q188" s="128"/>
      <c r="R188" s="128"/>
      <c r="S188" s="128"/>
      <c r="T188" s="128"/>
      <c r="U188" s="128"/>
      <c r="V188" s="128"/>
      <c r="W188" s="128"/>
      <c r="X188" s="128"/>
      <c r="Y188" s="128"/>
      <c r="Z188" s="128"/>
    </row>
    <row r="189" spans="1:26" ht="14.25" customHeight="1">
      <c r="A189" s="128"/>
      <c r="B189" s="128"/>
      <c r="C189" s="128"/>
      <c r="D189" s="128"/>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28"/>
    </row>
    <row r="190" spans="1:26" ht="14.25" customHeight="1">
      <c r="A190" s="128"/>
      <c r="B190" s="128"/>
      <c r="C190" s="128"/>
      <c r="D190" s="128"/>
      <c r="E190" s="128"/>
      <c r="F190" s="128"/>
      <c r="G190" s="128"/>
      <c r="H190" s="128"/>
      <c r="I190" s="128"/>
      <c r="J190" s="128"/>
      <c r="K190" s="128"/>
      <c r="L190" s="128"/>
      <c r="M190" s="128"/>
      <c r="N190" s="128"/>
      <c r="O190" s="128"/>
      <c r="P190" s="128"/>
      <c r="Q190" s="128"/>
      <c r="R190" s="128"/>
      <c r="S190" s="128"/>
      <c r="T190" s="128"/>
      <c r="U190" s="128"/>
      <c r="V190" s="128"/>
      <c r="W190" s="128"/>
      <c r="X190" s="128"/>
      <c r="Y190" s="128"/>
      <c r="Z190" s="128"/>
    </row>
    <row r="191" spans="1:26" ht="14.25" customHeight="1">
      <c r="A191" s="128"/>
      <c r="B191" s="128"/>
      <c r="C191" s="128"/>
      <c r="D191" s="128"/>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28"/>
    </row>
    <row r="192" spans="1:26" ht="14.25" customHeight="1">
      <c r="A192" s="128"/>
      <c r="B192" s="128"/>
      <c r="C192" s="128"/>
      <c r="D192" s="128"/>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row>
    <row r="193" spans="1:26" ht="14.25" customHeight="1">
      <c r="A193" s="128"/>
      <c r="B193" s="128"/>
      <c r="C193" s="128"/>
      <c r="D193" s="128"/>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28"/>
    </row>
    <row r="194" spans="1:26" ht="14.25" customHeight="1">
      <c r="A194" s="128"/>
      <c r="B194" s="128"/>
      <c r="C194" s="128"/>
      <c r="D194" s="128"/>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row>
    <row r="195" spans="1:26" ht="14.25" customHeight="1">
      <c r="A195" s="128"/>
      <c r="B195" s="128"/>
      <c r="C195" s="128"/>
      <c r="D195" s="128"/>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28"/>
    </row>
    <row r="196" spans="1:26" ht="14.25" customHeight="1">
      <c r="A196" s="128"/>
      <c r="B196" s="128"/>
      <c r="C196" s="128"/>
      <c r="D196" s="128"/>
      <c r="E196" s="128"/>
      <c r="F196" s="128"/>
      <c r="G196" s="128"/>
      <c r="H196" s="128"/>
      <c r="I196" s="128"/>
      <c r="J196" s="128"/>
      <c r="K196" s="128"/>
      <c r="L196" s="128"/>
      <c r="M196" s="128"/>
      <c r="N196" s="128"/>
      <c r="O196" s="128"/>
      <c r="P196" s="128"/>
      <c r="Q196" s="128"/>
      <c r="R196" s="128"/>
      <c r="S196" s="128"/>
      <c r="T196" s="128"/>
      <c r="U196" s="128"/>
      <c r="V196" s="128"/>
      <c r="W196" s="128"/>
      <c r="X196" s="128"/>
      <c r="Y196" s="128"/>
      <c r="Z196" s="128"/>
    </row>
    <row r="197" spans="1:26" ht="14.25" customHeight="1">
      <c r="A197" s="128"/>
      <c r="B197" s="128"/>
      <c r="C197" s="128"/>
      <c r="D197" s="128"/>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28"/>
    </row>
    <row r="198" spans="1:26" ht="14.25" customHeight="1">
      <c r="A198" s="128"/>
      <c r="B198" s="128"/>
      <c r="C198" s="128"/>
      <c r="D198" s="128"/>
      <c r="E198" s="128"/>
      <c r="F198" s="128"/>
      <c r="G198" s="128"/>
      <c r="H198" s="128"/>
      <c r="I198" s="128"/>
      <c r="J198" s="128"/>
      <c r="K198" s="128"/>
      <c r="L198" s="128"/>
      <c r="M198" s="128"/>
      <c r="N198" s="128"/>
      <c r="O198" s="128"/>
      <c r="P198" s="128"/>
      <c r="Q198" s="128"/>
      <c r="R198" s="128"/>
      <c r="S198" s="128"/>
      <c r="T198" s="128"/>
      <c r="U198" s="128"/>
      <c r="V198" s="128"/>
      <c r="W198" s="128"/>
      <c r="X198" s="128"/>
      <c r="Y198" s="128"/>
      <c r="Z198" s="128"/>
    </row>
    <row r="199" spans="1:26" ht="14.25" customHeight="1">
      <c r="A199" s="128"/>
      <c r="B199" s="128"/>
      <c r="C199" s="128"/>
      <c r="D199" s="128"/>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28"/>
    </row>
    <row r="200" spans="1:26" ht="14.25" customHeight="1">
      <c r="A200" s="128"/>
      <c r="B200" s="128"/>
      <c r="C200" s="128"/>
      <c r="D200" s="128"/>
      <c r="E200" s="128"/>
      <c r="F200" s="128"/>
      <c r="G200" s="128"/>
      <c r="H200" s="128"/>
      <c r="I200" s="128"/>
      <c r="J200" s="128"/>
      <c r="K200" s="128"/>
      <c r="L200" s="128"/>
      <c r="M200" s="128"/>
      <c r="N200" s="128"/>
      <c r="O200" s="128"/>
      <c r="P200" s="128"/>
      <c r="Q200" s="128"/>
      <c r="R200" s="128"/>
      <c r="S200" s="128"/>
      <c r="T200" s="128"/>
      <c r="U200" s="128"/>
      <c r="V200" s="128"/>
      <c r="W200" s="128"/>
      <c r="X200" s="128"/>
      <c r="Y200" s="128"/>
      <c r="Z200" s="128"/>
    </row>
    <row r="201" spans="1:26" ht="14.25" customHeight="1">
      <c r="A201" s="128"/>
      <c r="B201" s="128"/>
      <c r="C201" s="128"/>
      <c r="D201" s="128"/>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28"/>
    </row>
    <row r="202" spans="1:26" ht="14.25" customHeight="1">
      <c r="A202" s="128"/>
      <c r="B202" s="128"/>
      <c r="C202" s="128"/>
      <c r="D202" s="128"/>
      <c r="E202" s="128"/>
      <c r="F202" s="128"/>
      <c r="G202" s="128"/>
      <c r="H202" s="128"/>
      <c r="I202" s="128"/>
      <c r="J202" s="128"/>
      <c r="K202" s="128"/>
      <c r="L202" s="128"/>
      <c r="M202" s="128"/>
      <c r="N202" s="128"/>
      <c r="O202" s="128"/>
      <c r="P202" s="128"/>
      <c r="Q202" s="128"/>
      <c r="R202" s="128"/>
      <c r="S202" s="128"/>
      <c r="T202" s="128"/>
      <c r="U202" s="128"/>
      <c r="V202" s="128"/>
      <c r="W202" s="128"/>
      <c r="X202" s="128"/>
      <c r="Y202" s="128"/>
      <c r="Z202" s="128"/>
    </row>
    <row r="203" spans="1:26" ht="14.25" customHeight="1">
      <c r="A203" s="128"/>
      <c r="B203" s="128"/>
      <c r="C203" s="128"/>
      <c r="D203" s="128"/>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28"/>
    </row>
    <row r="204" spans="1:26" ht="14.25" customHeight="1">
      <c r="A204" s="128"/>
      <c r="B204" s="128"/>
      <c r="C204" s="128"/>
      <c r="D204" s="128"/>
      <c r="E204" s="128"/>
      <c r="F204" s="128"/>
      <c r="G204" s="128"/>
      <c r="H204" s="128"/>
      <c r="I204" s="128"/>
      <c r="J204" s="128"/>
      <c r="K204" s="128"/>
      <c r="L204" s="128"/>
      <c r="M204" s="128"/>
      <c r="N204" s="128"/>
      <c r="O204" s="128"/>
      <c r="P204" s="128"/>
      <c r="Q204" s="128"/>
      <c r="R204" s="128"/>
      <c r="S204" s="128"/>
      <c r="T204" s="128"/>
      <c r="U204" s="128"/>
      <c r="V204" s="128"/>
      <c r="W204" s="128"/>
      <c r="X204" s="128"/>
      <c r="Y204" s="128"/>
      <c r="Z204" s="128"/>
    </row>
    <row r="205" spans="1:26" ht="14.25" customHeight="1">
      <c r="A205" s="128"/>
      <c r="B205" s="128"/>
      <c r="C205" s="128"/>
      <c r="D205" s="128"/>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28"/>
    </row>
    <row r="206" spans="1:26" ht="14.25" customHeight="1">
      <c r="A206" s="128"/>
      <c r="B206" s="128"/>
      <c r="C206" s="128"/>
      <c r="D206" s="128"/>
      <c r="E206" s="128"/>
      <c r="F206" s="128"/>
      <c r="G206" s="128"/>
      <c r="H206" s="128"/>
      <c r="I206" s="128"/>
      <c r="J206" s="128"/>
      <c r="K206" s="128"/>
      <c r="L206" s="128"/>
      <c r="M206" s="128"/>
      <c r="N206" s="128"/>
      <c r="O206" s="128"/>
      <c r="P206" s="128"/>
      <c r="Q206" s="128"/>
      <c r="R206" s="128"/>
      <c r="S206" s="128"/>
      <c r="T206" s="128"/>
      <c r="U206" s="128"/>
      <c r="V206" s="128"/>
      <c r="W206" s="128"/>
      <c r="X206" s="128"/>
      <c r="Y206" s="128"/>
      <c r="Z206" s="128"/>
    </row>
    <row r="207" spans="1:26" ht="14.25" customHeight="1">
      <c r="A207" s="128"/>
      <c r="B207" s="128"/>
      <c r="C207" s="128"/>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row>
    <row r="208" spans="1:26" ht="14.25" customHeight="1">
      <c r="A208" s="128"/>
      <c r="B208" s="128"/>
      <c r="C208" s="128"/>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row>
    <row r="209" spans="1:26" ht="14.25" customHeight="1">
      <c r="A209" s="128"/>
      <c r="B209" s="128"/>
      <c r="C209" s="128"/>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row>
    <row r="210" spans="1:26" ht="14.25" customHeight="1">
      <c r="A210" s="128"/>
      <c r="B210" s="128"/>
      <c r="C210" s="128"/>
      <c r="D210" s="128"/>
      <c r="E210" s="128"/>
      <c r="F210" s="128"/>
      <c r="G210" s="128"/>
      <c r="H210" s="128"/>
      <c r="I210" s="128"/>
      <c r="J210" s="128"/>
      <c r="K210" s="128"/>
      <c r="L210" s="128"/>
      <c r="M210" s="128"/>
      <c r="N210" s="128"/>
      <c r="O210" s="128"/>
      <c r="P210" s="128"/>
      <c r="Q210" s="128"/>
      <c r="R210" s="128"/>
      <c r="S210" s="128"/>
      <c r="T210" s="128"/>
      <c r="U210" s="128"/>
      <c r="V210" s="128"/>
      <c r="W210" s="128"/>
      <c r="X210" s="128"/>
      <c r="Y210" s="128"/>
      <c r="Z210" s="128"/>
    </row>
    <row r="211" spans="1:26" ht="14.25" customHeight="1">
      <c r="A211" s="128"/>
      <c r="B211" s="128"/>
      <c r="C211" s="128"/>
      <c r="D211" s="128"/>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28"/>
    </row>
    <row r="212" spans="1:26" ht="14.25" customHeight="1">
      <c r="A212" s="128"/>
      <c r="B212" s="128"/>
      <c r="C212" s="128"/>
      <c r="D212" s="128"/>
      <c r="E212" s="128"/>
      <c r="F212" s="128"/>
      <c r="G212" s="128"/>
      <c r="H212" s="128"/>
      <c r="I212" s="128"/>
      <c r="J212" s="128"/>
      <c r="K212" s="128"/>
      <c r="L212" s="128"/>
      <c r="M212" s="128"/>
      <c r="N212" s="128"/>
      <c r="O212" s="128"/>
      <c r="P212" s="128"/>
      <c r="Q212" s="128"/>
      <c r="R212" s="128"/>
      <c r="S212" s="128"/>
      <c r="T212" s="128"/>
      <c r="U212" s="128"/>
      <c r="V212" s="128"/>
      <c r="W212" s="128"/>
      <c r="X212" s="128"/>
      <c r="Y212" s="128"/>
      <c r="Z212" s="128"/>
    </row>
    <row r="213" spans="1:26" ht="14.25" customHeight="1">
      <c r="A213" s="128"/>
      <c r="B213" s="128"/>
      <c r="C213" s="128"/>
      <c r="D213" s="128"/>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28"/>
    </row>
    <row r="214" spans="1:26" ht="14.25" customHeight="1">
      <c r="A214" s="128"/>
      <c r="B214" s="128"/>
      <c r="C214" s="128"/>
      <c r="D214" s="128"/>
      <c r="E214" s="128"/>
      <c r="F214" s="128"/>
      <c r="G214" s="128"/>
      <c r="H214" s="128"/>
      <c r="I214" s="128"/>
      <c r="J214" s="128"/>
      <c r="K214" s="128"/>
      <c r="L214" s="128"/>
      <c r="M214" s="128"/>
      <c r="N214" s="128"/>
      <c r="O214" s="128"/>
      <c r="P214" s="128"/>
      <c r="Q214" s="128"/>
      <c r="R214" s="128"/>
      <c r="S214" s="128"/>
      <c r="T214" s="128"/>
      <c r="U214" s="128"/>
      <c r="V214" s="128"/>
      <c r="W214" s="128"/>
      <c r="X214" s="128"/>
      <c r="Y214" s="128"/>
      <c r="Z214" s="128"/>
    </row>
    <row r="215" spans="1:26" ht="14.25" customHeight="1">
      <c r="A215" s="128"/>
      <c r="B215" s="128"/>
      <c r="C215" s="128"/>
      <c r="D215" s="128"/>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28"/>
    </row>
    <row r="216" spans="1:26" ht="14.25" customHeight="1">
      <c r="A216" s="128"/>
      <c r="B216" s="128"/>
      <c r="C216" s="128"/>
      <c r="D216" s="128"/>
      <c r="E216" s="128"/>
      <c r="F216" s="128"/>
      <c r="G216" s="128"/>
      <c r="H216" s="128"/>
      <c r="I216" s="128"/>
      <c r="J216" s="128"/>
      <c r="K216" s="128"/>
      <c r="L216" s="128"/>
      <c r="M216" s="128"/>
      <c r="N216" s="128"/>
      <c r="O216" s="128"/>
      <c r="P216" s="128"/>
      <c r="Q216" s="128"/>
      <c r="R216" s="128"/>
      <c r="S216" s="128"/>
      <c r="T216" s="128"/>
      <c r="U216" s="128"/>
      <c r="V216" s="128"/>
      <c r="W216" s="128"/>
      <c r="X216" s="128"/>
      <c r="Y216" s="128"/>
      <c r="Z216" s="128"/>
    </row>
    <row r="217" spans="1:26" ht="14.25" customHeight="1">
      <c r="A217" s="128"/>
      <c r="B217" s="128"/>
      <c r="C217" s="128"/>
      <c r="D217" s="128"/>
      <c r="E217" s="128"/>
      <c r="F217" s="128"/>
      <c r="G217" s="128"/>
      <c r="H217" s="128"/>
      <c r="I217" s="128"/>
      <c r="J217" s="128"/>
      <c r="K217" s="128"/>
      <c r="L217" s="128"/>
      <c r="M217" s="128"/>
      <c r="N217" s="128"/>
      <c r="O217" s="128"/>
      <c r="P217" s="128"/>
      <c r="Q217" s="128"/>
      <c r="R217" s="128"/>
      <c r="S217" s="128"/>
      <c r="T217" s="128"/>
      <c r="U217" s="128"/>
      <c r="V217" s="128"/>
      <c r="W217" s="128"/>
      <c r="X217" s="128"/>
      <c r="Y217" s="128"/>
      <c r="Z217" s="128"/>
    </row>
    <row r="218" spans="1:26" ht="14.25" customHeight="1">
      <c r="A218" s="128"/>
      <c r="B218" s="128"/>
      <c r="C218" s="128"/>
      <c r="D218" s="128"/>
      <c r="E218" s="128"/>
      <c r="F218" s="128"/>
      <c r="G218" s="128"/>
      <c r="H218" s="128"/>
      <c r="I218" s="128"/>
      <c r="J218" s="128"/>
      <c r="K218" s="128"/>
      <c r="L218" s="128"/>
      <c r="M218" s="128"/>
      <c r="N218" s="128"/>
      <c r="O218" s="128"/>
      <c r="P218" s="128"/>
      <c r="Q218" s="128"/>
      <c r="R218" s="128"/>
      <c r="S218" s="128"/>
      <c r="T218" s="128"/>
      <c r="U218" s="128"/>
      <c r="V218" s="128"/>
      <c r="W218" s="128"/>
      <c r="X218" s="128"/>
      <c r="Y218" s="128"/>
      <c r="Z218" s="128"/>
    </row>
    <row r="219" spans="1:26" ht="14.25" customHeight="1">
      <c r="A219" s="128"/>
      <c r="B219" s="128"/>
      <c r="C219" s="128"/>
      <c r="D219" s="128"/>
      <c r="E219" s="128"/>
      <c r="F219" s="128"/>
      <c r="G219" s="128"/>
      <c r="H219" s="128"/>
      <c r="I219" s="128"/>
      <c r="J219" s="128"/>
      <c r="K219" s="128"/>
      <c r="L219" s="128"/>
      <c r="M219" s="128"/>
      <c r="N219" s="128"/>
      <c r="O219" s="128"/>
      <c r="P219" s="128"/>
      <c r="Q219" s="128"/>
      <c r="R219" s="128"/>
      <c r="S219" s="128"/>
      <c r="T219" s="128"/>
      <c r="U219" s="128"/>
      <c r="V219" s="128"/>
      <c r="W219" s="128"/>
      <c r="X219" s="128"/>
      <c r="Y219" s="128"/>
      <c r="Z219" s="128"/>
    </row>
    <row r="220" spans="1:26" ht="14.25" customHeight="1">
      <c r="A220" s="128"/>
      <c r="B220" s="128"/>
      <c r="C220" s="128"/>
      <c r="D220" s="128"/>
      <c r="E220" s="128"/>
      <c r="F220" s="128"/>
      <c r="G220" s="128"/>
      <c r="H220" s="128"/>
      <c r="I220" s="128"/>
      <c r="J220" s="128"/>
      <c r="K220" s="128"/>
      <c r="L220" s="128"/>
      <c r="M220" s="128"/>
      <c r="N220" s="128"/>
      <c r="O220" s="128"/>
      <c r="P220" s="128"/>
      <c r="Q220" s="128"/>
      <c r="R220" s="128"/>
      <c r="S220" s="128"/>
      <c r="T220" s="128"/>
      <c r="U220" s="128"/>
      <c r="V220" s="128"/>
      <c r="W220" s="128"/>
      <c r="X220" s="128"/>
      <c r="Y220" s="128"/>
      <c r="Z220" s="128"/>
    </row>
    <row r="221" spans="1:26" ht="14.25" customHeight="1">
      <c r="A221" s="128"/>
      <c r="B221" s="128"/>
      <c r="C221" s="128"/>
      <c r="D221" s="128"/>
      <c r="E221" s="128"/>
      <c r="F221" s="128"/>
      <c r="G221" s="128"/>
      <c r="H221" s="128"/>
      <c r="I221" s="128"/>
      <c r="J221" s="128"/>
      <c r="K221" s="128"/>
      <c r="L221" s="128"/>
      <c r="M221" s="128"/>
      <c r="N221" s="128"/>
      <c r="O221" s="128"/>
      <c r="P221" s="128"/>
      <c r="Q221" s="128"/>
      <c r="R221" s="128"/>
      <c r="S221" s="128"/>
      <c r="T221" s="128"/>
      <c r="U221" s="128"/>
      <c r="V221" s="128"/>
      <c r="W221" s="128"/>
      <c r="X221" s="128"/>
      <c r="Y221" s="128"/>
      <c r="Z221" s="128"/>
    </row>
    <row r="222" spans="1:26" ht="14.25" customHeight="1">
      <c r="A222" s="128"/>
      <c r="B222" s="128"/>
      <c r="C222" s="128"/>
      <c r="D222" s="128"/>
      <c r="E222" s="128"/>
      <c r="F222" s="128"/>
      <c r="G222" s="128"/>
      <c r="H222" s="128"/>
      <c r="I222" s="128"/>
      <c r="J222" s="128"/>
      <c r="K222" s="128"/>
      <c r="L222" s="128"/>
      <c r="M222" s="128"/>
      <c r="N222" s="128"/>
      <c r="O222" s="128"/>
      <c r="P222" s="128"/>
      <c r="Q222" s="128"/>
      <c r="R222" s="128"/>
      <c r="S222" s="128"/>
      <c r="T222" s="128"/>
      <c r="U222" s="128"/>
      <c r="V222" s="128"/>
      <c r="W222" s="128"/>
      <c r="X222" s="128"/>
      <c r="Y222" s="128"/>
      <c r="Z222" s="128"/>
    </row>
    <row r="223" spans="1:26" ht="14.25" customHeight="1">
      <c r="A223" s="128"/>
      <c r="B223" s="128"/>
      <c r="C223" s="128"/>
      <c r="D223" s="128"/>
      <c r="E223" s="128"/>
      <c r="F223" s="128"/>
      <c r="G223" s="128"/>
      <c r="H223" s="128"/>
      <c r="I223" s="128"/>
      <c r="J223" s="128"/>
      <c r="K223" s="128"/>
      <c r="L223" s="128"/>
      <c r="M223" s="128"/>
      <c r="N223" s="128"/>
      <c r="O223" s="128"/>
      <c r="P223" s="128"/>
      <c r="Q223" s="128"/>
      <c r="R223" s="128"/>
      <c r="S223" s="128"/>
      <c r="T223" s="128"/>
      <c r="U223" s="128"/>
      <c r="V223" s="128"/>
      <c r="W223" s="128"/>
      <c r="X223" s="128"/>
      <c r="Y223" s="128"/>
      <c r="Z223" s="128"/>
    </row>
    <row r="224" spans="1:26" ht="14.25" customHeight="1">
      <c r="A224" s="128"/>
      <c r="B224" s="128"/>
      <c r="C224" s="128"/>
      <c r="D224" s="128"/>
      <c r="E224" s="128"/>
      <c r="F224" s="128"/>
      <c r="G224" s="128"/>
      <c r="H224" s="128"/>
      <c r="I224" s="128"/>
      <c r="J224" s="128"/>
      <c r="K224" s="128"/>
      <c r="L224" s="128"/>
      <c r="M224" s="128"/>
      <c r="N224" s="128"/>
      <c r="O224" s="128"/>
      <c r="P224" s="128"/>
      <c r="Q224" s="128"/>
      <c r="R224" s="128"/>
      <c r="S224" s="128"/>
      <c r="T224" s="128"/>
      <c r="U224" s="128"/>
      <c r="V224" s="128"/>
      <c r="W224" s="128"/>
      <c r="X224" s="128"/>
      <c r="Y224" s="128"/>
      <c r="Z224" s="128"/>
    </row>
    <row r="225" spans="1:26" ht="14.25" customHeight="1">
      <c r="A225" s="128"/>
      <c r="B225" s="128"/>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row>
    <row r="226" spans="1:26" ht="14.25" customHeight="1">
      <c r="A226" s="128"/>
      <c r="B226" s="128"/>
      <c r="C226" s="128"/>
      <c r="D226" s="128"/>
      <c r="E226" s="128"/>
      <c r="F226" s="128"/>
      <c r="G226" s="128"/>
      <c r="H226" s="128"/>
      <c r="I226" s="128"/>
      <c r="J226" s="128"/>
      <c r="K226" s="128"/>
      <c r="L226" s="128"/>
      <c r="M226" s="128"/>
      <c r="N226" s="128"/>
      <c r="O226" s="128"/>
      <c r="P226" s="128"/>
      <c r="Q226" s="128"/>
      <c r="R226" s="128"/>
      <c r="S226" s="128"/>
      <c r="T226" s="128"/>
      <c r="U226" s="128"/>
      <c r="V226" s="128"/>
      <c r="W226" s="128"/>
      <c r="X226" s="128"/>
      <c r="Y226" s="128"/>
      <c r="Z226" s="128"/>
    </row>
    <row r="227" spans="1:26" ht="14.25" customHeight="1">
      <c r="A227" s="128"/>
      <c r="B227" s="128"/>
      <c r="C227" s="128"/>
      <c r="D227" s="128"/>
      <c r="E227" s="128"/>
      <c r="F227" s="128"/>
      <c r="G227" s="128"/>
      <c r="H227" s="128"/>
      <c r="I227" s="128"/>
      <c r="J227" s="128"/>
      <c r="K227" s="128"/>
      <c r="L227" s="128"/>
      <c r="M227" s="128"/>
      <c r="N227" s="128"/>
      <c r="O227" s="128"/>
      <c r="P227" s="128"/>
      <c r="Q227" s="128"/>
      <c r="R227" s="128"/>
      <c r="S227" s="128"/>
      <c r="T227" s="128"/>
      <c r="U227" s="128"/>
      <c r="V227" s="128"/>
      <c r="W227" s="128"/>
      <c r="X227" s="128"/>
      <c r="Y227" s="128"/>
      <c r="Z227" s="128"/>
    </row>
    <row r="228" spans="1:26" ht="14.25" customHeight="1">
      <c r="A228" s="128"/>
      <c r="B228" s="128"/>
      <c r="C228" s="128"/>
      <c r="D228" s="128"/>
      <c r="E228" s="128"/>
      <c r="F228" s="128"/>
      <c r="G228" s="128"/>
      <c r="H228" s="128"/>
      <c r="I228" s="128"/>
      <c r="J228" s="128"/>
      <c r="K228" s="128"/>
      <c r="L228" s="128"/>
      <c r="M228" s="128"/>
      <c r="N228" s="128"/>
      <c r="O228" s="128"/>
      <c r="P228" s="128"/>
      <c r="Q228" s="128"/>
      <c r="R228" s="128"/>
      <c r="S228" s="128"/>
      <c r="T228" s="128"/>
      <c r="U228" s="128"/>
      <c r="V228" s="128"/>
      <c r="W228" s="128"/>
      <c r="X228" s="128"/>
      <c r="Y228" s="128"/>
      <c r="Z228" s="128"/>
    </row>
    <row r="229" spans="1:26" ht="14.25" customHeight="1">
      <c r="A229" s="128"/>
      <c r="B229" s="128"/>
      <c r="C229" s="128"/>
      <c r="D229" s="128"/>
      <c r="E229" s="128"/>
      <c r="F229" s="128"/>
      <c r="G229" s="128"/>
      <c r="H229" s="128"/>
      <c r="I229" s="128"/>
      <c r="J229" s="128"/>
      <c r="K229" s="128"/>
      <c r="L229" s="128"/>
      <c r="M229" s="128"/>
      <c r="N229" s="128"/>
      <c r="O229" s="128"/>
      <c r="P229" s="128"/>
      <c r="Q229" s="128"/>
      <c r="R229" s="128"/>
      <c r="S229" s="128"/>
      <c r="T229" s="128"/>
      <c r="U229" s="128"/>
      <c r="V229" s="128"/>
      <c r="W229" s="128"/>
      <c r="X229" s="128"/>
      <c r="Y229" s="128"/>
      <c r="Z229" s="128"/>
    </row>
    <row r="230" spans="1:26" ht="14.25" customHeight="1">
      <c r="A230" s="128"/>
      <c r="B230" s="128"/>
      <c r="C230" s="128"/>
      <c r="D230" s="128"/>
      <c r="E230" s="128"/>
      <c r="F230" s="128"/>
      <c r="G230" s="128"/>
      <c r="H230" s="128"/>
      <c r="I230" s="128"/>
      <c r="J230" s="128"/>
      <c r="K230" s="128"/>
      <c r="L230" s="128"/>
      <c r="M230" s="128"/>
      <c r="N230" s="128"/>
      <c r="O230" s="128"/>
      <c r="P230" s="128"/>
      <c r="Q230" s="128"/>
      <c r="R230" s="128"/>
      <c r="S230" s="128"/>
      <c r="T230" s="128"/>
      <c r="U230" s="128"/>
      <c r="V230" s="128"/>
      <c r="W230" s="128"/>
      <c r="X230" s="128"/>
      <c r="Y230" s="128"/>
      <c r="Z230" s="128"/>
    </row>
    <row r="231" spans="1:26" ht="14.25" customHeight="1">
      <c r="A231" s="128"/>
      <c r="B231" s="128"/>
      <c r="C231" s="128"/>
      <c r="D231" s="128"/>
      <c r="E231" s="128"/>
      <c r="F231" s="128"/>
      <c r="G231" s="128"/>
      <c r="H231" s="128"/>
      <c r="I231" s="128"/>
      <c r="J231" s="128"/>
      <c r="K231" s="128"/>
      <c r="L231" s="128"/>
      <c r="M231" s="128"/>
      <c r="N231" s="128"/>
      <c r="O231" s="128"/>
      <c r="P231" s="128"/>
      <c r="Q231" s="128"/>
      <c r="R231" s="128"/>
      <c r="S231" s="128"/>
      <c r="T231" s="128"/>
      <c r="U231" s="128"/>
      <c r="V231" s="128"/>
      <c r="W231" s="128"/>
      <c r="X231" s="128"/>
      <c r="Y231" s="128"/>
      <c r="Z231" s="128"/>
    </row>
    <row r="232" spans="1:26" ht="14.25" customHeight="1">
      <c r="A232" s="128"/>
      <c r="B232" s="128"/>
      <c r="C232" s="128"/>
      <c r="D232" s="128"/>
      <c r="E232" s="128"/>
      <c r="F232" s="128"/>
      <c r="G232" s="128"/>
      <c r="H232" s="128"/>
      <c r="I232" s="128"/>
      <c r="J232" s="128"/>
      <c r="K232" s="128"/>
      <c r="L232" s="128"/>
      <c r="M232" s="128"/>
      <c r="N232" s="128"/>
      <c r="O232" s="128"/>
      <c r="P232" s="128"/>
      <c r="Q232" s="128"/>
      <c r="R232" s="128"/>
      <c r="S232" s="128"/>
      <c r="T232" s="128"/>
      <c r="U232" s="128"/>
      <c r="V232" s="128"/>
      <c r="W232" s="128"/>
      <c r="X232" s="128"/>
      <c r="Y232" s="128"/>
      <c r="Z232" s="128"/>
    </row>
    <row r="233" spans="1:26" ht="14.25" customHeight="1">
      <c r="A233" s="128"/>
      <c r="B233" s="128"/>
      <c r="C233" s="128"/>
      <c r="D233" s="128"/>
      <c r="E233" s="128"/>
      <c r="F233" s="128"/>
      <c r="G233" s="128"/>
      <c r="H233" s="128"/>
      <c r="I233" s="128"/>
      <c r="J233" s="128"/>
      <c r="K233" s="128"/>
      <c r="L233" s="128"/>
      <c r="M233" s="128"/>
      <c r="N233" s="128"/>
      <c r="O233" s="128"/>
      <c r="P233" s="128"/>
      <c r="Q233" s="128"/>
      <c r="R233" s="128"/>
      <c r="S233" s="128"/>
      <c r="T233" s="128"/>
      <c r="U233" s="128"/>
      <c r="V233" s="128"/>
      <c r="W233" s="128"/>
      <c r="X233" s="128"/>
      <c r="Y233" s="128"/>
      <c r="Z233" s="128"/>
    </row>
    <row r="234" spans="1:26" ht="14.25" customHeight="1">
      <c r="A234" s="128"/>
      <c r="B234" s="128"/>
      <c r="C234" s="128"/>
      <c r="D234" s="128"/>
      <c r="E234" s="128"/>
      <c r="F234" s="128"/>
      <c r="G234" s="128"/>
      <c r="H234" s="128"/>
      <c r="I234" s="128"/>
      <c r="J234" s="128"/>
      <c r="K234" s="128"/>
      <c r="L234" s="128"/>
      <c r="M234" s="128"/>
      <c r="N234" s="128"/>
      <c r="O234" s="128"/>
      <c r="P234" s="128"/>
      <c r="Q234" s="128"/>
      <c r="R234" s="128"/>
      <c r="S234" s="128"/>
      <c r="T234" s="128"/>
      <c r="U234" s="128"/>
      <c r="V234" s="128"/>
      <c r="W234" s="128"/>
      <c r="X234" s="128"/>
      <c r="Y234" s="128"/>
      <c r="Z234" s="128"/>
    </row>
    <row r="235" spans="1:26" ht="14.25" customHeight="1">
      <c r="A235" s="128"/>
      <c r="B235" s="128"/>
      <c r="C235" s="128"/>
      <c r="D235" s="128"/>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28"/>
    </row>
    <row r="236" spans="1:26" ht="14.25" customHeight="1">
      <c r="A236" s="128"/>
      <c r="B236" s="128"/>
      <c r="C236" s="128"/>
      <c r="D236" s="128"/>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row>
    <row r="237" spans="1:26" ht="14.25" customHeight="1">
      <c r="A237" s="128"/>
      <c r="B237" s="128"/>
      <c r="C237" s="12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row>
    <row r="238" spans="1:26" ht="14.25" customHeight="1">
      <c r="A238" s="128"/>
      <c r="B238" s="128"/>
      <c r="C238" s="128"/>
      <c r="D238" s="128"/>
      <c r="E238" s="128"/>
      <c r="F238" s="128"/>
      <c r="G238" s="128"/>
      <c r="H238" s="128"/>
      <c r="I238" s="128"/>
      <c r="J238" s="128"/>
      <c r="K238" s="128"/>
      <c r="L238" s="128"/>
      <c r="M238" s="128"/>
      <c r="N238" s="128"/>
      <c r="O238" s="128"/>
      <c r="P238" s="128"/>
      <c r="Q238" s="128"/>
      <c r="R238" s="128"/>
      <c r="S238" s="128"/>
      <c r="T238" s="128"/>
      <c r="U238" s="128"/>
      <c r="V238" s="128"/>
      <c r="W238" s="128"/>
      <c r="X238" s="128"/>
      <c r="Y238" s="128"/>
      <c r="Z238" s="128"/>
    </row>
    <row r="239" spans="1:26" ht="14.25" customHeight="1">
      <c r="A239" s="128"/>
      <c r="B239" s="128"/>
      <c r="C239" s="12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row>
    <row r="240" spans="1:26" ht="14.25" customHeight="1">
      <c r="A240" s="128"/>
      <c r="B240" s="128"/>
      <c r="C240" s="128"/>
      <c r="D240" s="128"/>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row>
    <row r="241" spans="1:26" ht="14.25" customHeight="1">
      <c r="A241" s="128"/>
      <c r="B241" s="128"/>
      <c r="C241" s="128"/>
      <c r="D241" s="128"/>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28"/>
    </row>
    <row r="242" spans="1:26" ht="14.25" customHeight="1">
      <c r="A242" s="128"/>
      <c r="B242" s="128"/>
      <c r="C242" s="128"/>
      <c r="D242" s="128"/>
      <c r="E242" s="128"/>
      <c r="F242" s="128"/>
      <c r="G242" s="128"/>
      <c r="H242" s="128"/>
      <c r="I242" s="128"/>
      <c r="J242" s="128"/>
      <c r="K242" s="128"/>
      <c r="L242" s="128"/>
      <c r="M242" s="128"/>
      <c r="N242" s="128"/>
      <c r="O242" s="128"/>
      <c r="P242" s="128"/>
      <c r="Q242" s="128"/>
      <c r="R242" s="128"/>
      <c r="S242" s="128"/>
      <c r="T242" s="128"/>
      <c r="U242" s="128"/>
      <c r="V242" s="128"/>
      <c r="W242" s="128"/>
      <c r="X242" s="128"/>
      <c r="Y242" s="128"/>
      <c r="Z242" s="128"/>
    </row>
    <row r="243" spans="1:26" ht="14.25" customHeight="1">
      <c r="A243" s="128"/>
      <c r="B243" s="128"/>
      <c r="C243" s="128"/>
      <c r="D243" s="128"/>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28"/>
    </row>
    <row r="244" spans="1:26" ht="14.25" customHeight="1">
      <c r="A244" s="128"/>
      <c r="B244" s="128"/>
      <c r="C244" s="128"/>
      <c r="D244" s="128"/>
      <c r="E244" s="128"/>
      <c r="F244" s="128"/>
      <c r="G244" s="128"/>
      <c r="H244" s="128"/>
      <c r="I244" s="128"/>
      <c r="J244" s="128"/>
      <c r="K244" s="128"/>
      <c r="L244" s="128"/>
      <c r="M244" s="128"/>
      <c r="N244" s="128"/>
      <c r="O244" s="128"/>
      <c r="P244" s="128"/>
      <c r="Q244" s="128"/>
      <c r="R244" s="128"/>
      <c r="S244" s="128"/>
      <c r="T244" s="128"/>
      <c r="U244" s="128"/>
      <c r="V244" s="128"/>
      <c r="W244" s="128"/>
      <c r="X244" s="128"/>
      <c r="Y244" s="128"/>
      <c r="Z244" s="128"/>
    </row>
    <row r="245" spans="1:26" ht="14.25" customHeight="1">
      <c r="A245" s="128"/>
      <c r="B245" s="128"/>
      <c r="C245" s="128"/>
      <c r="D245" s="128"/>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28"/>
    </row>
    <row r="246" spans="1:26" ht="14.25" customHeight="1">
      <c r="A246" s="128"/>
      <c r="B246" s="128"/>
      <c r="C246" s="128"/>
      <c r="D246" s="128"/>
      <c r="E246" s="128"/>
      <c r="F246" s="128"/>
      <c r="G246" s="128"/>
      <c r="H246" s="128"/>
      <c r="I246" s="128"/>
      <c r="J246" s="128"/>
      <c r="K246" s="128"/>
      <c r="L246" s="128"/>
      <c r="M246" s="128"/>
      <c r="N246" s="128"/>
      <c r="O246" s="128"/>
      <c r="P246" s="128"/>
      <c r="Q246" s="128"/>
      <c r="R246" s="128"/>
      <c r="S246" s="128"/>
      <c r="T246" s="128"/>
      <c r="U246" s="128"/>
      <c r="V246" s="128"/>
      <c r="W246" s="128"/>
      <c r="X246" s="128"/>
      <c r="Y246" s="128"/>
      <c r="Z246" s="128"/>
    </row>
    <row r="247" spans="1:26" ht="14.25" customHeight="1">
      <c r="A247" s="128"/>
      <c r="B247" s="128"/>
      <c r="C247" s="128"/>
      <c r="D247" s="128"/>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28"/>
    </row>
    <row r="248" spans="1:26" ht="14.25" customHeight="1">
      <c r="A248" s="128"/>
      <c r="B248" s="128"/>
      <c r="C248" s="128"/>
      <c r="D248" s="128"/>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row>
    <row r="249" spans="1:26" ht="14.25" customHeight="1">
      <c r="A249" s="128"/>
      <c r="B249" s="128"/>
      <c r="C249" s="128"/>
      <c r="D249" s="128"/>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28"/>
    </row>
    <row r="250" spans="1:26" ht="14.25" customHeight="1">
      <c r="A250" s="128"/>
      <c r="B250" s="128"/>
      <c r="C250" s="128"/>
      <c r="D250" s="128"/>
      <c r="E250" s="128"/>
      <c r="F250" s="128"/>
      <c r="G250" s="128"/>
      <c r="H250" s="128"/>
      <c r="I250" s="128"/>
      <c r="J250" s="128"/>
      <c r="K250" s="128"/>
      <c r="L250" s="128"/>
      <c r="M250" s="128"/>
      <c r="N250" s="128"/>
      <c r="O250" s="128"/>
      <c r="P250" s="128"/>
      <c r="Q250" s="128"/>
      <c r="R250" s="128"/>
      <c r="S250" s="128"/>
      <c r="T250" s="128"/>
      <c r="U250" s="128"/>
      <c r="V250" s="128"/>
      <c r="W250" s="128"/>
      <c r="X250" s="128"/>
      <c r="Y250" s="128"/>
      <c r="Z250" s="128"/>
    </row>
    <row r="251" spans="1:26" ht="14.25" customHeight="1">
      <c r="A251" s="128"/>
      <c r="B251" s="128"/>
      <c r="C251" s="128"/>
      <c r="D251" s="128"/>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28"/>
    </row>
    <row r="252" spans="1:26" ht="14.25" customHeight="1">
      <c r="A252" s="128"/>
      <c r="B252" s="128"/>
      <c r="C252" s="128"/>
      <c r="D252" s="128"/>
      <c r="E252" s="128"/>
      <c r="F252" s="128"/>
      <c r="G252" s="128"/>
      <c r="H252" s="128"/>
      <c r="I252" s="128"/>
      <c r="J252" s="128"/>
      <c r="K252" s="128"/>
      <c r="L252" s="128"/>
      <c r="M252" s="128"/>
      <c r="N252" s="128"/>
      <c r="O252" s="128"/>
      <c r="P252" s="128"/>
      <c r="Q252" s="128"/>
      <c r="R252" s="128"/>
      <c r="S252" s="128"/>
      <c r="T252" s="128"/>
      <c r="U252" s="128"/>
      <c r="V252" s="128"/>
      <c r="W252" s="128"/>
      <c r="X252" s="128"/>
      <c r="Y252" s="128"/>
      <c r="Z252" s="128"/>
    </row>
    <row r="253" spans="1:26" ht="14.25" customHeight="1">
      <c r="A253" s="128"/>
      <c r="B253" s="128"/>
      <c r="C253" s="12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row>
    <row r="254" spans="1:26" ht="14.25" customHeight="1">
      <c r="A254" s="128"/>
      <c r="B254" s="128"/>
      <c r="C254" s="128"/>
      <c r="D254" s="128"/>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row>
    <row r="255" spans="1:26" ht="14.25" customHeight="1">
      <c r="A255" s="128"/>
      <c r="B255" s="128"/>
      <c r="C255" s="128"/>
      <c r="D255" s="128"/>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28"/>
    </row>
    <row r="256" spans="1:26" ht="14.25" customHeight="1">
      <c r="A256" s="128"/>
      <c r="B256" s="128"/>
      <c r="C256" s="128"/>
      <c r="D256" s="128"/>
      <c r="E256" s="128"/>
      <c r="F256" s="128"/>
      <c r="G256" s="128"/>
      <c r="H256" s="128"/>
      <c r="I256" s="128"/>
      <c r="J256" s="128"/>
      <c r="K256" s="128"/>
      <c r="L256" s="128"/>
      <c r="M256" s="128"/>
      <c r="N256" s="128"/>
      <c r="O256" s="128"/>
      <c r="P256" s="128"/>
      <c r="Q256" s="128"/>
      <c r="R256" s="128"/>
      <c r="S256" s="128"/>
      <c r="T256" s="128"/>
      <c r="U256" s="128"/>
      <c r="V256" s="128"/>
      <c r="W256" s="128"/>
      <c r="X256" s="128"/>
      <c r="Y256" s="128"/>
      <c r="Z256" s="128"/>
    </row>
    <row r="257" spans="1:26" ht="14.25" customHeight="1">
      <c r="A257" s="128"/>
      <c r="B257" s="128"/>
      <c r="C257" s="128"/>
      <c r="D257" s="128"/>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28"/>
    </row>
    <row r="258" spans="1:26" ht="14.25" customHeight="1">
      <c r="A258" s="128"/>
      <c r="B258" s="128"/>
      <c r="C258" s="128"/>
      <c r="D258" s="128"/>
      <c r="E258" s="128"/>
      <c r="F258" s="128"/>
      <c r="G258" s="128"/>
      <c r="H258" s="128"/>
      <c r="I258" s="128"/>
      <c r="J258" s="128"/>
      <c r="K258" s="128"/>
      <c r="L258" s="128"/>
      <c r="M258" s="128"/>
      <c r="N258" s="128"/>
      <c r="O258" s="128"/>
      <c r="P258" s="128"/>
      <c r="Q258" s="128"/>
      <c r="R258" s="128"/>
      <c r="S258" s="128"/>
      <c r="T258" s="128"/>
      <c r="U258" s="128"/>
      <c r="V258" s="128"/>
      <c r="W258" s="128"/>
      <c r="X258" s="128"/>
      <c r="Y258" s="128"/>
      <c r="Z258" s="128"/>
    </row>
    <row r="259" spans="1:26" ht="14.25" customHeight="1">
      <c r="A259" s="128"/>
      <c r="B259" s="128"/>
      <c r="C259" s="128"/>
      <c r="D259" s="128"/>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28"/>
    </row>
    <row r="260" spans="1:26" ht="14.25" customHeight="1">
      <c r="A260" s="128"/>
      <c r="B260" s="128"/>
      <c r="C260" s="128"/>
      <c r="D260" s="128"/>
      <c r="E260" s="128"/>
      <c r="F260" s="128"/>
      <c r="G260" s="128"/>
      <c r="H260" s="128"/>
      <c r="I260" s="128"/>
      <c r="J260" s="128"/>
      <c r="K260" s="128"/>
      <c r="L260" s="128"/>
      <c r="M260" s="128"/>
      <c r="N260" s="128"/>
      <c r="O260" s="128"/>
      <c r="P260" s="128"/>
      <c r="Q260" s="128"/>
      <c r="R260" s="128"/>
      <c r="S260" s="128"/>
      <c r="T260" s="128"/>
      <c r="U260" s="128"/>
      <c r="V260" s="128"/>
      <c r="W260" s="128"/>
      <c r="X260" s="128"/>
      <c r="Y260" s="128"/>
      <c r="Z260" s="128"/>
    </row>
    <row r="261" spans="1:26" ht="14.25" customHeight="1">
      <c r="A261" s="128"/>
      <c r="B261" s="128"/>
      <c r="C261" s="128"/>
      <c r="D261" s="128"/>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28"/>
    </row>
    <row r="262" spans="1:26" ht="14.25" customHeight="1">
      <c r="A262" s="128"/>
      <c r="B262" s="128"/>
      <c r="C262" s="128"/>
      <c r="D262" s="128"/>
      <c r="E262" s="128"/>
      <c r="F262" s="128"/>
      <c r="G262" s="128"/>
      <c r="H262" s="128"/>
      <c r="I262" s="128"/>
      <c r="J262" s="128"/>
      <c r="K262" s="128"/>
      <c r="L262" s="128"/>
      <c r="M262" s="128"/>
      <c r="N262" s="128"/>
      <c r="O262" s="128"/>
      <c r="P262" s="128"/>
      <c r="Q262" s="128"/>
      <c r="R262" s="128"/>
      <c r="S262" s="128"/>
      <c r="T262" s="128"/>
      <c r="U262" s="128"/>
      <c r="V262" s="128"/>
      <c r="W262" s="128"/>
      <c r="X262" s="128"/>
      <c r="Y262" s="128"/>
      <c r="Z262" s="128"/>
    </row>
    <row r="263" spans="1:26" ht="14.25" customHeight="1">
      <c r="A263" s="128"/>
      <c r="B263" s="128"/>
      <c r="C263" s="128"/>
      <c r="D263" s="128"/>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28"/>
    </row>
    <row r="264" spans="1:26" ht="14.25" customHeight="1">
      <c r="A264" s="128"/>
      <c r="B264" s="128"/>
      <c r="C264" s="128"/>
      <c r="D264" s="128"/>
      <c r="E264" s="128"/>
      <c r="F264" s="128"/>
      <c r="G264" s="128"/>
      <c r="H264" s="128"/>
      <c r="I264" s="128"/>
      <c r="J264" s="128"/>
      <c r="K264" s="128"/>
      <c r="L264" s="128"/>
      <c r="M264" s="128"/>
      <c r="N264" s="128"/>
      <c r="O264" s="128"/>
      <c r="P264" s="128"/>
      <c r="Q264" s="128"/>
      <c r="R264" s="128"/>
      <c r="S264" s="128"/>
      <c r="T264" s="128"/>
      <c r="U264" s="128"/>
      <c r="V264" s="128"/>
      <c r="W264" s="128"/>
      <c r="X264" s="128"/>
      <c r="Y264" s="128"/>
      <c r="Z264" s="128"/>
    </row>
    <row r="265" spans="1:26" ht="14.25" customHeight="1">
      <c r="A265" s="128"/>
      <c r="B265" s="128"/>
      <c r="C265" s="128"/>
      <c r="D265" s="128"/>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28"/>
    </row>
    <row r="266" spans="1:26" ht="14.25" customHeight="1">
      <c r="A266" s="128"/>
      <c r="B266" s="128"/>
      <c r="C266" s="128"/>
      <c r="D266" s="128"/>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row>
    <row r="267" spans="1:26" ht="14.25" customHeight="1">
      <c r="A267" s="128"/>
      <c r="B267" s="128"/>
      <c r="C267" s="128"/>
      <c r="D267" s="128"/>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28"/>
    </row>
    <row r="268" spans="1:26" ht="14.25" customHeight="1">
      <c r="A268" s="128"/>
      <c r="B268" s="128"/>
      <c r="C268" s="128"/>
      <c r="D268" s="128"/>
      <c r="E268" s="128"/>
      <c r="F268" s="128"/>
      <c r="G268" s="128"/>
      <c r="H268" s="128"/>
      <c r="I268" s="128"/>
      <c r="J268" s="128"/>
      <c r="K268" s="128"/>
      <c r="L268" s="128"/>
      <c r="M268" s="128"/>
      <c r="N268" s="128"/>
      <c r="O268" s="128"/>
      <c r="P268" s="128"/>
      <c r="Q268" s="128"/>
      <c r="R268" s="128"/>
      <c r="S268" s="128"/>
      <c r="T268" s="128"/>
      <c r="U268" s="128"/>
      <c r="V268" s="128"/>
      <c r="W268" s="128"/>
      <c r="X268" s="128"/>
      <c r="Y268" s="128"/>
      <c r="Z268" s="128"/>
    </row>
    <row r="269" spans="1:26" ht="14.25" customHeight="1">
      <c r="A269" s="128"/>
      <c r="B269" s="128"/>
      <c r="C269" s="128"/>
      <c r="D269" s="128"/>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28"/>
    </row>
    <row r="270" spans="1:26" ht="14.25" customHeight="1">
      <c r="A270" s="128"/>
      <c r="B270" s="128"/>
      <c r="C270" s="128"/>
      <c r="D270" s="128"/>
      <c r="E270" s="128"/>
      <c r="F270" s="128"/>
      <c r="G270" s="128"/>
      <c r="H270" s="128"/>
      <c r="I270" s="128"/>
      <c r="J270" s="128"/>
      <c r="K270" s="128"/>
      <c r="L270" s="128"/>
      <c r="M270" s="128"/>
      <c r="N270" s="128"/>
      <c r="O270" s="128"/>
      <c r="P270" s="128"/>
      <c r="Q270" s="128"/>
      <c r="R270" s="128"/>
      <c r="S270" s="128"/>
      <c r="T270" s="128"/>
      <c r="U270" s="128"/>
      <c r="V270" s="128"/>
      <c r="W270" s="128"/>
      <c r="X270" s="128"/>
      <c r="Y270" s="128"/>
      <c r="Z270" s="128"/>
    </row>
    <row r="271" spans="1:26" ht="14.25" customHeight="1">
      <c r="A271" s="128"/>
      <c r="B271" s="128"/>
      <c r="C271" s="128"/>
      <c r="D271" s="128"/>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28"/>
    </row>
    <row r="272" spans="1:26" ht="14.25" customHeight="1">
      <c r="A272" s="128"/>
      <c r="B272" s="128"/>
      <c r="C272" s="128"/>
      <c r="D272" s="128"/>
      <c r="E272" s="128"/>
      <c r="F272" s="128"/>
      <c r="G272" s="128"/>
      <c r="H272" s="128"/>
      <c r="I272" s="128"/>
      <c r="J272" s="128"/>
      <c r="K272" s="128"/>
      <c r="L272" s="128"/>
      <c r="M272" s="128"/>
      <c r="N272" s="128"/>
      <c r="O272" s="128"/>
      <c r="P272" s="128"/>
      <c r="Q272" s="128"/>
      <c r="R272" s="128"/>
      <c r="S272" s="128"/>
      <c r="T272" s="128"/>
      <c r="U272" s="128"/>
      <c r="V272" s="128"/>
      <c r="W272" s="128"/>
      <c r="X272" s="128"/>
      <c r="Y272" s="128"/>
      <c r="Z272" s="128"/>
    </row>
    <row r="273" spans="1:26" ht="14.25" customHeight="1">
      <c r="A273" s="128"/>
      <c r="B273" s="128"/>
      <c r="C273" s="128"/>
      <c r="D273" s="128"/>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28"/>
    </row>
    <row r="274" spans="1:26" ht="14.25" customHeight="1">
      <c r="A274" s="128"/>
      <c r="B274" s="128"/>
      <c r="C274" s="128"/>
      <c r="D274" s="128"/>
      <c r="E274" s="128"/>
      <c r="F274" s="128"/>
      <c r="G274" s="128"/>
      <c r="H274" s="128"/>
      <c r="I274" s="128"/>
      <c r="J274" s="128"/>
      <c r="K274" s="128"/>
      <c r="L274" s="128"/>
      <c r="M274" s="128"/>
      <c r="N274" s="128"/>
      <c r="O274" s="128"/>
      <c r="P274" s="128"/>
      <c r="Q274" s="128"/>
      <c r="R274" s="128"/>
      <c r="S274" s="128"/>
      <c r="T274" s="128"/>
      <c r="U274" s="128"/>
      <c r="V274" s="128"/>
      <c r="W274" s="128"/>
      <c r="X274" s="128"/>
      <c r="Y274" s="128"/>
      <c r="Z274" s="128"/>
    </row>
    <row r="275" spans="1:26" ht="14.25" customHeight="1">
      <c r="A275" s="128"/>
      <c r="B275" s="128"/>
      <c r="C275" s="128"/>
      <c r="D275" s="128"/>
      <c r="E275" s="128"/>
      <c r="F275" s="128"/>
      <c r="G275" s="128"/>
      <c r="H275" s="128"/>
      <c r="I275" s="128"/>
      <c r="J275" s="128"/>
      <c r="K275" s="128"/>
      <c r="L275" s="128"/>
      <c r="M275" s="128"/>
      <c r="N275" s="128"/>
      <c r="O275" s="128"/>
      <c r="P275" s="128"/>
      <c r="Q275" s="128"/>
      <c r="R275" s="128"/>
      <c r="S275" s="128"/>
      <c r="T275" s="128"/>
      <c r="U275" s="128"/>
      <c r="V275" s="128"/>
      <c r="W275" s="128"/>
      <c r="X275" s="128"/>
      <c r="Y275" s="128"/>
      <c r="Z275" s="128"/>
    </row>
    <row r="276" spans="1:26" ht="14.25" customHeight="1">
      <c r="A276" s="128"/>
      <c r="B276" s="128"/>
      <c r="C276" s="128"/>
      <c r="D276" s="128"/>
      <c r="E276" s="128"/>
      <c r="F276" s="128"/>
      <c r="G276" s="128"/>
      <c r="H276" s="128"/>
      <c r="I276" s="128"/>
      <c r="J276" s="128"/>
      <c r="K276" s="128"/>
      <c r="L276" s="128"/>
      <c r="M276" s="128"/>
      <c r="N276" s="128"/>
      <c r="O276" s="128"/>
      <c r="P276" s="128"/>
      <c r="Q276" s="128"/>
      <c r="R276" s="128"/>
      <c r="S276" s="128"/>
      <c r="T276" s="128"/>
      <c r="U276" s="128"/>
      <c r="V276" s="128"/>
      <c r="W276" s="128"/>
      <c r="X276" s="128"/>
      <c r="Y276" s="128"/>
      <c r="Z276" s="128"/>
    </row>
    <row r="277" spans="1:26" ht="14.25" customHeight="1">
      <c r="A277" s="128"/>
      <c r="B277" s="128"/>
      <c r="C277" s="128"/>
      <c r="D277" s="128"/>
      <c r="E277" s="128"/>
      <c r="F277" s="128"/>
      <c r="G277" s="128"/>
      <c r="H277" s="128"/>
      <c r="I277" s="128"/>
      <c r="J277" s="128"/>
      <c r="K277" s="128"/>
      <c r="L277" s="128"/>
      <c r="M277" s="128"/>
      <c r="N277" s="128"/>
      <c r="O277" s="128"/>
      <c r="P277" s="128"/>
      <c r="Q277" s="128"/>
      <c r="R277" s="128"/>
      <c r="S277" s="128"/>
      <c r="T277" s="128"/>
      <c r="U277" s="128"/>
      <c r="V277" s="128"/>
      <c r="W277" s="128"/>
      <c r="X277" s="128"/>
      <c r="Y277" s="128"/>
      <c r="Z277" s="128"/>
    </row>
    <row r="278" spans="1:26" ht="14.25" customHeight="1">
      <c r="A278" s="128"/>
      <c r="B278" s="128"/>
      <c r="C278" s="128"/>
      <c r="D278" s="128"/>
      <c r="E278" s="128"/>
      <c r="F278" s="128"/>
      <c r="G278" s="128"/>
      <c r="H278" s="128"/>
      <c r="I278" s="128"/>
      <c r="J278" s="128"/>
      <c r="K278" s="128"/>
      <c r="L278" s="128"/>
      <c r="M278" s="128"/>
      <c r="N278" s="128"/>
      <c r="O278" s="128"/>
      <c r="P278" s="128"/>
      <c r="Q278" s="128"/>
      <c r="R278" s="128"/>
      <c r="S278" s="128"/>
      <c r="T278" s="128"/>
      <c r="U278" s="128"/>
      <c r="V278" s="128"/>
      <c r="W278" s="128"/>
      <c r="X278" s="128"/>
      <c r="Y278" s="128"/>
      <c r="Z278" s="128"/>
    </row>
    <row r="279" spans="1:26" ht="14.25" customHeight="1">
      <c r="A279" s="128"/>
      <c r="B279" s="128"/>
      <c r="C279" s="128"/>
      <c r="D279" s="128"/>
      <c r="E279" s="128"/>
      <c r="F279" s="128"/>
      <c r="G279" s="128"/>
      <c r="H279" s="128"/>
      <c r="I279" s="128"/>
      <c r="J279" s="128"/>
      <c r="K279" s="128"/>
      <c r="L279" s="128"/>
      <c r="M279" s="128"/>
      <c r="N279" s="128"/>
      <c r="O279" s="128"/>
      <c r="P279" s="128"/>
      <c r="Q279" s="128"/>
      <c r="R279" s="128"/>
      <c r="S279" s="128"/>
      <c r="T279" s="128"/>
      <c r="U279" s="128"/>
      <c r="V279" s="128"/>
      <c r="W279" s="128"/>
      <c r="X279" s="128"/>
      <c r="Y279" s="128"/>
      <c r="Z279" s="128"/>
    </row>
    <row r="280" spans="1:26" ht="14.25" customHeight="1">
      <c r="A280" s="128"/>
      <c r="B280" s="128"/>
      <c r="C280" s="128"/>
      <c r="D280" s="128"/>
      <c r="E280" s="128"/>
      <c r="F280" s="128"/>
      <c r="G280" s="128"/>
      <c r="H280" s="128"/>
      <c r="I280" s="128"/>
      <c r="J280" s="128"/>
      <c r="K280" s="128"/>
      <c r="L280" s="128"/>
      <c r="M280" s="128"/>
      <c r="N280" s="128"/>
      <c r="O280" s="128"/>
      <c r="P280" s="128"/>
      <c r="Q280" s="128"/>
      <c r="R280" s="128"/>
      <c r="S280" s="128"/>
      <c r="T280" s="128"/>
      <c r="U280" s="128"/>
      <c r="V280" s="128"/>
      <c r="W280" s="128"/>
      <c r="X280" s="128"/>
      <c r="Y280" s="128"/>
      <c r="Z280" s="128"/>
    </row>
    <row r="281" spans="1:26" ht="14.25" customHeight="1">
      <c r="A281" s="128"/>
      <c r="B281" s="128"/>
      <c r="C281" s="128"/>
      <c r="D281" s="128"/>
      <c r="E281" s="128"/>
      <c r="F281" s="128"/>
      <c r="G281" s="128"/>
      <c r="H281" s="128"/>
      <c r="I281" s="128"/>
      <c r="J281" s="128"/>
      <c r="K281" s="128"/>
      <c r="L281" s="128"/>
      <c r="M281" s="128"/>
      <c r="N281" s="128"/>
      <c r="O281" s="128"/>
      <c r="P281" s="128"/>
      <c r="Q281" s="128"/>
      <c r="R281" s="128"/>
      <c r="S281" s="128"/>
      <c r="T281" s="128"/>
      <c r="U281" s="128"/>
      <c r="V281" s="128"/>
      <c r="W281" s="128"/>
      <c r="X281" s="128"/>
      <c r="Y281" s="128"/>
      <c r="Z281" s="128"/>
    </row>
    <row r="282" spans="1:26" ht="14.25" customHeight="1">
      <c r="A282" s="128"/>
      <c r="B282" s="128"/>
      <c r="C282" s="128"/>
      <c r="D282" s="128"/>
      <c r="E282" s="128"/>
      <c r="F282" s="128"/>
      <c r="G282" s="128"/>
      <c r="H282" s="128"/>
      <c r="I282" s="128"/>
      <c r="J282" s="128"/>
      <c r="K282" s="128"/>
      <c r="L282" s="128"/>
      <c r="M282" s="128"/>
      <c r="N282" s="128"/>
      <c r="O282" s="128"/>
      <c r="P282" s="128"/>
      <c r="Q282" s="128"/>
      <c r="R282" s="128"/>
      <c r="S282" s="128"/>
      <c r="T282" s="128"/>
      <c r="U282" s="128"/>
      <c r="V282" s="128"/>
      <c r="W282" s="128"/>
      <c r="X282" s="128"/>
      <c r="Y282" s="128"/>
      <c r="Z282" s="128"/>
    </row>
    <row r="283" spans="1:26" ht="14.25" customHeight="1">
      <c r="A283" s="128"/>
      <c r="B283" s="128"/>
      <c r="C283" s="128"/>
      <c r="D283" s="128"/>
      <c r="E283" s="128"/>
      <c r="F283" s="128"/>
      <c r="G283" s="128"/>
      <c r="H283" s="128"/>
      <c r="I283" s="128"/>
      <c r="J283" s="128"/>
      <c r="K283" s="128"/>
      <c r="L283" s="128"/>
      <c r="M283" s="128"/>
      <c r="N283" s="128"/>
      <c r="O283" s="128"/>
      <c r="P283" s="128"/>
      <c r="Q283" s="128"/>
      <c r="R283" s="128"/>
      <c r="S283" s="128"/>
      <c r="T283" s="128"/>
      <c r="U283" s="128"/>
      <c r="V283" s="128"/>
      <c r="W283" s="128"/>
      <c r="X283" s="128"/>
      <c r="Y283" s="128"/>
      <c r="Z283" s="128"/>
    </row>
    <row r="284" spans="1:26" ht="14.25" customHeight="1">
      <c r="A284" s="128"/>
      <c r="B284" s="128"/>
      <c r="C284" s="128"/>
      <c r="D284" s="128"/>
      <c r="E284" s="128"/>
      <c r="F284" s="128"/>
      <c r="G284" s="128"/>
      <c r="H284" s="128"/>
      <c r="I284" s="128"/>
      <c r="J284" s="128"/>
      <c r="K284" s="128"/>
      <c r="L284" s="128"/>
      <c r="M284" s="128"/>
      <c r="N284" s="128"/>
      <c r="O284" s="128"/>
      <c r="P284" s="128"/>
      <c r="Q284" s="128"/>
      <c r="R284" s="128"/>
      <c r="S284" s="128"/>
      <c r="T284" s="128"/>
      <c r="U284" s="128"/>
      <c r="V284" s="128"/>
      <c r="W284" s="128"/>
      <c r="X284" s="128"/>
      <c r="Y284" s="128"/>
      <c r="Z284" s="128"/>
    </row>
    <row r="285" spans="1:26" ht="14.25" customHeight="1">
      <c r="A285" s="128"/>
      <c r="B285" s="128"/>
      <c r="C285" s="128"/>
      <c r="D285" s="128"/>
      <c r="E285" s="128"/>
      <c r="F285" s="128"/>
      <c r="G285" s="128"/>
      <c r="H285" s="128"/>
      <c r="I285" s="128"/>
      <c r="J285" s="128"/>
      <c r="K285" s="128"/>
      <c r="L285" s="128"/>
      <c r="M285" s="128"/>
      <c r="N285" s="128"/>
      <c r="O285" s="128"/>
      <c r="P285" s="128"/>
      <c r="Q285" s="128"/>
      <c r="R285" s="128"/>
      <c r="S285" s="128"/>
      <c r="T285" s="128"/>
      <c r="U285" s="128"/>
      <c r="V285" s="128"/>
      <c r="W285" s="128"/>
      <c r="X285" s="128"/>
      <c r="Y285" s="128"/>
      <c r="Z285" s="128"/>
    </row>
    <row r="286" spans="1:26" ht="14.25" customHeight="1">
      <c r="A286" s="128"/>
      <c r="B286" s="128"/>
      <c r="C286" s="128"/>
      <c r="D286" s="128"/>
      <c r="E286" s="128"/>
      <c r="F286" s="128"/>
      <c r="G286" s="128"/>
      <c r="H286" s="128"/>
      <c r="I286" s="128"/>
      <c r="J286" s="128"/>
      <c r="K286" s="128"/>
      <c r="L286" s="128"/>
      <c r="M286" s="128"/>
      <c r="N286" s="128"/>
      <c r="O286" s="128"/>
      <c r="P286" s="128"/>
      <c r="Q286" s="128"/>
      <c r="R286" s="128"/>
      <c r="S286" s="128"/>
      <c r="T286" s="128"/>
      <c r="U286" s="128"/>
      <c r="V286" s="128"/>
      <c r="W286" s="128"/>
      <c r="X286" s="128"/>
      <c r="Y286" s="128"/>
      <c r="Z286" s="128"/>
    </row>
    <row r="287" spans="1:26" ht="14.25" customHeight="1">
      <c r="A287" s="128"/>
      <c r="B287" s="128"/>
      <c r="C287" s="128"/>
      <c r="D287" s="128"/>
      <c r="E287" s="128"/>
      <c r="F287" s="128"/>
      <c r="G287" s="128"/>
      <c r="H287" s="128"/>
      <c r="I287" s="128"/>
      <c r="J287" s="128"/>
      <c r="K287" s="128"/>
      <c r="L287" s="128"/>
      <c r="M287" s="128"/>
      <c r="N287" s="128"/>
      <c r="O287" s="128"/>
      <c r="P287" s="128"/>
      <c r="Q287" s="128"/>
      <c r="R287" s="128"/>
      <c r="S287" s="128"/>
      <c r="T287" s="128"/>
      <c r="U287" s="128"/>
      <c r="V287" s="128"/>
      <c r="W287" s="128"/>
      <c r="X287" s="128"/>
      <c r="Y287" s="128"/>
      <c r="Z287" s="128"/>
    </row>
    <row r="288" spans="1:26" ht="14.25" customHeight="1">
      <c r="A288" s="128"/>
      <c r="B288" s="128"/>
      <c r="C288" s="128"/>
      <c r="D288" s="128"/>
      <c r="E288" s="128"/>
      <c r="F288" s="128"/>
      <c r="G288" s="128"/>
      <c r="H288" s="128"/>
      <c r="I288" s="128"/>
      <c r="J288" s="128"/>
      <c r="K288" s="128"/>
      <c r="L288" s="128"/>
      <c r="M288" s="128"/>
      <c r="N288" s="128"/>
      <c r="O288" s="128"/>
      <c r="P288" s="128"/>
      <c r="Q288" s="128"/>
      <c r="R288" s="128"/>
      <c r="S288" s="128"/>
      <c r="T288" s="128"/>
      <c r="U288" s="128"/>
      <c r="V288" s="128"/>
      <c r="W288" s="128"/>
      <c r="X288" s="128"/>
      <c r="Y288" s="128"/>
      <c r="Z288" s="128"/>
    </row>
    <row r="289" spans="1:26" ht="14.25" customHeight="1">
      <c r="A289" s="128"/>
      <c r="B289" s="128"/>
      <c r="C289" s="128"/>
      <c r="D289" s="128"/>
      <c r="E289" s="128"/>
      <c r="F289" s="128"/>
      <c r="G289" s="128"/>
      <c r="H289" s="128"/>
      <c r="I289" s="128"/>
      <c r="J289" s="128"/>
      <c r="K289" s="128"/>
      <c r="L289" s="128"/>
      <c r="M289" s="128"/>
      <c r="N289" s="128"/>
      <c r="O289" s="128"/>
      <c r="P289" s="128"/>
      <c r="Q289" s="128"/>
      <c r="R289" s="128"/>
      <c r="S289" s="128"/>
      <c r="T289" s="128"/>
      <c r="U289" s="128"/>
      <c r="V289" s="128"/>
      <c r="W289" s="128"/>
      <c r="X289" s="128"/>
      <c r="Y289" s="128"/>
      <c r="Z289" s="128"/>
    </row>
    <row r="290" spans="1:26" ht="14.25" customHeight="1">
      <c r="A290" s="128"/>
      <c r="B290" s="128"/>
      <c r="C290" s="128"/>
      <c r="D290" s="128"/>
      <c r="E290" s="128"/>
      <c r="F290" s="128"/>
      <c r="G290" s="128"/>
      <c r="H290" s="128"/>
      <c r="I290" s="128"/>
      <c r="J290" s="128"/>
      <c r="K290" s="128"/>
      <c r="L290" s="128"/>
      <c r="M290" s="128"/>
      <c r="N290" s="128"/>
      <c r="O290" s="128"/>
      <c r="P290" s="128"/>
      <c r="Q290" s="128"/>
      <c r="R290" s="128"/>
      <c r="S290" s="128"/>
      <c r="T290" s="128"/>
      <c r="U290" s="128"/>
      <c r="V290" s="128"/>
      <c r="W290" s="128"/>
      <c r="X290" s="128"/>
      <c r="Y290" s="128"/>
      <c r="Z290" s="128"/>
    </row>
    <row r="291" spans="1:26" ht="14.25" customHeight="1">
      <c r="A291" s="128"/>
      <c r="B291" s="128"/>
      <c r="C291" s="128"/>
      <c r="D291" s="128"/>
      <c r="E291" s="128"/>
      <c r="F291" s="128"/>
      <c r="G291" s="128"/>
      <c r="H291" s="128"/>
      <c r="I291" s="128"/>
      <c r="J291" s="128"/>
      <c r="K291" s="128"/>
      <c r="L291" s="128"/>
      <c r="M291" s="128"/>
      <c r="N291" s="128"/>
      <c r="O291" s="128"/>
      <c r="P291" s="128"/>
      <c r="Q291" s="128"/>
      <c r="R291" s="128"/>
      <c r="S291" s="128"/>
      <c r="T291" s="128"/>
      <c r="U291" s="128"/>
      <c r="V291" s="128"/>
      <c r="W291" s="128"/>
      <c r="X291" s="128"/>
      <c r="Y291" s="128"/>
      <c r="Z291" s="128"/>
    </row>
    <row r="292" spans="1:26" ht="14.25" customHeight="1">
      <c r="A292" s="128"/>
      <c r="B292" s="128"/>
      <c r="C292" s="128"/>
      <c r="D292" s="128"/>
      <c r="E292" s="128"/>
      <c r="F292" s="128"/>
      <c r="G292" s="128"/>
      <c r="H292" s="128"/>
      <c r="I292" s="128"/>
      <c r="J292" s="128"/>
      <c r="K292" s="128"/>
      <c r="L292" s="128"/>
      <c r="M292" s="128"/>
      <c r="N292" s="128"/>
      <c r="O292" s="128"/>
      <c r="P292" s="128"/>
      <c r="Q292" s="128"/>
      <c r="R292" s="128"/>
      <c r="S292" s="128"/>
      <c r="T292" s="128"/>
      <c r="U292" s="128"/>
      <c r="V292" s="128"/>
      <c r="W292" s="128"/>
      <c r="X292" s="128"/>
      <c r="Y292" s="128"/>
      <c r="Z292" s="128"/>
    </row>
    <row r="293" spans="1:26" ht="14.25" customHeight="1">
      <c r="A293" s="128"/>
      <c r="B293" s="128"/>
      <c r="C293" s="128"/>
      <c r="D293" s="128"/>
      <c r="E293" s="128"/>
      <c r="F293" s="128"/>
      <c r="G293" s="128"/>
      <c r="H293" s="128"/>
      <c r="I293" s="128"/>
      <c r="J293" s="128"/>
      <c r="K293" s="128"/>
      <c r="L293" s="128"/>
      <c r="M293" s="128"/>
      <c r="N293" s="128"/>
      <c r="O293" s="128"/>
      <c r="P293" s="128"/>
      <c r="Q293" s="128"/>
      <c r="R293" s="128"/>
      <c r="S293" s="128"/>
      <c r="T293" s="128"/>
      <c r="U293" s="128"/>
      <c r="V293" s="128"/>
      <c r="W293" s="128"/>
      <c r="X293" s="128"/>
      <c r="Y293" s="128"/>
      <c r="Z293" s="128"/>
    </row>
    <row r="294" spans="1:26" ht="14.25" customHeight="1">
      <c r="A294" s="128"/>
      <c r="B294" s="128"/>
      <c r="C294" s="128"/>
      <c r="D294" s="128"/>
      <c r="E294" s="128"/>
      <c r="F294" s="128"/>
      <c r="G294" s="128"/>
      <c r="H294" s="128"/>
      <c r="I294" s="128"/>
      <c r="J294" s="128"/>
      <c r="K294" s="128"/>
      <c r="L294" s="128"/>
      <c r="M294" s="128"/>
      <c r="N294" s="128"/>
      <c r="O294" s="128"/>
      <c r="P294" s="128"/>
      <c r="Q294" s="128"/>
      <c r="R294" s="128"/>
      <c r="S294" s="128"/>
      <c r="T294" s="128"/>
      <c r="U294" s="128"/>
      <c r="V294" s="128"/>
      <c r="W294" s="128"/>
      <c r="X294" s="128"/>
      <c r="Y294" s="128"/>
      <c r="Z294" s="128"/>
    </row>
    <row r="295" spans="1:26" ht="14.25" customHeight="1">
      <c r="A295" s="128"/>
      <c r="B295" s="128"/>
      <c r="C295" s="128"/>
      <c r="D295" s="128"/>
      <c r="E295" s="128"/>
      <c r="F295" s="128"/>
      <c r="G295" s="128"/>
      <c r="H295" s="128"/>
      <c r="I295" s="128"/>
      <c r="J295" s="128"/>
      <c r="K295" s="128"/>
      <c r="L295" s="128"/>
      <c r="M295" s="128"/>
      <c r="N295" s="128"/>
      <c r="O295" s="128"/>
      <c r="P295" s="128"/>
      <c r="Q295" s="128"/>
      <c r="R295" s="128"/>
      <c r="S295" s="128"/>
      <c r="T295" s="128"/>
      <c r="U295" s="128"/>
      <c r="V295" s="128"/>
      <c r="W295" s="128"/>
      <c r="X295" s="128"/>
      <c r="Y295" s="128"/>
      <c r="Z295" s="128"/>
    </row>
    <row r="296" spans="1:26" ht="15.75" customHeight="1"/>
    <row r="297" spans="1:26" ht="15.75" customHeight="1"/>
    <row r="298" spans="1:26" ht="15.75" customHeight="1"/>
    <row r="299" spans="1:26" ht="15.75" customHeight="1"/>
    <row r="300" spans="1:26" ht="15.75" customHeight="1"/>
    <row r="301" spans="1:26" ht="15.75" customHeight="1"/>
    <row r="302" spans="1:26" ht="15.75" customHeight="1"/>
    <row r="303" spans="1:26" ht="15.75" customHeight="1"/>
    <row r="304" spans="1:26"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C2:F2"/>
    <mergeCell ref="C4:G4"/>
    <mergeCell ref="K8:L9"/>
    <mergeCell ref="N8:N9"/>
    <mergeCell ref="B14:G16"/>
    <mergeCell ref="L14:M15"/>
    <mergeCell ref="N20:N21"/>
    <mergeCell ref="C74:F74"/>
    <mergeCell ref="C87:F87"/>
    <mergeCell ref="C89:G89"/>
    <mergeCell ref="K11:L12"/>
    <mergeCell ref="K36:L37"/>
    <mergeCell ref="N36:N37"/>
    <mergeCell ref="K39:L40"/>
    <mergeCell ref="N39:N40"/>
    <mergeCell ref="C51:F51"/>
    <mergeCell ref="C76:G76"/>
  </mergeCells>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AB1000"/>
  <sheetViews>
    <sheetView showGridLines="0" workbookViewId="0"/>
  </sheetViews>
  <sheetFormatPr baseColWidth="10" defaultColWidth="14.44140625" defaultRowHeight="15" customHeight="1"/>
  <cols>
    <col min="1" max="1" width="3.44140625" customWidth="1"/>
    <col min="2" max="2" width="39.44140625" customWidth="1"/>
    <col min="3" max="3" width="13.33203125" customWidth="1"/>
    <col min="4" max="4" width="20.109375" customWidth="1"/>
    <col min="5" max="5" width="15.33203125" customWidth="1"/>
    <col min="6" max="6" width="18.88671875" customWidth="1"/>
    <col min="7" max="7" width="15.33203125" customWidth="1"/>
    <col min="8" max="10" width="19.44140625" customWidth="1"/>
    <col min="11" max="11" width="15.33203125" customWidth="1"/>
    <col min="12" max="12" width="12" customWidth="1"/>
    <col min="13" max="13" width="16.44140625" customWidth="1"/>
    <col min="14" max="14" width="19.33203125" customWidth="1"/>
    <col min="15" max="15" width="13" customWidth="1"/>
    <col min="16" max="16" width="11.44140625" customWidth="1"/>
    <col min="17" max="17" width="14.109375" customWidth="1"/>
    <col min="18" max="18" width="13.109375" customWidth="1"/>
    <col min="19" max="20" width="11.44140625" customWidth="1"/>
    <col min="21" max="21" width="18.109375" customWidth="1"/>
    <col min="22" max="28" width="11.44140625" customWidth="1"/>
  </cols>
  <sheetData>
    <row r="1" spans="1:28" ht="23.4">
      <c r="A1" s="73"/>
      <c r="B1" s="1386" t="s">
        <v>209</v>
      </c>
      <c r="C1" s="1345"/>
      <c r="D1" s="1345"/>
      <c r="E1" s="1345"/>
      <c r="F1" s="1345"/>
      <c r="G1" s="1345"/>
      <c r="H1" s="1345"/>
      <c r="I1" s="1345"/>
      <c r="J1" s="1345"/>
      <c r="K1" s="1345"/>
      <c r="L1" s="51"/>
      <c r="M1" s="1379" t="s">
        <v>210</v>
      </c>
      <c r="N1" s="1334"/>
      <c r="O1" s="73"/>
      <c r="P1" s="128"/>
      <c r="Q1" s="128"/>
      <c r="R1" s="73"/>
      <c r="S1" s="73"/>
      <c r="T1" s="128"/>
      <c r="U1" s="128"/>
      <c r="V1" s="73"/>
      <c r="W1" s="73"/>
      <c r="X1" s="73"/>
      <c r="Y1" s="73"/>
      <c r="Z1" s="73"/>
      <c r="AA1" s="73"/>
    </row>
    <row r="2" spans="1:28" ht="10.5" customHeight="1">
      <c r="A2" s="73"/>
      <c r="B2" s="129" t="s">
        <v>211</v>
      </c>
      <c r="C2" s="127"/>
      <c r="D2" s="73"/>
      <c r="E2" s="73"/>
      <c r="F2" s="73"/>
      <c r="G2" s="73"/>
      <c r="H2" s="73"/>
      <c r="I2" s="73"/>
      <c r="J2" s="73"/>
      <c r="K2" s="73"/>
      <c r="L2" s="73"/>
      <c r="M2" s="73"/>
      <c r="N2" s="130" t="s">
        <v>212</v>
      </c>
      <c r="O2" s="130" t="s">
        <v>213</v>
      </c>
      <c r="P2" s="73"/>
      <c r="Q2" s="128"/>
      <c r="R2" s="128"/>
      <c r="S2" s="73"/>
      <c r="T2" s="73"/>
      <c r="U2" s="128"/>
      <c r="V2" s="128"/>
      <c r="W2" s="73"/>
      <c r="X2" s="73"/>
      <c r="Y2" s="73"/>
      <c r="Z2" s="73"/>
      <c r="AA2" s="73"/>
      <c r="AB2" s="73"/>
    </row>
    <row r="3" spans="1:28" ht="15" customHeight="1">
      <c r="A3" s="73"/>
      <c r="B3" s="73"/>
      <c r="C3" s="73"/>
      <c r="D3" s="73"/>
      <c r="E3" s="73"/>
      <c r="F3" s="73"/>
      <c r="G3" s="73"/>
      <c r="H3" s="73"/>
      <c r="I3" s="73"/>
      <c r="J3" s="131"/>
      <c r="K3" s="73"/>
      <c r="L3" s="73"/>
      <c r="M3" s="180">
        <v>2.5000000000000001E-2</v>
      </c>
      <c r="N3" s="133">
        <v>0.05</v>
      </c>
      <c r="O3" s="819"/>
      <c r="P3" s="128"/>
      <c r="Q3" s="128"/>
      <c r="R3" s="128"/>
      <c r="S3" s="819"/>
      <c r="T3" s="128"/>
      <c r="U3" s="128"/>
      <c r="V3" s="73"/>
      <c r="W3" s="73"/>
      <c r="X3" s="73"/>
      <c r="Y3" s="73"/>
      <c r="Z3" s="73"/>
      <c r="AA3" s="73"/>
    </row>
    <row r="4" spans="1:28" ht="14.4">
      <c r="A4" s="73"/>
      <c r="B4" s="134"/>
      <c r="C4" s="135">
        <v>2020</v>
      </c>
      <c r="D4" s="136">
        <f>+C4+1</f>
        <v>2021</v>
      </c>
      <c r="E4" s="136">
        <f>+D4+1</f>
        <v>2022</v>
      </c>
      <c r="F4" s="136">
        <f>+E4+1</f>
        <v>2023</v>
      </c>
      <c r="G4" s="136">
        <f>+F4+1</f>
        <v>2024</v>
      </c>
      <c r="H4" s="136">
        <f>+G4+1</f>
        <v>2025</v>
      </c>
      <c r="I4" s="630"/>
      <c r="J4" s="132" t="s">
        <v>216</v>
      </c>
      <c r="K4" s="127" t="s">
        <v>217</v>
      </c>
      <c r="L4" s="73" t="s">
        <v>467</v>
      </c>
      <c r="M4" s="1380" t="s">
        <v>218</v>
      </c>
      <c r="N4" s="1334"/>
      <c r="O4" s="73"/>
      <c r="P4" s="128"/>
      <c r="Q4" s="128"/>
      <c r="R4" s="73"/>
      <c r="S4" s="73"/>
      <c r="T4" s="128"/>
      <c r="U4" s="128"/>
      <c r="V4" s="73"/>
      <c r="W4" s="73"/>
      <c r="X4" s="73"/>
      <c r="Y4" s="73"/>
      <c r="Z4" s="73"/>
      <c r="AA4" s="73"/>
    </row>
    <row r="5" spans="1:28" ht="14.4">
      <c r="A5" s="73"/>
      <c r="B5" s="139" t="s">
        <v>219</v>
      </c>
      <c r="C5" s="140">
        <f>+'1. Datos'!E6</f>
        <v>0</v>
      </c>
      <c r="D5" s="140">
        <f>+'1. Datos'!F6</f>
        <v>0</v>
      </c>
      <c r="E5" s="140">
        <f>+'1. Datos'!G6</f>
        <v>0</v>
      </c>
      <c r="F5" s="140">
        <f>+'1. Datos'!H6</f>
        <v>0</v>
      </c>
      <c r="G5" s="140">
        <f>+'1. Datos'!I6</f>
        <v>0</v>
      </c>
      <c r="H5" s="140">
        <f>+'1. Datos'!K6</f>
        <v>0</v>
      </c>
      <c r="I5" s="164"/>
      <c r="J5" s="132" t="e">
        <f>+(H5/E5)^(1/4)-1</f>
        <v>#DIV/0!</v>
      </c>
      <c r="K5" s="133">
        <f>+'Expected Growth25'!E38</f>
        <v>9.2700000000000005E-2</v>
      </c>
      <c r="L5" s="141" t="e">
        <f>+AVERAGE(F6:H6)</f>
        <v>#DIV/0!</v>
      </c>
      <c r="M5" s="1381">
        <f>+N3/2</f>
        <v>2.5000000000000001E-2</v>
      </c>
      <c r="N5" s="1334"/>
      <c r="O5" s="73"/>
      <c r="P5" s="128"/>
      <c r="Q5" s="128"/>
      <c r="R5" s="73"/>
      <c r="S5" s="73"/>
      <c r="T5" s="128"/>
      <c r="U5" s="128"/>
      <c r="V5" s="73"/>
      <c r="W5" s="73"/>
      <c r="X5" s="73"/>
      <c r="Y5" s="73"/>
      <c r="Z5" s="73"/>
      <c r="AA5" s="73"/>
    </row>
    <row r="6" spans="1:28" ht="14.4">
      <c r="A6" s="73"/>
      <c r="B6" s="142" t="s">
        <v>220</v>
      </c>
      <c r="C6" s="143"/>
      <c r="D6" s="143"/>
      <c r="E6" s="143" t="e">
        <f>+E5/D5-1</f>
        <v>#DIV/0!</v>
      </c>
      <c r="F6" s="143" t="e">
        <f>+F5/E5-1</f>
        <v>#DIV/0!</v>
      </c>
      <c r="G6" s="143" t="e">
        <f>+G5/F5-1</f>
        <v>#DIV/0!</v>
      </c>
      <c r="H6" s="143" t="e">
        <f>+H5/G5-1</f>
        <v>#DIV/0!</v>
      </c>
      <c r="I6" s="132"/>
      <c r="J6" s="131"/>
      <c r="K6" s="73"/>
      <c r="L6" s="145"/>
      <c r="M6" s="128"/>
      <c r="N6" s="73"/>
      <c r="O6" s="73"/>
      <c r="P6" s="128"/>
      <c r="Q6" s="128"/>
      <c r="R6" s="73"/>
      <c r="S6" s="73"/>
      <c r="T6" s="128"/>
      <c r="U6" s="128"/>
      <c r="V6" s="73"/>
      <c r="W6" s="73"/>
      <c r="X6" s="73"/>
      <c r="Y6" s="73"/>
      <c r="Z6" s="73"/>
      <c r="AA6" s="73"/>
    </row>
    <row r="7" spans="1:28" ht="13.5" customHeight="1">
      <c r="A7" s="73"/>
      <c r="B7" s="73"/>
      <c r="C7" s="127"/>
      <c r="D7" s="127"/>
      <c r="E7" s="127"/>
      <c r="F7" s="133"/>
      <c r="G7" s="127"/>
      <c r="H7" s="127"/>
      <c r="I7" s="127"/>
      <c r="J7" s="127"/>
      <c r="K7" s="131"/>
      <c r="L7" s="131"/>
      <c r="M7" s="73"/>
      <c r="N7" s="146"/>
      <c r="O7" s="73"/>
      <c r="P7" s="73"/>
      <c r="Q7" s="128"/>
      <c r="R7" s="128"/>
      <c r="S7" s="73"/>
      <c r="T7" s="73"/>
      <c r="U7" s="128"/>
      <c r="V7" s="128"/>
      <c r="W7" s="73"/>
      <c r="X7" s="73"/>
      <c r="Y7" s="73"/>
      <c r="Z7" s="73"/>
      <c r="AA7" s="73"/>
      <c r="AB7" s="73"/>
    </row>
    <row r="8" spans="1:28" ht="14.4">
      <c r="A8" s="73"/>
      <c r="B8" s="73"/>
      <c r="C8" s="127"/>
      <c r="D8" s="127"/>
      <c r="E8" s="133"/>
      <c r="F8" s="133"/>
      <c r="G8" s="133"/>
      <c r="H8" s="127"/>
      <c r="I8" s="127"/>
      <c r="J8" s="127"/>
      <c r="K8" s="127"/>
      <c r="L8" s="73"/>
      <c r="M8" s="820"/>
      <c r="N8" s="821" t="s">
        <v>221</v>
      </c>
      <c r="O8" s="822" t="s">
        <v>222</v>
      </c>
      <c r="P8" s="73"/>
      <c r="Q8" s="128"/>
      <c r="R8" s="128"/>
      <c r="S8" s="73"/>
      <c r="T8" s="73"/>
      <c r="U8" s="128"/>
      <c r="V8" s="128"/>
      <c r="W8" s="73"/>
      <c r="X8" s="73"/>
      <c r="Y8" s="73"/>
      <c r="Z8" s="73"/>
      <c r="AA8" s="73"/>
      <c r="AB8" s="73"/>
    </row>
    <row r="9" spans="1:28" ht="14.4">
      <c r="A9" s="73"/>
      <c r="B9" s="148" t="s">
        <v>223</v>
      </c>
      <c r="C9" s="135" t="s">
        <v>224</v>
      </c>
      <c r="D9" s="149">
        <v>0.5</v>
      </c>
      <c r="E9" s="149">
        <v>1.5</v>
      </c>
      <c r="F9" s="149">
        <v>2.5</v>
      </c>
      <c r="G9" s="149">
        <v>3.5</v>
      </c>
      <c r="H9" s="149">
        <v>4.5</v>
      </c>
      <c r="I9" s="150" t="s">
        <v>225</v>
      </c>
      <c r="J9" s="127"/>
      <c r="K9" s="73"/>
      <c r="L9" s="73"/>
      <c r="M9" s="823">
        <f>+M5</f>
        <v>2.5000000000000001E-2</v>
      </c>
      <c r="N9" s="820"/>
      <c r="O9" s="73"/>
      <c r="P9" s="128"/>
      <c r="Q9" s="128"/>
      <c r="R9" s="73"/>
      <c r="S9" s="73"/>
      <c r="T9" s="128"/>
      <c r="U9" s="128"/>
      <c r="V9" s="73"/>
      <c r="W9" s="73"/>
      <c r="X9" s="73"/>
      <c r="Y9" s="73"/>
      <c r="Z9" s="73"/>
      <c r="AA9" s="73"/>
      <c r="AB9" s="1"/>
    </row>
    <row r="10" spans="1:28" ht="14.4">
      <c r="A10" s="73"/>
      <c r="B10" s="153" t="s">
        <v>226</v>
      </c>
      <c r="C10" s="154"/>
      <c r="D10" s="155">
        <v>2026</v>
      </c>
      <c r="E10" s="155">
        <f>+D10+1</f>
        <v>2027</v>
      </c>
      <c r="F10" s="155">
        <f>+E10+1</f>
        <v>2028</v>
      </c>
      <c r="G10" s="155">
        <f>+F10+1</f>
        <v>2029</v>
      </c>
      <c r="H10" s="155">
        <f>+G10+1</f>
        <v>2030</v>
      </c>
      <c r="I10" s="156">
        <f>+H10</f>
        <v>2030</v>
      </c>
      <c r="J10" s="127"/>
      <c r="K10" s="73"/>
      <c r="L10" s="73"/>
      <c r="M10" s="1419" t="s">
        <v>227</v>
      </c>
      <c r="N10" s="824">
        <v>-0.4</v>
      </c>
      <c r="O10" s="73"/>
      <c r="P10" s="128"/>
      <c r="Q10" s="128"/>
      <c r="R10" s="73"/>
      <c r="S10" s="73"/>
      <c r="T10" s="128"/>
      <c r="U10" s="128"/>
      <c r="V10" s="73"/>
      <c r="W10" s="73"/>
      <c r="X10" s="73"/>
      <c r="Y10" s="73"/>
      <c r="Z10" s="73"/>
      <c r="AA10" s="73"/>
      <c r="AB10" s="1"/>
    </row>
    <row r="11" spans="1:28" ht="14.4">
      <c r="A11" s="73"/>
      <c r="B11" s="158" t="s">
        <v>228</v>
      </c>
      <c r="C11" s="127"/>
      <c r="D11" s="159">
        <f>+K5</f>
        <v>9.2700000000000005E-2</v>
      </c>
      <c r="E11" s="133">
        <f>D11</f>
        <v>9.2700000000000005E-2</v>
      </c>
      <c r="F11" s="133">
        <f>+'Expected Growth25'!F38</f>
        <v>6.1800000000000001E-2</v>
      </c>
      <c r="G11" s="133">
        <f>+F11</f>
        <v>6.1800000000000001E-2</v>
      </c>
      <c r="H11" s="133">
        <f>+G11</f>
        <v>6.1800000000000001E-2</v>
      </c>
      <c r="I11" s="133">
        <f>H11</f>
        <v>6.1800000000000001E-2</v>
      </c>
      <c r="J11" s="133"/>
      <c r="K11" s="146"/>
      <c r="L11" s="73"/>
      <c r="M11" s="1334"/>
      <c r="N11" s="825">
        <f>+M5*(1+N10)</f>
        <v>1.4999999999999999E-2</v>
      </c>
      <c r="O11" s="73"/>
      <c r="P11" s="128"/>
      <c r="Q11" s="128"/>
      <c r="R11" s="73"/>
      <c r="S11" s="73"/>
      <c r="T11" s="128"/>
      <c r="U11" s="128"/>
      <c r="V11" s="73"/>
      <c r="W11" s="73"/>
      <c r="X11" s="73"/>
      <c r="Y11" s="73"/>
      <c r="Z11" s="73"/>
      <c r="AA11" s="73"/>
      <c r="AB11" s="1"/>
    </row>
    <row r="12" spans="1:28" ht="14.4">
      <c r="A12" s="73"/>
      <c r="B12" s="162" t="s">
        <v>229</v>
      </c>
      <c r="C12" s="163"/>
      <c r="D12" s="164">
        <f>+H5*(1+D11)</f>
        <v>0</v>
      </c>
      <c r="E12" s="164">
        <f>+D12*(1+E11)</f>
        <v>0</v>
      </c>
      <c r="F12" s="164">
        <f>+E12*(1+F11)</f>
        <v>0</v>
      </c>
      <c r="G12" s="164">
        <f>+F12*(1+G11)</f>
        <v>0</v>
      </c>
      <c r="H12" s="164">
        <f>+G12*(1+H11)</f>
        <v>0</v>
      </c>
      <c r="I12" s="165">
        <f>+H12</f>
        <v>0</v>
      </c>
      <c r="J12" s="164"/>
      <c r="K12" s="73" t="s">
        <v>468</v>
      </c>
      <c r="L12" s="166"/>
      <c r="M12" s="128"/>
      <c r="N12" s="73"/>
      <c r="O12" s="73"/>
      <c r="P12" s="128"/>
      <c r="Q12" s="128"/>
      <c r="R12" s="73"/>
      <c r="S12" s="73"/>
      <c r="T12" s="128"/>
      <c r="U12" s="128"/>
      <c r="V12" s="73"/>
      <c r="W12" s="73"/>
      <c r="X12" s="73"/>
      <c r="Y12" s="73"/>
      <c r="Z12" s="73"/>
      <c r="AA12" s="73"/>
      <c r="AB12" s="1"/>
    </row>
    <row r="13" spans="1:28" ht="14.4">
      <c r="A13" s="73"/>
      <c r="B13" s="162" t="s">
        <v>230</v>
      </c>
      <c r="C13" s="159">
        <v>2.5000000000000001E-2</v>
      </c>
      <c r="D13" s="167">
        <f>+D12*$C$13</f>
        <v>0</v>
      </c>
      <c r="E13" s="167">
        <f>+E12*$C$13</f>
        <v>0</v>
      </c>
      <c r="F13" s="167">
        <f>+F12*$C$13</f>
        <v>0</v>
      </c>
      <c r="G13" s="167">
        <f>+G12*$C$13</f>
        <v>0</v>
      </c>
      <c r="H13" s="167">
        <f>+H12*$C$13</f>
        <v>0</v>
      </c>
      <c r="I13" s="168">
        <f>+I12*$C$13</f>
        <v>0</v>
      </c>
      <c r="J13" s="167"/>
      <c r="K13" s="169"/>
      <c r="L13" s="73"/>
      <c r="M13" s="128"/>
      <c r="N13" s="73"/>
      <c r="O13" s="73"/>
      <c r="P13" s="128"/>
      <c r="Q13" s="128"/>
      <c r="R13" s="73"/>
      <c r="S13" s="73"/>
      <c r="T13" s="128"/>
      <c r="U13" s="128"/>
      <c r="V13" s="73"/>
      <c r="W13" s="73"/>
      <c r="X13" s="73"/>
      <c r="Y13" s="73"/>
      <c r="Z13" s="73"/>
      <c r="AA13" s="73"/>
      <c r="AB13" s="1"/>
    </row>
    <row r="14" spans="1:28" ht="14.4">
      <c r="A14" s="73"/>
      <c r="B14" s="170" t="s">
        <v>231</v>
      </c>
      <c r="C14" s="171">
        <v>0.05</v>
      </c>
      <c r="D14" s="172">
        <f>$C$14*D13</f>
        <v>0</v>
      </c>
      <c r="E14" s="172">
        <f>$C$14*E13</f>
        <v>0</v>
      </c>
      <c r="F14" s="172">
        <f>$C$14*F13</f>
        <v>0</v>
      </c>
      <c r="G14" s="172">
        <f>$C$14*G13</f>
        <v>0</v>
      </c>
      <c r="H14" s="172">
        <f>$C$14*H13</f>
        <v>0</v>
      </c>
      <c r="I14" s="173">
        <f>$C$14*I13</f>
        <v>0</v>
      </c>
      <c r="J14" s="167"/>
      <c r="K14" s="73"/>
      <c r="L14" s="73"/>
      <c r="M14" s="128"/>
      <c r="N14" s="73"/>
      <c r="O14" s="73"/>
      <c r="P14" s="128"/>
      <c r="Q14" s="128"/>
      <c r="R14" s="73"/>
      <c r="S14" s="73"/>
      <c r="T14" s="128"/>
      <c r="U14" s="128"/>
      <c r="V14" s="73"/>
      <c r="W14" s="73"/>
      <c r="X14" s="73"/>
      <c r="Y14" s="73"/>
      <c r="Z14" s="73"/>
      <c r="AA14" s="73"/>
      <c r="AB14" s="1"/>
    </row>
    <row r="15" spans="1:28" ht="19.5" customHeight="1">
      <c r="A15" s="73"/>
      <c r="B15" s="162"/>
      <c r="C15" s="133"/>
      <c r="D15" s="167"/>
      <c r="E15" s="167"/>
      <c r="F15" s="167"/>
      <c r="G15" s="167"/>
      <c r="H15" s="167"/>
      <c r="I15" s="168"/>
      <c r="J15" s="167"/>
      <c r="K15" s="73"/>
      <c r="L15" s="73"/>
      <c r="M15" s="174"/>
      <c r="N15" s="73"/>
      <c r="O15" s="73"/>
      <c r="P15" s="128"/>
      <c r="Q15" s="128"/>
      <c r="R15" s="73"/>
      <c r="S15" s="73"/>
      <c r="T15" s="128"/>
      <c r="U15" s="128"/>
      <c r="V15" s="73"/>
      <c r="W15" s="73"/>
      <c r="X15" s="73"/>
      <c r="Y15" s="73"/>
      <c r="Z15" s="73"/>
      <c r="AA15" s="73"/>
      <c r="AB15" s="1"/>
    </row>
    <row r="16" spans="1:28" ht="27" customHeight="1">
      <c r="A16" s="73"/>
      <c r="B16" s="826" t="s">
        <v>232</v>
      </c>
      <c r="C16" s="827"/>
      <c r="D16" s="828">
        <f>D13-D14</f>
        <v>0</v>
      </c>
      <c r="E16" s="828">
        <f>E13-E14</f>
        <v>0</v>
      </c>
      <c r="F16" s="828">
        <f>F13-F14</f>
        <v>0</v>
      </c>
      <c r="G16" s="828">
        <f>G13-G14</f>
        <v>0</v>
      </c>
      <c r="H16" s="828">
        <f>H13-H14</f>
        <v>0</v>
      </c>
      <c r="I16" s="829">
        <f>I13-I14</f>
        <v>0</v>
      </c>
      <c r="J16" s="830"/>
      <c r="K16" s="73" t="s">
        <v>233</v>
      </c>
      <c r="L16" s="179"/>
      <c r="M16" s="73"/>
      <c r="N16" s="73"/>
      <c r="O16" s="73"/>
      <c r="P16" s="128"/>
      <c r="Q16" s="128"/>
      <c r="R16" s="73"/>
      <c r="S16" s="73"/>
      <c r="T16" s="128"/>
      <c r="U16" s="128"/>
      <c r="V16" s="73"/>
      <c r="W16" s="73"/>
      <c r="X16" s="73"/>
      <c r="Y16" s="73"/>
      <c r="Z16" s="73"/>
      <c r="AA16" s="73"/>
      <c r="AB16" s="1"/>
    </row>
    <row r="17" spans="1:28" ht="14.4">
      <c r="A17" s="73"/>
      <c r="B17" s="162" t="s">
        <v>15</v>
      </c>
      <c r="C17" s="180">
        <v>0.3</v>
      </c>
      <c r="D17" s="167">
        <f>+D16*$C$17</f>
        <v>0</v>
      </c>
      <c r="E17" s="167">
        <f>+E16*$C$17</f>
        <v>0</v>
      </c>
      <c r="F17" s="167">
        <f>+F16*$C$17</f>
        <v>0</v>
      </c>
      <c r="G17" s="167">
        <f>+G16*$C$17</f>
        <v>0</v>
      </c>
      <c r="H17" s="167">
        <f>+H16*$C$17</f>
        <v>0</v>
      </c>
      <c r="I17" s="168">
        <f>+I16*$C$17</f>
        <v>0</v>
      </c>
      <c r="J17" s="167"/>
      <c r="K17" s="73"/>
      <c r="L17" s="73"/>
      <c r="M17" s="181"/>
      <c r="N17" s="73"/>
      <c r="O17" s="73"/>
      <c r="P17" s="128"/>
      <c r="Q17" s="128"/>
      <c r="R17" s="73"/>
      <c r="S17" s="73"/>
      <c r="T17" s="128"/>
      <c r="U17" s="128"/>
      <c r="V17" s="73"/>
      <c r="W17" s="73"/>
      <c r="X17" s="73"/>
      <c r="Y17" s="73"/>
      <c r="Z17" s="73"/>
      <c r="AA17" s="73"/>
      <c r="AB17" s="1"/>
    </row>
    <row r="18" spans="1:28" ht="9" customHeight="1">
      <c r="A18" s="73"/>
      <c r="B18" s="162"/>
      <c r="C18" s="180"/>
      <c r="D18" s="167"/>
      <c r="E18" s="167"/>
      <c r="F18" s="167"/>
      <c r="G18" s="167"/>
      <c r="H18" s="167"/>
      <c r="I18" s="168"/>
      <c r="J18" s="167"/>
      <c r="K18" s="73"/>
      <c r="L18" s="73"/>
      <c r="M18" s="73"/>
      <c r="N18" s="73"/>
      <c r="O18" s="73"/>
      <c r="P18" s="73"/>
      <c r="Q18" s="73"/>
      <c r="R18" s="73"/>
      <c r="S18" s="73"/>
      <c r="T18" s="73"/>
      <c r="U18" s="73"/>
      <c r="V18" s="73"/>
      <c r="W18" s="73"/>
      <c r="X18" s="73"/>
      <c r="Y18" s="73"/>
      <c r="Z18" s="73"/>
      <c r="AA18" s="73"/>
      <c r="AB18" s="1"/>
    </row>
    <row r="19" spans="1:28" ht="14.4">
      <c r="A19" s="73"/>
      <c r="B19" s="162" t="s">
        <v>234</v>
      </c>
      <c r="C19" s="127"/>
      <c r="D19" s="182">
        <f>+D16-D17</f>
        <v>0</v>
      </c>
      <c r="E19" s="182">
        <f>+E16-E17</f>
        <v>0</v>
      </c>
      <c r="F19" s="182">
        <f>+F16-F17</f>
        <v>0</v>
      </c>
      <c r="G19" s="182">
        <f>+G16-G17</f>
        <v>0</v>
      </c>
      <c r="H19" s="182">
        <f>+H16-H17</f>
        <v>0</v>
      </c>
      <c r="I19" s="183">
        <f>+((H19*(1+C24))/(C22-C24))</f>
        <v>0</v>
      </c>
      <c r="J19" s="167"/>
      <c r="K19" s="73"/>
      <c r="L19" s="73"/>
      <c r="M19" s="73"/>
      <c r="N19" s="73"/>
      <c r="O19" s="73"/>
      <c r="P19" s="73"/>
      <c r="Q19" s="73"/>
      <c r="R19" s="73"/>
      <c r="S19" s="73"/>
      <c r="T19" s="128"/>
      <c r="U19" s="128"/>
      <c r="V19" s="128"/>
      <c r="W19" s="73"/>
      <c r="X19" s="73"/>
      <c r="Y19" s="73"/>
      <c r="Z19" s="73"/>
      <c r="AA19" s="73"/>
      <c r="AB19" s="1"/>
    </row>
    <row r="20" spans="1:28" ht="14.4">
      <c r="A20" s="73"/>
      <c r="B20" s="162"/>
      <c r="C20" s="127"/>
      <c r="D20" s="167"/>
      <c r="E20" s="167"/>
      <c r="F20" s="167"/>
      <c r="G20" s="167"/>
      <c r="H20" s="167"/>
      <c r="I20" s="168"/>
      <c r="J20" s="167"/>
      <c r="K20" s="73"/>
      <c r="L20" s="73"/>
      <c r="M20" s="73"/>
      <c r="N20" s="73"/>
      <c r="O20" s="73"/>
      <c r="P20" s="73"/>
      <c r="Q20" s="73"/>
      <c r="R20" s="73"/>
      <c r="S20" s="73"/>
      <c r="T20" s="128"/>
      <c r="U20" s="128"/>
      <c r="V20" s="128"/>
      <c r="W20" s="73"/>
      <c r="X20" s="73"/>
      <c r="Y20" s="73"/>
      <c r="Z20" s="73"/>
      <c r="AA20" s="73"/>
      <c r="AB20" s="1"/>
    </row>
    <row r="21" spans="1:28" ht="15.75" customHeight="1">
      <c r="A21" s="73"/>
      <c r="B21" s="162" t="s">
        <v>235</v>
      </c>
      <c r="C21" s="133">
        <f>+WACC!K26+0.01</f>
        <v>0.16953943204093805</v>
      </c>
      <c r="D21" s="73"/>
      <c r="E21" s="73"/>
      <c r="F21" s="73"/>
      <c r="G21" s="73"/>
      <c r="H21" s="73"/>
      <c r="I21" s="184"/>
      <c r="J21" s="73"/>
      <c r="K21" s="73"/>
      <c r="L21" s="73"/>
      <c r="M21" s="73"/>
      <c r="N21" s="73"/>
      <c r="O21" s="73"/>
      <c r="P21" s="73"/>
      <c r="Q21" s="73"/>
      <c r="R21" s="73"/>
      <c r="S21" s="73"/>
      <c r="T21" s="128"/>
      <c r="U21" s="128"/>
      <c r="V21" s="128"/>
      <c r="W21" s="73"/>
      <c r="X21" s="73"/>
      <c r="Y21" s="73"/>
      <c r="Z21" s="73"/>
      <c r="AA21" s="73"/>
      <c r="AB21" s="1"/>
    </row>
    <row r="22" spans="1:28" ht="15.75" customHeight="1">
      <c r="A22" s="73"/>
      <c r="B22" s="185" t="s">
        <v>236</v>
      </c>
      <c r="C22" s="186">
        <f>+C21</f>
        <v>0.16953943204093805</v>
      </c>
      <c r="D22" s="187">
        <f>+D19/(1+$C$21)^D9</f>
        <v>0</v>
      </c>
      <c r="E22" s="188">
        <f>+E19/(1+$C$21)^E9</f>
        <v>0</v>
      </c>
      <c r="F22" s="188">
        <f>+F19/(1+$C$21)^F9</f>
        <v>0</v>
      </c>
      <c r="G22" s="188">
        <f>+G19/(1+$C$21)^G9</f>
        <v>0</v>
      </c>
      <c r="H22" s="188">
        <f>+H19/(1+$C$21)^H9</f>
        <v>0</v>
      </c>
      <c r="I22" s="189">
        <f>+I19/(1+$C$21)^H9</f>
        <v>0</v>
      </c>
      <c r="J22" s="831"/>
      <c r="K22" s="73"/>
      <c r="L22" s="73"/>
      <c r="M22" s="73"/>
      <c r="N22" s="73"/>
      <c r="O22" s="73"/>
      <c r="P22" s="73"/>
      <c r="Q22" s="73"/>
      <c r="R22" s="73"/>
      <c r="S22" s="73"/>
      <c r="T22" s="128"/>
      <c r="U22" s="128"/>
      <c r="V22" s="128"/>
      <c r="W22" s="73"/>
      <c r="X22" s="73"/>
      <c r="Y22" s="73"/>
      <c r="Z22" s="73"/>
      <c r="AA22" s="73"/>
      <c r="AB22" s="1"/>
    </row>
    <row r="23" spans="1:28" ht="15.75" customHeight="1">
      <c r="A23" s="73"/>
      <c r="B23" s="73"/>
      <c r="C23" s="127"/>
      <c r="D23" s="73"/>
      <c r="E23" s="73"/>
      <c r="F23" s="73"/>
      <c r="G23" s="73"/>
      <c r="H23" s="73"/>
      <c r="I23" s="73"/>
      <c r="J23" s="73"/>
      <c r="K23" s="73"/>
      <c r="L23" s="73"/>
      <c r="M23" s="73"/>
      <c r="N23" s="73"/>
      <c r="O23" s="73"/>
      <c r="P23" s="73"/>
      <c r="Q23" s="73"/>
      <c r="R23" s="73"/>
      <c r="S23" s="73"/>
      <c r="T23" s="73"/>
      <c r="U23" s="128"/>
      <c r="V23" s="128"/>
      <c r="W23" s="128"/>
      <c r="X23" s="73"/>
      <c r="Y23" s="73"/>
      <c r="Z23" s="73"/>
      <c r="AA23" s="73"/>
      <c r="AB23" s="73"/>
    </row>
    <row r="24" spans="1:28" ht="15.75" customHeight="1">
      <c r="A24" s="73"/>
      <c r="B24" s="73" t="s">
        <v>237</v>
      </c>
      <c r="C24" s="133">
        <f>+'4.Resumen-Escenario'!AU18</f>
        <v>4.4299999999999999E-2</v>
      </c>
      <c r="D24" s="73"/>
      <c r="E24" s="832"/>
      <c r="F24" s="73"/>
      <c r="G24" s="73"/>
      <c r="H24" s="73"/>
      <c r="I24" s="73"/>
      <c r="J24" s="73"/>
      <c r="K24" s="73"/>
      <c r="L24" s="73"/>
      <c r="M24" s="73"/>
      <c r="N24" s="73"/>
      <c r="O24" s="73"/>
      <c r="P24" s="73"/>
      <c r="Q24" s="73"/>
      <c r="R24" s="73"/>
      <c r="S24" s="73"/>
      <c r="T24" s="73"/>
      <c r="U24" s="128"/>
      <c r="V24" s="128"/>
      <c r="W24" s="128"/>
      <c r="X24" s="73"/>
      <c r="Y24" s="73"/>
      <c r="Z24" s="73"/>
      <c r="AA24" s="73"/>
      <c r="AB24" s="73"/>
    </row>
    <row r="25" spans="1:28" ht="15.75" customHeight="1">
      <c r="A25" s="73"/>
      <c r="B25" s="73"/>
      <c r="C25" s="127"/>
      <c r="D25" s="73"/>
      <c r="E25" s="832"/>
      <c r="F25" s="73"/>
      <c r="G25" s="73"/>
      <c r="H25" s="73"/>
      <c r="I25" s="73"/>
      <c r="J25" s="73"/>
      <c r="K25" s="73"/>
      <c r="L25" s="73"/>
      <c r="M25" s="73"/>
      <c r="N25" s="73"/>
      <c r="O25" s="73"/>
      <c r="P25" s="73"/>
      <c r="Q25" s="73"/>
      <c r="R25" s="73"/>
      <c r="S25" s="73"/>
      <c r="T25" s="73"/>
      <c r="U25" s="128"/>
      <c r="V25" s="128"/>
      <c r="W25" s="128"/>
      <c r="X25" s="73"/>
      <c r="Y25" s="73"/>
      <c r="Z25" s="73"/>
      <c r="AA25" s="73"/>
      <c r="AB25" s="73"/>
    </row>
    <row r="26" spans="1:28" ht="26.25" customHeight="1">
      <c r="A26" s="73"/>
      <c r="B26" s="1417" t="s">
        <v>238</v>
      </c>
      <c r="C26" s="1384"/>
      <c r="D26" s="833">
        <f>+ROUND(SUM(D22:I22),-3)</f>
        <v>0</v>
      </c>
      <c r="E26" s="193"/>
      <c r="F26" s="680"/>
      <c r="G26" s="192"/>
      <c r="H26" s="128"/>
      <c r="I26" s="128"/>
      <c r="J26" s="128"/>
      <c r="K26" s="128"/>
      <c r="L26" s="128"/>
      <c r="M26" s="128"/>
      <c r="N26" s="73"/>
      <c r="O26" s="73"/>
      <c r="P26" s="73"/>
      <c r="Q26" s="73"/>
      <c r="R26" s="73"/>
      <c r="S26" s="73"/>
      <c r="T26" s="73"/>
      <c r="U26" s="73"/>
      <c r="V26" s="73"/>
      <c r="W26" s="73"/>
      <c r="X26" s="73"/>
      <c r="Y26" s="73"/>
      <c r="Z26" s="73"/>
      <c r="AA26" s="73"/>
      <c r="AB26" s="73"/>
    </row>
    <row r="27" spans="1:28" ht="10.5" customHeight="1">
      <c r="A27" s="73"/>
      <c r="B27" s="73"/>
      <c r="C27" s="127"/>
      <c r="D27" s="73"/>
      <c r="E27" s="73"/>
      <c r="F27" s="128"/>
      <c r="G27" s="128"/>
      <c r="H27" s="128"/>
      <c r="I27" s="128"/>
      <c r="J27" s="128"/>
      <c r="K27" s="128"/>
      <c r="L27" s="128"/>
      <c r="M27" s="128"/>
      <c r="N27" s="73"/>
      <c r="O27" s="73"/>
      <c r="P27" s="73"/>
      <c r="Q27" s="73"/>
      <c r="R27" s="73"/>
      <c r="S27" s="73"/>
      <c r="T27" s="73"/>
      <c r="U27" s="73"/>
      <c r="V27" s="73"/>
      <c r="W27" s="73"/>
      <c r="X27" s="73"/>
      <c r="Y27" s="73"/>
      <c r="Z27" s="73"/>
      <c r="AA27" s="73"/>
      <c r="AB27" s="73"/>
    </row>
    <row r="28" spans="1:28" ht="10.5" customHeight="1">
      <c r="A28" s="73"/>
      <c r="B28" s="73"/>
      <c r="C28" s="127"/>
      <c r="D28" s="73"/>
      <c r="E28" s="73"/>
      <c r="F28" s="128"/>
      <c r="G28" s="128"/>
      <c r="H28" s="128"/>
      <c r="I28" s="128"/>
      <c r="J28" s="128"/>
      <c r="K28" s="128"/>
      <c r="L28" s="128"/>
      <c r="M28" s="128"/>
      <c r="N28" s="73"/>
      <c r="O28" s="73"/>
      <c r="P28" s="73"/>
      <c r="Q28" s="73"/>
      <c r="R28" s="73"/>
      <c r="S28" s="73"/>
      <c r="T28" s="73"/>
      <c r="U28" s="73"/>
      <c r="V28" s="73"/>
      <c r="W28" s="73"/>
      <c r="X28" s="73"/>
      <c r="Y28" s="73"/>
      <c r="Z28" s="73"/>
      <c r="AA28" s="73"/>
      <c r="AB28" s="73"/>
    </row>
    <row r="29" spans="1:28" ht="21" hidden="1" customHeight="1">
      <c r="A29" s="73"/>
      <c r="B29" s="1417" t="s">
        <v>239</v>
      </c>
      <c r="C29" s="1384"/>
      <c r="D29" s="833">
        <f>+D31*1.2</f>
        <v>0</v>
      </c>
      <c r="E29" s="73"/>
      <c r="F29" s="128"/>
      <c r="G29" s="128"/>
      <c r="H29" s="128"/>
      <c r="I29" s="128"/>
      <c r="J29" s="128"/>
      <c r="K29" s="128"/>
      <c r="L29" s="128"/>
      <c r="M29" s="128"/>
      <c r="N29" s="73"/>
      <c r="O29" s="73"/>
      <c r="P29" s="73"/>
      <c r="Q29" s="73"/>
      <c r="R29" s="73"/>
      <c r="S29" s="73"/>
      <c r="T29" s="73"/>
      <c r="U29" s="73"/>
      <c r="V29" s="73"/>
      <c r="W29" s="73"/>
      <c r="X29" s="73"/>
      <c r="Y29" s="73"/>
      <c r="Z29" s="73"/>
      <c r="AA29" s="73"/>
      <c r="AB29" s="73"/>
    </row>
    <row r="30" spans="1:28" ht="21" hidden="1" customHeight="1">
      <c r="A30" s="73"/>
      <c r="B30" s="73"/>
      <c r="C30" s="127"/>
      <c r="D30" s="73"/>
      <c r="E30" s="73"/>
      <c r="F30" s="128"/>
      <c r="G30" s="128"/>
      <c r="H30" s="128"/>
      <c r="I30" s="128"/>
      <c r="J30" s="128"/>
      <c r="K30" s="128"/>
      <c r="L30" s="128"/>
      <c r="M30" s="128"/>
      <c r="N30" s="73"/>
      <c r="O30" s="73"/>
      <c r="P30" s="73"/>
      <c r="Q30" s="73"/>
      <c r="R30" s="73"/>
      <c r="S30" s="73"/>
      <c r="T30" s="73"/>
      <c r="U30" s="73"/>
      <c r="V30" s="73"/>
      <c r="W30" s="73"/>
      <c r="X30" s="73"/>
      <c r="Y30" s="73"/>
      <c r="Z30" s="73"/>
      <c r="AA30" s="73"/>
      <c r="AB30" s="73"/>
    </row>
    <row r="31" spans="1:28" ht="21" hidden="1" customHeight="1">
      <c r="A31" s="73"/>
      <c r="B31" s="1417" t="s">
        <v>241</v>
      </c>
      <c r="C31" s="1384"/>
      <c r="D31" s="833">
        <f>ROUND(D26,-3)</f>
        <v>0</v>
      </c>
      <c r="E31" s="73"/>
      <c r="F31" s="128"/>
      <c r="G31" s="128"/>
      <c r="H31" s="128"/>
      <c r="I31" s="128"/>
      <c r="J31" s="128"/>
      <c r="K31" s="128"/>
      <c r="L31" s="128"/>
      <c r="M31" s="128"/>
      <c r="N31" s="73"/>
      <c r="O31" s="73"/>
      <c r="P31" s="73"/>
      <c r="Q31" s="73"/>
      <c r="R31" s="73"/>
      <c r="S31" s="73"/>
      <c r="T31" s="73"/>
      <c r="U31" s="73"/>
      <c r="V31" s="73"/>
      <c r="W31" s="73"/>
      <c r="X31" s="73"/>
      <c r="Y31" s="73"/>
      <c r="Z31" s="73"/>
      <c r="AA31" s="73"/>
      <c r="AB31" s="73"/>
    </row>
    <row r="32" spans="1:28" ht="21" hidden="1" customHeight="1">
      <c r="A32" s="73"/>
      <c r="B32" s="128"/>
      <c r="C32" s="128"/>
      <c r="D32" s="128"/>
      <c r="E32" s="73"/>
      <c r="F32" s="128"/>
      <c r="G32" s="128"/>
      <c r="H32" s="128"/>
      <c r="I32" s="128"/>
      <c r="J32" s="128"/>
      <c r="K32" s="128"/>
      <c r="L32" s="128"/>
      <c r="M32" s="128"/>
      <c r="N32" s="73"/>
      <c r="O32" s="73"/>
      <c r="P32" s="73"/>
      <c r="Q32" s="73"/>
      <c r="R32" s="73"/>
      <c r="S32" s="73"/>
      <c r="T32" s="73"/>
      <c r="U32" s="73"/>
      <c r="V32" s="73"/>
      <c r="W32" s="73"/>
      <c r="X32" s="73"/>
      <c r="Y32" s="73"/>
      <c r="Z32" s="73"/>
      <c r="AA32" s="73"/>
      <c r="AB32" s="73"/>
    </row>
    <row r="33" spans="1:28" ht="21" hidden="1" customHeight="1">
      <c r="A33" s="73"/>
      <c r="B33" s="1417" t="s">
        <v>242</v>
      </c>
      <c r="C33" s="1384"/>
      <c r="D33" s="834" t="e">
        <f>+'BENEFICIO FISCAL'!O30</f>
        <v>#DIV/0!</v>
      </c>
      <c r="E33" s="73"/>
      <c r="F33" s="128"/>
      <c r="G33" s="128"/>
      <c r="H33" s="128"/>
      <c r="I33" s="128"/>
      <c r="J33" s="128"/>
      <c r="K33" s="128"/>
      <c r="L33" s="128"/>
      <c r="M33" s="128"/>
      <c r="N33" s="73"/>
      <c r="O33" s="73"/>
      <c r="P33" s="73"/>
      <c r="Q33" s="73"/>
      <c r="R33" s="73"/>
      <c r="S33" s="73"/>
      <c r="T33" s="73"/>
      <c r="U33" s="73"/>
      <c r="V33" s="73"/>
      <c r="W33" s="73"/>
      <c r="X33" s="73"/>
      <c r="Y33" s="73"/>
      <c r="Z33" s="73"/>
      <c r="AA33" s="73"/>
      <c r="AB33" s="73"/>
    </row>
    <row r="34" spans="1:28" ht="21" hidden="1" customHeight="1">
      <c r="A34" s="73"/>
      <c r="B34" s="73"/>
      <c r="C34" s="127"/>
      <c r="D34" s="73"/>
      <c r="E34" s="73"/>
      <c r="F34" s="128"/>
      <c r="G34" s="128"/>
      <c r="H34" s="128"/>
      <c r="I34" s="128"/>
      <c r="J34" s="128"/>
      <c r="K34" s="128"/>
      <c r="L34" s="128"/>
      <c r="M34" s="128"/>
      <c r="N34" s="73"/>
      <c r="O34" s="73"/>
      <c r="P34" s="73"/>
      <c r="Q34" s="73"/>
      <c r="R34" s="73"/>
      <c r="S34" s="73"/>
      <c r="T34" s="73"/>
      <c r="U34" s="73"/>
      <c r="V34" s="73"/>
      <c r="W34" s="73"/>
      <c r="X34" s="73"/>
      <c r="Y34" s="73"/>
      <c r="Z34" s="73"/>
      <c r="AA34" s="73"/>
      <c r="AB34" s="73"/>
    </row>
    <row r="35" spans="1:28" ht="21" hidden="1" customHeight="1">
      <c r="A35" s="73"/>
      <c r="B35" s="1418" t="s">
        <v>243</v>
      </c>
      <c r="C35" s="1384"/>
      <c r="D35" s="835" t="e">
        <f>ROUND(D31*D33,3)</f>
        <v>#DIV/0!</v>
      </c>
      <c r="E35" s="198"/>
      <c r="F35" s="128"/>
      <c r="G35" s="128"/>
      <c r="H35" s="128"/>
      <c r="I35" s="128"/>
      <c r="J35" s="128"/>
      <c r="K35" s="128"/>
      <c r="L35" s="128"/>
      <c r="M35" s="128"/>
      <c r="N35" s="73"/>
      <c r="O35" s="73"/>
      <c r="P35" s="73"/>
      <c r="Q35" s="73"/>
      <c r="R35" s="73"/>
      <c r="S35" s="73"/>
      <c r="T35" s="73"/>
      <c r="U35" s="73"/>
      <c r="V35" s="73"/>
      <c r="W35" s="73"/>
      <c r="X35" s="73"/>
      <c r="Y35" s="73"/>
      <c r="Z35" s="73"/>
      <c r="AA35" s="73"/>
      <c r="AB35" s="73"/>
    </row>
    <row r="36" spans="1:28" ht="15.75" customHeight="1">
      <c r="A36" s="73"/>
      <c r="B36" s="73"/>
      <c r="C36" s="127"/>
      <c r="D36" s="199"/>
      <c r="E36" s="73"/>
      <c r="F36" s="73"/>
      <c r="G36" s="73"/>
      <c r="H36" s="73"/>
      <c r="I36" s="73"/>
      <c r="J36" s="73"/>
      <c r="K36" s="73"/>
      <c r="L36" s="73"/>
      <c r="M36" s="181"/>
      <c r="N36" s="73"/>
      <c r="O36" s="73"/>
      <c r="P36" s="73"/>
      <c r="Q36" s="73"/>
      <c r="R36" s="73"/>
      <c r="S36" s="73"/>
      <c r="T36" s="73"/>
      <c r="U36" s="73"/>
      <c r="V36" s="73"/>
      <c r="W36" s="73"/>
      <c r="X36" s="73"/>
      <c r="Y36" s="73"/>
      <c r="Z36" s="73"/>
      <c r="AA36" s="73"/>
      <c r="AB36" s="73"/>
    </row>
    <row r="37" spans="1:28" ht="6" customHeight="1">
      <c r="A37" s="73"/>
      <c r="B37" s="73"/>
      <c r="C37" s="127"/>
      <c r="D37" s="73"/>
      <c r="E37" s="73"/>
      <c r="F37" s="73"/>
      <c r="G37" s="73"/>
      <c r="H37" s="73"/>
      <c r="I37" s="73"/>
      <c r="J37" s="73"/>
      <c r="K37" s="73"/>
      <c r="L37" s="73"/>
      <c r="M37" s="181"/>
      <c r="N37" s="73"/>
      <c r="O37" s="73"/>
      <c r="P37" s="73"/>
      <c r="Q37" s="73"/>
      <c r="R37" s="73"/>
      <c r="S37" s="73"/>
      <c r="T37" s="73"/>
      <c r="U37" s="73"/>
      <c r="V37" s="73"/>
      <c r="W37" s="73"/>
      <c r="X37" s="73"/>
      <c r="Y37" s="73"/>
      <c r="Z37" s="73"/>
      <c r="AA37" s="73"/>
      <c r="AB37" s="73"/>
    </row>
    <row r="38" spans="1:28" ht="15.75" customHeight="1">
      <c r="A38" s="73"/>
      <c r="B38" s="73"/>
      <c r="C38" s="127"/>
      <c r="D38" s="73"/>
      <c r="E38" s="73"/>
      <c r="F38" s="73"/>
      <c r="G38" s="73"/>
      <c r="H38" s="73"/>
      <c r="I38" s="73"/>
      <c r="J38" s="73"/>
      <c r="K38" s="73"/>
      <c r="L38" s="73"/>
      <c r="M38" s="73"/>
      <c r="N38" s="73"/>
      <c r="O38" s="73"/>
      <c r="P38" s="73"/>
      <c r="Q38" s="73"/>
      <c r="R38" s="73"/>
      <c r="S38" s="73"/>
      <c r="T38" s="73"/>
      <c r="U38" s="73"/>
      <c r="V38" s="73"/>
      <c r="W38" s="73"/>
      <c r="X38" s="73"/>
      <c r="Y38" s="73"/>
      <c r="Z38" s="73"/>
      <c r="AA38" s="73"/>
      <c r="AB38" s="73"/>
    </row>
    <row r="39" spans="1:28" ht="15.75" customHeight="1">
      <c r="A39" s="73"/>
      <c r="B39" s="73"/>
      <c r="C39" s="127"/>
      <c r="D39" s="73"/>
      <c r="E39" s="73"/>
      <c r="F39" s="73"/>
      <c r="G39" s="73"/>
      <c r="H39" s="73"/>
      <c r="I39" s="73"/>
      <c r="J39" s="73"/>
      <c r="K39" s="73"/>
      <c r="L39" s="73"/>
      <c r="M39" s="73"/>
      <c r="N39" s="73"/>
      <c r="O39" s="73"/>
      <c r="P39" s="73"/>
      <c r="Q39" s="73"/>
      <c r="R39" s="73"/>
      <c r="S39" s="73"/>
      <c r="T39" s="73"/>
      <c r="U39" s="73"/>
      <c r="V39" s="73"/>
      <c r="W39" s="73"/>
      <c r="X39" s="73"/>
      <c r="Y39" s="73"/>
      <c r="Z39" s="73"/>
      <c r="AA39" s="73"/>
      <c r="AB39" s="73"/>
    </row>
    <row r="40" spans="1:28" ht="15.75" customHeight="1">
      <c r="A40" s="73"/>
      <c r="B40" s="73"/>
      <c r="C40" s="127"/>
      <c r="D40" s="73"/>
      <c r="E40" s="73"/>
      <c r="F40" s="73"/>
      <c r="G40" s="73"/>
      <c r="H40" s="73"/>
      <c r="I40" s="73"/>
      <c r="J40" s="73"/>
      <c r="K40" s="73"/>
      <c r="L40" s="73"/>
      <c r="M40" s="73"/>
      <c r="N40" s="73"/>
      <c r="O40" s="73"/>
      <c r="P40" s="73"/>
      <c r="Q40" s="73"/>
      <c r="R40" s="73"/>
      <c r="S40" s="73"/>
      <c r="T40" s="73"/>
      <c r="U40" s="73"/>
      <c r="V40" s="73"/>
      <c r="W40" s="73"/>
      <c r="X40" s="73"/>
      <c r="Y40" s="73"/>
      <c r="Z40" s="73"/>
      <c r="AA40" s="73"/>
      <c r="AB40" s="73"/>
    </row>
    <row r="41" spans="1:28" ht="15.75" customHeight="1">
      <c r="A41" s="73"/>
      <c r="B41" s="73"/>
      <c r="C41" s="127"/>
      <c r="D41" s="73"/>
      <c r="E41" s="73"/>
      <c r="F41" s="73"/>
      <c r="G41" s="73"/>
      <c r="H41" s="73"/>
      <c r="I41" s="73"/>
      <c r="J41" s="73"/>
      <c r="K41" s="73"/>
      <c r="L41" s="73"/>
      <c r="M41" s="73"/>
      <c r="N41" s="73"/>
      <c r="O41" s="73"/>
      <c r="P41" s="73"/>
      <c r="Q41" s="73"/>
      <c r="R41" s="73"/>
      <c r="S41" s="73"/>
      <c r="T41" s="73"/>
      <c r="U41" s="73"/>
      <c r="V41" s="73"/>
      <c r="W41" s="73"/>
      <c r="X41" s="73"/>
      <c r="Y41" s="73"/>
      <c r="Z41" s="73"/>
      <c r="AA41" s="73"/>
      <c r="AB41" s="73"/>
    </row>
    <row r="42" spans="1:28" ht="15.75" customHeight="1">
      <c r="A42" s="73"/>
      <c r="B42" s="73"/>
      <c r="C42" s="127"/>
      <c r="D42" s="73"/>
      <c r="E42" s="73"/>
      <c r="F42" s="73"/>
      <c r="G42" s="73"/>
      <c r="H42" s="73"/>
      <c r="I42" s="73"/>
      <c r="J42" s="73"/>
      <c r="K42" s="73"/>
      <c r="L42" s="73"/>
      <c r="M42" s="73"/>
      <c r="N42" s="73"/>
      <c r="O42" s="73"/>
      <c r="P42" s="73"/>
      <c r="Q42" s="73"/>
      <c r="R42" s="73"/>
      <c r="S42" s="73"/>
      <c r="T42" s="73"/>
      <c r="U42" s="73"/>
      <c r="V42" s="73"/>
      <c r="W42" s="73"/>
      <c r="X42" s="73"/>
      <c r="Y42" s="73"/>
      <c r="Z42" s="73"/>
      <c r="AA42" s="73"/>
      <c r="AB42" s="73"/>
    </row>
    <row r="43" spans="1:28" ht="15.75" customHeight="1">
      <c r="A43" s="73"/>
      <c r="B43" s="73"/>
      <c r="C43" s="127"/>
      <c r="D43" s="73"/>
      <c r="E43" s="73"/>
      <c r="F43" s="73"/>
      <c r="G43" s="73"/>
      <c r="H43" s="73"/>
      <c r="I43" s="73"/>
      <c r="J43" s="73"/>
      <c r="K43" s="73"/>
      <c r="L43" s="73"/>
      <c r="M43" s="73"/>
      <c r="N43" s="73"/>
      <c r="O43" s="73"/>
      <c r="P43" s="73"/>
      <c r="Q43" s="73"/>
      <c r="R43" s="73"/>
      <c r="S43" s="73"/>
      <c r="T43" s="73"/>
      <c r="U43" s="73"/>
      <c r="V43" s="73"/>
      <c r="W43" s="73"/>
      <c r="X43" s="73"/>
      <c r="Y43" s="73"/>
      <c r="Z43" s="73"/>
      <c r="AA43" s="73"/>
      <c r="AB43" s="73"/>
    </row>
    <row r="44" spans="1:28" ht="15.75" customHeight="1">
      <c r="A44" s="73"/>
      <c r="B44" s="73"/>
      <c r="C44" s="127"/>
      <c r="D44" s="73"/>
      <c r="E44" s="73"/>
      <c r="F44" s="73"/>
      <c r="G44" s="73"/>
      <c r="H44" s="73"/>
      <c r="I44" s="73"/>
      <c r="J44" s="73"/>
      <c r="K44" s="73"/>
      <c r="L44" s="73"/>
      <c r="M44" s="73"/>
      <c r="N44" s="73"/>
      <c r="O44" s="73"/>
      <c r="P44" s="73"/>
      <c r="Q44" s="73"/>
      <c r="R44" s="73"/>
      <c r="S44" s="73"/>
      <c r="T44" s="73"/>
      <c r="U44" s="73"/>
      <c r="V44" s="73"/>
      <c r="W44" s="73"/>
      <c r="X44" s="73"/>
      <c r="Y44" s="73"/>
      <c r="Z44" s="73"/>
      <c r="AA44" s="73"/>
      <c r="AB44" s="73"/>
    </row>
    <row r="45" spans="1:28" ht="15.75" customHeight="1">
      <c r="A45" s="73"/>
      <c r="B45" s="73"/>
      <c r="C45" s="127"/>
      <c r="D45" s="73"/>
      <c r="E45" s="73"/>
      <c r="F45" s="73"/>
      <c r="G45" s="73"/>
      <c r="H45" s="73"/>
      <c r="I45" s="73"/>
      <c r="J45" s="73"/>
      <c r="K45" s="73"/>
      <c r="L45" s="73"/>
      <c r="M45" s="73"/>
      <c r="N45" s="73"/>
      <c r="O45" s="73"/>
      <c r="P45" s="73"/>
      <c r="Q45" s="73"/>
      <c r="R45" s="73"/>
      <c r="S45" s="73"/>
      <c r="T45" s="73"/>
      <c r="U45" s="73"/>
      <c r="V45" s="73"/>
      <c r="W45" s="73"/>
      <c r="X45" s="73"/>
      <c r="Y45" s="73"/>
      <c r="Z45" s="73"/>
      <c r="AA45" s="73"/>
      <c r="AB45" s="73"/>
    </row>
    <row r="46" spans="1:28" ht="15.75" customHeight="1">
      <c r="A46" s="73"/>
      <c r="B46" s="73"/>
      <c r="C46" s="127"/>
      <c r="D46" s="73"/>
      <c r="E46" s="73"/>
      <c r="F46" s="73"/>
      <c r="G46" s="73"/>
      <c r="H46" s="73"/>
      <c r="I46" s="73"/>
      <c r="J46" s="73"/>
      <c r="K46" s="73"/>
      <c r="L46" s="73"/>
      <c r="M46" s="73"/>
      <c r="N46" s="73"/>
      <c r="O46" s="73"/>
      <c r="P46" s="73"/>
      <c r="Q46" s="73"/>
      <c r="R46" s="73"/>
      <c r="S46" s="73"/>
      <c r="T46" s="73"/>
      <c r="U46" s="73"/>
      <c r="V46" s="73"/>
      <c r="W46" s="73"/>
      <c r="X46" s="73"/>
      <c r="Y46" s="73"/>
      <c r="Z46" s="73"/>
      <c r="AA46" s="73"/>
      <c r="AB46" s="73"/>
    </row>
    <row r="47" spans="1:28" ht="15.75" customHeight="1">
      <c r="A47" s="73"/>
      <c r="B47" s="73"/>
      <c r="C47" s="127"/>
      <c r="D47" s="73"/>
      <c r="E47" s="73"/>
      <c r="F47" s="73"/>
      <c r="G47" s="73"/>
      <c r="H47" s="73"/>
      <c r="I47" s="73"/>
      <c r="J47" s="73"/>
      <c r="K47" s="73"/>
      <c r="L47" s="73"/>
      <c r="M47" s="73"/>
      <c r="N47" s="73"/>
      <c r="O47" s="73"/>
      <c r="P47" s="73"/>
      <c r="Q47" s="73"/>
      <c r="R47" s="73"/>
      <c r="S47" s="73"/>
      <c r="T47" s="73"/>
      <c r="U47" s="73"/>
      <c r="V47" s="73"/>
      <c r="W47" s="73"/>
      <c r="X47" s="73"/>
      <c r="Y47" s="73"/>
      <c r="Z47" s="73"/>
      <c r="AA47" s="73"/>
      <c r="AB47" s="73"/>
    </row>
    <row r="48" spans="1:28" ht="15.75" customHeight="1">
      <c r="A48" s="73"/>
      <c r="B48" s="73"/>
      <c r="C48" s="127"/>
      <c r="D48" s="73"/>
      <c r="E48" s="73"/>
      <c r="F48" s="73"/>
      <c r="G48" s="73"/>
      <c r="H48" s="73"/>
      <c r="I48" s="73"/>
      <c r="J48" s="73"/>
      <c r="K48" s="73"/>
      <c r="L48" s="73"/>
      <c r="M48" s="73"/>
      <c r="N48" s="73"/>
      <c r="O48" s="73"/>
      <c r="P48" s="73"/>
      <c r="Q48" s="73"/>
      <c r="R48" s="73"/>
      <c r="S48" s="73"/>
      <c r="T48" s="73"/>
      <c r="U48" s="73"/>
      <c r="V48" s="73"/>
      <c r="W48" s="73"/>
      <c r="X48" s="73"/>
      <c r="Y48" s="73"/>
      <c r="Z48" s="73"/>
      <c r="AA48" s="73"/>
      <c r="AB48" s="73"/>
    </row>
    <row r="49" spans="1:28" ht="15.75" customHeight="1">
      <c r="A49" s="73"/>
      <c r="B49" s="73"/>
      <c r="C49" s="127"/>
      <c r="D49" s="73"/>
      <c r="E49" s="73"/>
      <c r="F49" s="73"/>
      <c r="G49" s="73"/>
      <c r="H49" s="73"/>
      <c r="I49" s="73"/>
      <c r="J49" s="73"/>
      <c r="K49" s="73"/>
      <c r="L49" s="73"/>
      <c r="M49" s="73"/>
      <c r="N49" s="73"/>
      <c r="O49" s="73"/>
      <c r="P49" s="73"/>
      <c r="Q49" s="73"/>
      <c r="R49" s="73"/>
      <c r="S49" s="73"/>
      <c r="T49" s="73"/>
      <c r="U49" s="73"/>
      <c r="V49" s="73"/>
      <c r="W49" s="73"/>
      <c r="X49" s="73"/>
      <c r="Y49" s="73"/>
      <c r="Z49" s="73"/>
      <c r="AA49" s="73"/>
      <c r="AB49" s="73"/>
    </row>
    <row r="50" spans="1:28" ht="15.75" customHeight="1">
      <c r="A50" s="73"/>
      <c r="B50" s="73"/>
      <c r="C50" s="127"/>
      <c r="D50" s="73"/>
      <c r="E50" s="73"/>
      <c r="F50" s="73"/>
      <c r="G50" s="73"/>
      <c r="H50" s="73"/>
      <c r="I50" s="73"/>
      <c r="J50" s="73"/>
      <c r="K50" s="73"/>
      <c r="L50" s="73"/>
      <c r="M50" s="73"/>
      <c r="N50" s="73"/>
      <c r="O50" s="73"/>
      <c r="P50" s="73"/>
      <c r="Q50" s="73"/>
      <c r="R50" s="73"/>
      <c r="S50" s="73"/>
      <c r="T50" s="73"/>
      <c r="U50" s="73"/>
      <c r="V50" s="73"/>
      <c r="W50" s="73"/>
      <c r="X50" s="73"/>
      <c r="Y50" s="73"/>
      <c r="Z50" s="73"/>
      <c r="AA50" s="73"/>
      <c r="AB50" s="73"/>
    </row>
    <row r="51" spans="1:28" ht="15.75" customHeight="1">
      <c r="A51" s="73"/>
      <c r="B51" s="73"/>
      <c r="C51" s="127"/>
      <c r="D51" s="73"/>
      <c r="E51" s="73"/>
      <c r="F51" s="73"/>
      <c r="G51" s="73"/>
      <c r="H51" s="73"/>
      <c r="I51" s="73"/>
      <c r="J51" s="73"/>
      <c r="K51" s="73"/>
      <c r="L51" s="73"/>
      <c r="M51" s="73"/>
      <c r="N51" s="73"/>
      <c r="O51" s="73"/>
      <c r="P51" s="73"/>
      <c r="Q51" s="73"/>
      <c r="R51" s="73"/>
      <c r="S51" s="73"/>
      <c r="T51" s="73"/>
      <c r="U51" s="73"/>
      <c r="V51" s="73"/>
      <c r="W51" s="73"/>
      <c r="X51" s="73"/>
      <c r="Y51" s="73"/>
      <c r="Z51" s="73"/>
      <c r="AA51" s="73"/>
      <c r="AB51" s="73"/>
    </row>
    <row r="52" spans="1:28" ht="15.75" customHeight="1">
      <c r="A52" s="73"/>
      <c r="B52" s="73"/>
      <c r="C52" s="127"/>
      <c r="D52" s="73"/>
      <c r="E52" s="73"/>
      <c r="F52" s="73"/>
      <c r="G52" s="73"/>
      <c r="H52" s="73"/>
      <c r="I52" s="73"/>
      <c r="J52" s="73"/>
      <c r="K52" s="73"/>
      <c r="L52" s="73"/>
      <c r="M52" s="73"/>
      <c r="N52" s="73"/>
      <c r="O52" s="73"/>
      <c r="P52" s="73"/>
      <c r="Q52" s="73"/>
      <c r="R52" s="73"/>
      <c r="S52" s="73"/>
      <c r="T52" s="73"/>
      <c r="U52" s="73"/>
      <c r="V52" s="73"/>
      <c r="W52" s="73"/>
      <c r="X52" s="73"/>
      <c r="Y52" s="73"/>
      <c r="Z52" s="73"/>
      <c r="AA52" s="73"/>
      <c r="AB52" s="73"/>
    </row>
    <row r="53" spans="1:28" ht="15.75" customHeight="1">
      <c r="A53" s="73"/>
      <c r="B53" s="73"/>
      <c r="C53" s="127"/>
      <c r="D53" s="73"/>
      <c r="E53" s="73"/>
      <c r="F53" s="73"/>
      <c r="G53" s="73"/>
      <c r="H53" s="73"/>
      <c r="I53" s="73"/>
      <c r="J53" s="73"/>
      <c r="K53" s="73"/>
      <c r="L53" s="73"/>
      <c r="M53" s="73"/>
      <c r="N53" s="73"/>
      <c r="O53" s="73"/>
      <c r="P53" s="73"/>
      <c r="Q53" s="73"/>
      <c r="R53" s="73"/>
      <c r="S53" s="73"/>
      <c r="T53" s="73"/>
      <c r="U53" s="73"/>
      <c r="V53" s="73"/>
      <c r="W53" s="73"/>
      <c r="X53" s="73"/>
      <c r="Y53" s="73"/>
      <c r="Z53" s="73"/>
      <c r="AA53" s="73"/>
      <c r="AB53" s="73"/>
    </row>
    <row r="54" spans="1:28" ht="15.75" customHeight="1">
      <c r="A54" s="73"/>
      <c r="B54" s="73"/>
      <c r="C54" s="127"/>
      <c r="D54" s="73"/>
      <c r="E54" s="73"/>
      <c r="F54" s="73"/>
      <c r="G54" s="73"/>
      <c r="H54" s="73"/>
      <c r="I54" s="73"/>
      <c r="J54" s="73"/>
      <c r="K54" s="73"/>
      <c r="L54" s="73"/>
      <c r="M54" s="73"/>
      <c r="N54" s="73"/>
      <c r="O54" s="73"/>
      <c r="P54" s="73"/>
      <c r="Q54" s="73"/>
      <c r="R54" s="73"/>
      <c r="S54" s="73"/>
      <c r="T54" s="73"/>
      <c r="U54" s="73"/>
      <c r="V54" s="73"/>
      <c r="W54" s="73"/>
      <c r="X54" s="73"/>
      <c r="Y54" s="73"/>
      <c r="Z54" s="73"/>
      <c r="AA54" s="73"/>
      <c r="AB54" s="73"/>
    </row>
    <row r="55" spans="1:28" ht="15.75" customHeight="1">
      <c r="A55" s="73"/>
      <c r="B55" s="73"/>
      <c r="C55" s="127"/>
      <c r="D55" s="73"/>
      <c r="E55" s="73"/>
      <c r="F55" s="73"/>
      <c r="G55" s="73"/>
      <c r="H55" s="73"/>
      <c r="I55" s="73"/>
      <c r="J55" s="73"/>
      <c r="K55" s="73"/>
      <c r="L55" s="73"/>
      <c r="M55" s="73"/>
      <c r="N55" s="73"/>
      <c r="O55" s="73"/>
      <c r="P55" s="73"/>
      <c r="Q55" s="73"/>
      <c r="R55" s="73"/>
      <c r="S55" s="73"/>
      <c r="T55" s="73"/>
      <c r="U55" s="73"/>
      <c r="V55" s="73"/>
      <c r="W55" s="73"/>
      <c r="X55" s="73"/>
      <c r="Y55" s="73"/>
      <c r="Z55" s="73"/>
      <c r="AA55" s="73"/>
      <c r="AB55" s="73"/>
    </row>
    <row r="56" spans="1:28" ht="15.75" customHeight="1">
      <c r="A56" s="73"/>
      <c r="B56" s="73"/>
      <c r="C56" s="127"/>
      <c r="D56" s="73"/>
      <c r="E56" s="73"/>
      <c r="F56" s="73"/>
      <c r="G56" s="73"/>
      <c r="H56" s="73"/>
      <c r="I56" s="73"/>
      <c r="J56" s="73"/>
      <c r="K56" s="73"/>
      <c r="L56" s="73"/>
      <c r="M56" s="73"/>
      <c r="N56" s="73"/>
      <c r="O56" s="73"/>
      <c r="P56" s="73"/>
      <c r="Q56" s="73"/>
      <c r="R56" s="73"/>
      <c r="S56" s="73"/>
      <c r="T56" s="73"/>
      <c r="U56" s="73"/>
      <c r="V56" s="73"/>
      <c r="W56" s="73"/>
      <c r="X56" s="73"/>
      <c r="Y56" s="73"/>
      <c r="Z56" s="73"/>
      <c r="AA56" s="73"/>
      <c r="AB56" s="73"/>
    </row>
    <row r="57" spans="1:28" ht="15.75" customHeight="1">
      <c r="A57" s="73"/>
      <c r="B57" s="73"/>
      <c r="C57" s="127"/>
      <c r="D57" s="73"/>
      <c r="E57" s="73"/>
      <c r="F57" s="73"/>
      <c r="G57" s="73"/>
      <c r="H57" s="73"/>
      <c r="I57" s="73"/>
      <c r="J57" s="73"/>
      <c r="K57" s="73"/>
      <c r="L57" s="73"/>
      <c r="M57" s="73"/>
      <c r="N57" s="73"/>
      <c r="O57" s="73"/>
      <c r="P57" s="73"/>
      <c r="Q57" s="73"/>
      <c r="R57" s="73"/>
      <c r="S57" s="73"/>
      <c r="T57" s="73"/>
      <c r="U57" s="73"/>
      <c r="V57" s="73"/>
      <c r="W57" s="73"/>
      <c r="X57" s="73"/>
      <c r="Y57" s="73"/>
      <c r="Z57" s="73"/>
      <c r="AA57" s="73"/>
      <c r="AB57" s="73"/>
    </row>
    <row r="58" spans="1:28" ht="15.75" customHeight="1">
      <c r="A58" s="73"/>
      <c r="B58" s="73"/>
      <c r="C58" s="127"/>
      <c r="D58" s="73"/>
      <c r="E58" s="73"/>
      <c r="F58" s="73"/>
      <c r="G58" s="73"/>
      <c r="H58" s="73"/>
      <c r="I58" s="73"/>
      <c r="J58" s="73"/>
      <c r="K58" s="73"/>
      <c r="L58" s="73"/>
      <c r="M58" s="73"/>
      <c r="N58" s="73"/>
      <c r="O58" s="73"/>
      <c r="P58" s="73"/>
      <c r="Q58" s="73"/>
      <c r="R58" s="73"/>
      <c r="S58" s="73"/>
      <c r="T58" s="73"/>
      <c r="U58" s="73"/>
      <c r="V58" s="73"/>
      <c r="W58" s="73"/>
      <c r="X58" s="73"/>
      <c r="Y58" s="73"/>
      <c r="Z58" s="73"/>
      <c r="AA58" s="73"/>
      <c r="AB58" s="73"/>
    </row>
    <row r="59" spans="1:28" ht="15.75" customHeight="1">
      <c r="A59" s="73"/>
      <c r="B59" s="73"/>
      <c r="C59" s="127"/>
      <c r="D59" s="73"/>
      <c r="E59" s="73"/>
      <c r="F59" s="73"/>
      <c r="G59" s="73"/>
      <c r="H59" s="73"/>
      <c r="I59" s="73"/>
      <c r="J59" s="73"/>
      <c r="K59" s="73"/>
      <c r="L59" s="73"/>
      <c r="M59" s="73"/>
      <c r="N59" s="73"/>
      <c r="O59" s="73"/>
      <c r="P59" s="73"/>
      <c r="Q59" s="73"/>
      <c r="R59" s="73"/>
      <c r="S59" s="73"/>
      <c r="T59" s="73"/>
      <c r="U59" s="73"/>
      <c r="V59" s="73"/>
      <c r="W59" s="73"/>
      <c r="X59" s="73"/>
      <c r="Y59" s="73"/>
      <c r="Z59" s="73"/>
      <c r="AA59" s="73"/>
      <c r="AB59" s="73"/>
    </row>
    <row r="60" spans="1:28" ht="15.75" customHeight="1">
      <c r="A60" s="73"/>
      <c r="B60" s="73"/>
      <c r="C60" s="127"/>
      <c r="D60" s="73"/>
      <c r="E60" s="73"/>
      <c r="F60" s="73"/>
      <c r="G60" s="73"/>
      <c r="H60" s="73"/>
      <c r="I60" s="73"/>
      <c r="J60" s="73"/>
      <c r="K60" s="73"/>
      <c r="L60" s="73"/>
      <c r="M60" s="73"/>
      <c r="N60" s="73"/>
      <c r="O60" s="73"/>
      <c r="P60" s="73"/>
      <c r="Q60" s="73"/>
      <c r="R60" s="73"/>
      <c r="S60" s="73"/>
      <c r="T60" s="73"/>
      <c r="U60" s="73"/>
      <c r="V60" s="73"/>
      <c r="W60" s="73"/>
      <c r="X60" s="73"/>
      <c r="Y60" s="73"/>
      <c r="Z60" s="73"/>
      <c r="AA60" s="73"/>
      <c r="AB60" s="73"/>
    </row>
    <row r="61" spans="1:28" ht="15.75" customHeight="1">
      <c r="A61" s="73"/>
      <c r="B61" s="73"/>
      <c r="C61" s="127"/>
      <c r="D61" s="73"/>
      <c r="E61" s="73"/>
      <c r="F61" s="73"/>
      <c r="G61" s="73"/>
      <c r="H61" s="73"/>
      <c r="I61" s="73"/>
      <c r="J61" s="73"/>
      <c r="K61" s="73"/>
      <c r="L61" s="73"/>
      <c r="M61" s="73"/>
      <c r="N61" s="73"/>
      <c r="O61" s="73"/>
      <c r="P61" s="73"/>
      <c r="Q61" s="73"/>
      <c r="R61" s="73"/>
      <c r="S61" s="73"/>
      <c r="T61" s="73"/>
      <c r="U61" s="73"/>
      <c r="V61" s="73"/>
      <c r="W61" s="73"/>
      <c r="X61" s="73"/>
      <c r="Y61" s="73"/>
      <c r="Z61" s="73"/>
      <c r="AA61" s="73"/>
      <c r="AB61" s="73"/>
    </row>
    <row r="62" spans="1:28" ht="15.75" customHeight="1">
      <c r="A62" s="73"/>
      <c r="B62" s="73"/>
      <c r="C62" s="127"/>
      <c r="D62" s="73"/>
      <c r="E62" s="73"/>
      <c r="F62" s="73"/>
      <c r="G62" s="73"/>
      <c r="H62" s="73"/>
      <c r="I62" s="73"/>
      <c r="J62" s="73"/>
      <c r="K62" s="73"/>
      <c r="L62" s="73"/>
      <c r="M62" s="73"/>
      <c r="N62" s="73"/>
      <c r="O62" s="73"/>
      <c r="P62" s="73"/>
      <c r="Q62" s="73"/>
      <c r="R62" s="73"/>
      <c r="S62" s="73"/>
      <c r="T62" s="73"/>
      <c r="U62" s="73"/>
      <c r="V62" s="73"/>
      <c r="W62" s="73"/>
      <c r="X62" s="73"/>
      <c r="Y62" s="73"/>
      <c r="Z62" s="73"/>
      <c r="AA62" s="73"/>
      <c r="AB62" s="73"/>
    </row>
    <row r="63" spans="1:28" ht="15.75" customHeight="1">
      <c r="A63" s="73"/>
      <c r="B63" s="73"/>
      <c r="C63" s="127"/>
      <c r="D63" s="73"/>
      <c r="E63" s="73"/>
      <c r="F63" s="73"/>
      <c r="G63" s="73"/>
      <c r="H63" s="73"/>
      <c r="I63" s="73"/>
      <c r="J63" s="73"/>
      <c r="K63" s="73"/>
      <c r="L63" s="73"/>
      <c r="M63" s="73"/>
      <c r="N63" s="73"/>
      <c r="O63" s="73"/>
      <c r="P63" s="73"/>
      <c r="Q63" s="73"/>
      <c r="R63" s="73"/>
      <c r="S63" s="73"/>
      <c r="T63" s="73"/>
      <c r="U63" s="73"/>
      <c r="V63" s="73"/>
      <c r="W63" s="73"/>
      <c r="X63" s="73"/>
      <c r="Y63" s="73"/>
      <c r="Z63" s="73"/>
      <c r="AA63" s="73"/>
      <c r="AB63" s="73"/>
    </row>
    <row r="64" spans="1:28" ht="15.75" customHeight="1">
      <c r="A64" s="73"/>
      <c r="B64" s="73"/>
      <c r="C64" s="127"/>
      <c r="D64" s="73"/>
      <c r="E64" s="73"/>
      <c r="F64" s="73"/>
      <c r="G64" s="73"/>
      <c r="H64" s="73"/>
      <c r="I64" s="73"/>
      <c r="J64" s="73"/>
      <c r="K64" s="73"/>
      <c r="L64" s="73"/>
      <c r="M64" s="73"/>
      <c r="N64" s="73"/>
      <c r="O64" s="73"/>
      <c r="P64" s="73"/>
      <c r="Q64" s="73"/>
      <c r="R64" s="73"/>
      <c r="S64" s="73"/>
      <c r="T64" s="73"/>
      <c r="U64" s="73"/>
      <c r="V64" s="73"/>
      <c r="W64" s="73"/>
      <c r="X64" s="73"/>
      <c r="Y64" s="73"/>
      <c r="Z64" s="73"/>
      <c r="AA64" s="73"/>
      <c r="AB64" s="73"/>
    </row>
    <row r="65" spans="1:28" ht="15.75" customHeight="1">
      <c r="A65" s="73"/>
      <c r="B65" s="73"/>
      <c r="C65" s="127"/>
      <c r="D65" s="73"/>
      <c r="E65" s="73"/>
      <c r="F65" s="73"/>
      <c r="G65" s="73"/>
      <c r="H65" s="73"/>
      <c r="I65" s="73"/>
      <c r="J65" s="73"/>
      <c r="K65" s="73"/>
      <c r="L65" s="73"/>
      <c r="M65" s="73"/>
      <c r="N65" s="73"/>
      <c r="O65" s="73"/>
      <c r="P65" s="73"/>
      <c r="Q65" s="73"/>
      <c r="R65" s="73"/>
      <c r="S65" s="73"/>
      <c r="T65" s="73"/>
      <c r="U65" s="73"/>
      <c r="V65" s="73"/>
      <c r="W65" s="73"/>
      <c r="X65" s="73"/>
      <c r="Y65" s="73"/>
      <c r="Z65" s="73"/>
      <c r="AA65" s="73"/>
      <c r="AB65" s="73"/>
    </row>
    <row r="66" spans="1:28" ht="15.75" customHeight="1">
      <c r="A66" s="73"/>
      <c r="B66" s="73"/>
      <c r="C66" s="127"/>
      <c r="D66" s="73"/>
      <c r="E66" s="73"/>
      <c r="F66" s="73"/>
      <c r="G66" s="73"/>
      <c r="H66" s="73"/>
      <c r="I66" s="73"/>
      <c r="J66" s="73"/>
      <c r="K66" s="73"/>
      <c r="L66" s="73"/>
      <c r="M66" s="73"/>
      <c r="N66" s="73"/>
      <c r="O66" s="73"/>
      <c r="P66" s="73"/>
      <c r="Q66" s="73"/>
      <c r="R66" s="73"/>
      <c r="S66" s="73"/>
      <c r="T66" s="73"/>
      <c r="U66" s="73"/>
      <c r="V66" s="73"/>
      <c r="W66" s="73"/>
      <c r="X66" s="73"/>
      <c r="Y66" s="73"/>
      <c r="Z66" s="73"/>
      <c r="AA66" s="73"/>
      <c r="AB66" s="73"/>
    </row>
    <row r="67" spans="1:28" ht="15.75" customHeight="1">
      <c r="A67" s="73"/>
      <c r="B67" s="73"/>
      <c r="C67" s="127"/>
      <c r="D67" s="73"/>
      <c r="E67" s="73"/>
      <c r="F67" s="73"/>
      <c r="G67" s="73"/>
      <c r="H67" s="73"/>
      <c r="I67" s="73"/>
      <c r="J67" s="73"/>
      <c r="K67" s="73"/>
      <c r="L67" s="73"/>
      <c r="M67" s="73"/>
      <c r="N67" s="73"/>
      <c r="O67" s="73"/>
      <c r="P67" s="73"/>
      <c r="Q67" s="73"/>
      <c r="R67" s="73"/>
      <c r="S67" s="73"/>
      <c r="T67" s="73"/>
      <c r="U67" s="73"/>
      <c r="V67" s="73"/>
      <c r="W67" s="73"/>
      <c r="X67" s="73"/>
      <c r="Y67" s="73"/>
      <c r="Z67" s="73"/>
      <c r="AA67" s="73"/>
      <c r="AB67" s="73"/>
    </row>
    <row r="68" spans="1:28" ht="15.75" customHeight="1">
      <c r="A68" s="73"/>
      <c r="B68" s="73"/>
      <c r="C68" s="127"/>
      <c r="D68" s="73"/>
      <c r="E68" s="73"/>
      <c r="F68" s="73"/>
      <c r="G68" s="73"/>
      <c r="H68" s="73"/>
      <c r="I68" s="73"/>
      <c r="J68" s="73"/>
      <c r="K68" s="73"/>
      <c r="L68" s="73"/>
      <c r="M68" s="73"/>
      <c r="N68" s="73"/>
      <c r="O68" s="73"/>
      <c r="P68" s="73"/>
      <c r="Q68" s="73"/>
      <c r="R68" s="73"/>
      <c r="S68" s="73"/>
      <c r="T68" s="73"/>
      <c r="U68" s="73"/>
      <c r="V68" s="73"/>
      <c r="W68" s="73"/>
      <c r="X68" s="73"/>
      <c r="Y68" s="73"/>
      <c r="Z68" s="73"/>
      <c r="AA68" s="73"/>
      <c r="AB68" s="73"/>
    </row>
    <row r="69" spans="1:28" ht="15.75" customHeight="1">
      <c r="A69" s="73"/>
      <c r="B69" s="73"/>
      <c r="C69" s="127"/>
      <c r="D69" s="73"/>
      <c r="E69" s="73"/>
      <c r="F69" s="73"/>
      <c r="G69" s="73"/>
      <c r="H69" s="73"/>
      <c r="I69" s="73"/>
      <c r="J69" s="73"/>
      <c r="K69" s="73"/>
      <c r="L69" s="73"/>
      <c r="M69" s="73"/>
      <c r="N69" s="73"/>
      <c r="O69" s="73"/>
      <c r="P69" s="73"/>
      <c r="Q69" s="73"/>
      <c r="R69" s="73"/>
      <c r="S69" s="73"/>
      <c r="T69" s="73"/>
      <c r="U69" s="73"/>
      <c r="V69" s="73"/>
      <c r="W69" s="73"/>
      <c r="X69" s="73"/>
      <c r="Y69" s="73"/>
      <c r="Z69" s="73"/>
      <c r="AA69" s="73"/>
      <c r="AB69" s="73"/>
    </row>
    <row r="70" spans="1:28" ht="15.75" customHeight="1">
      <c r="A70" s="73"/>
      <c r="B70" s="73"/>
      <c r="C70" s="127"/>
      <c r="D70" s="73"/>
      <c r="E70" s="73"/>
      <c r="F70" s="73"/>
      <c r="G70" s="73"/>
      <c r="H70" s="73"/>
      <c r="I70" s="73"/>
      <c r="J70" s="73"/>
      <c r="K70" s="73"/>
      <c r="L70" s="73"/>
      <c r="M70" s="73"/>
      <c r="N70" s="73"/>
      <c r="O70" s="73"/>
      <c r="P70" s="73"/>
      <c r="Q70" s="73"/>
      <c r="R70" s="73"/>
      <c r="S70" s="73"/>
      <c r="T70" s="73"/>
      <c r="U70" s="73"/>
      <c r="V70" s="73"/>
      <c r="W70" s="73"/>
      <c r="X70" s="73"/>
      <c r="Y70" s="73"/>
      <c r="Z70" s="73"/>
      <c r="AA70" s="73"/>
      <c r="AB70" s="73"/>
    </row>
    <row r="71" spans="1:28" ht="15.75" customHeight="1">
      <c r="A71" s="73"/>
      <c r="B71" s="73"/>
      <c r="C71" s="127"/>
      <c r="D71" s="73"/>
      <c r="E71" s="73"/>
      <c r="F71" s="73"/>
      <c r="G71" s="73"/>
      <c r="H71" s="73"/>
      <c r="I71" s="73"/>
      <c r="J71" s="73"/>
      <c r="K71" s="73"/>
      <c r="L71" s="73"/>
      <c r="M71" s="73"/>
      <c r="N71" s="73"/>
      <c r="O71" s="73"/>
      <c r="P71" s="73"/>
      <c r="Q71" s="73"/>
      <c r="R71" s="73"/>
      <c r="S71" s="73"/>
      <c r="T71" s="73"/>
      <c r="U71" s="73"/>
      <c r="V71" s="73"/>
      <c r="W71" s="73"/>
      <c r="X71" s="73"/>
      <c r="Y71" s="73"/>
      <c r="Z71" s="73"/>
      <c r="AA71" s="73"/>
      <c r="AB71" s="73"/>
    </row>
    <row r="72" spans="1:28" ht="15.75" customHeight="1">
      <c r="A72" s="73"/>
      <c r="B72" s="73"/>
      <c r="C72" s="127"/>
      <c r="D72" s="73"/>
      <c r="E72" s="73"/>
      <c r="F72" s="73"/>
      <c r="G72" s="73"/>
      <c r="H72" s="73"/>
      <c r="I72" s="73"/>
      <c r="J72" s="73"/>
      <c r="K72" s="73"/>
      <c r="L72" s="73"/>
      <c r="M72" s="73"/>
      <c r="N72" s="73"/>
      <c r="O72" s="73"/>
      <c r="P72" s="73"/>
      <c r="Q72" s="73"/>
      <c r="R72" s="73"/>
      <c r="S72" s="73"/>
      <c r="T72" s="73"/>
      <c r="U72" s="73"/>
      <c r="V72" s="73"/>
      <c r="W72" s="73"/>
      <c r="X72" s="73"/>
      <c r="Y72" s="73"/>
      <c r="Z72" s="73"/>
      <c r="AA72" s="73"/>
      <c r="AB72" s="73"/>
    </row>
    <row r="73" spans="1:28" ht="15.75" customHeight="1">
      <c r="A73" s="73"/>
      <c r="B73" s="73"/>
      <c r="C73" s="127"/>
      <c r="D73" s="73"/>
      <c r="E73" s="73"/>
      <c r="F73" s="73"/>
      <c r="G73" s="73"/>
      <c r="H73" s="73"/>
      <c r="I73" s="73"/>
      <c r="J73" s="73"/>
      <c r="K73" s="73"/>
      <c r="L73" s="73"/>
      <c r="M73" s="73"/>
      <c r="N73" s="73"/>
      <c r="O73" s="73"/>
      <c r="P73" s="73"/>
      <c r="Q73" s="73"/>
      <c r="R73" s="73"/>
      <c r="S73" s="73"/>
      <c r="T73" s="73"/>
      <c r="U73" s="73"/>
      <c r="V73" s="73"/>
      <c r="W73" s="73"/>
      <c r="X73" s="73"/>
      <c r="Y73" s="73"/>
      <c r="Z73" s="73"/>
      <c r="AA73" s="73"/>
      <c r="AB73" s="73"/>
    </row>
    <row r="74" spans="1:28" ht="15.75" customHeight="1">
      <c r="A74" s="73"/>
      <c r="B74" s="73"/>
      <c r="C74" s="127"/>
      <c r="D74" s="73"/>
      <c r="E74" s="73"/>
      <c r="F74" s="73"/>
      <c r="G74" s="73"/>
      <c r="H74" s="73"/>
      <c r="I74" s="73"/>
      <c r="J74" s="73"/>
      <c r="K74" s="73"/>
      <c r="L74" s="73"/>
      <c r="M74" s="73"/>
      <c r="N74" s="73"/>
      <c r="O74" s="73"/>
      <c r="P74" s="73"/>
      <c r="Q74" s="73"/>
      <c r="R74" s="73"/>
      <c r="S74" s="73"/>
      <c r="T74" s="73"/>
      <c r="U74" s="73"/>
      <c r="V74" s="73"/>
      <c r="W74" s="73"/>
      <c r="X74" s="73"/>
      <c r="Y74" s="73"/>
      <c r="Z74" s="73"/>
      <c r="AA74" s="73"/>
      <c r="AB74" s="73"/>
    </row>
    <row r="75" spans="1:28" ht="15.75" customHeight="1">
      <c r="A75" s="73"/>
      <c r="B75" s="73"/>
      <c r="C75" s="127"/>
      <c r="D75" s="73"/>
      <c r="E75" s="73"/>
      <c r="F75" s="73"/>
      <c r="G75" s="73"/>
      <c r="H75" s="73"/>
      <c r="I75" s="73"/>
      <c r="J75" s="73"/>
      <c r="K75" s="73"/>
      <c r="L75" s="73"/>
      <c r="M75" s="73"/>
      <c r="N75" s="73"/>
      <c r="O75" s="73"/>
      <c r="P75" s="73"/>
      <c r="Q75" s="73"/>
      <c r="R75" s="73"/>
      <c r="S75" s="73"/>
      <c r="T75" s="73"/>
      <c r="U75" s="73"/>
      <c r="V75" s="73"/>
      <c r="W75" s="73"/>
      <c r="X75" s="73"/>
      <c r="Y75" s="73"/>
      <c r="Z75" s="73"/>
      <c r="AA75" s="73"/>
      <c r="AB75" s="73"/>
    </row>
    <row r="76" spans="1:28" ht="15.75" customHeight="1">
      <c r="A76" s="73"/>
      <c r="B76" s="73"/>
      <c r="C76" s="127"/>
      <c r="D76" s="73"/>
      <c r="E76" s="73"/>
      <c r="F76" s="73"/>
      <c r="G76" s="73"/>
      <c r="H76" s="73"/>
      <c r="I76" s="73"/>
      <c r="J76" s="73"/>
      <c r="K76" s="73"/>
      <c r="L76" s="73"/>
      <c r="M76" s="73"/>
      <c r="N76" s="73"/>
      <c r="O76" s="73"/>
      <c r="P76" s="73"/>
      <c r="Q76" s="73"/>
      <c r="R76" s="73"/>
      <c r="S76" s="73"/>
      <c r="T76" s="73"/>
      <c r="U76" s="73"/>
      <c r="V76" s="73"/>
      <c r="W76" s="73"/>
      <c r="X76" s="73"/>
      <c r="Y76" s="73"/>
      <c r="Z76" s="73"/>
      <c r="AA76" s="73"/>
      <c r="AB76" s="73"/>
    </row>
    <row r="77" spans="1:28" ht="15.75" customHeight="1">
      <c r="A77" s="73"/>
      <c r="B77" s="73"/>
      <c r="C77" s="127"/>
      <c r="D77" s="73"/>
      <c r="E77" s="73"/>
      <c r="F77" s="73"/>
      <c r="G77" s="73"/>
      <c r="H77" s="73"/>
      <c r="I77" s="73"/>
      <c r="J77" s="73"/>
      <c r="K77" s="73"/>
      <c r="L77" s="73"/>
      <c r="M77" s="73"/>
      <c r="N77" s="73"/>
      <c r="O77" s="73"/>
      <c r="P77" s="73"/>
      <c r="Q77" s="73"/>
      <c r="R77" s="73"/>
      <c r="S77" s="73"/>
      <c r="T77" s="73"/>
      <c r="U77" s="73"/>
      <c r="V77" s="73"/>
      <c r="W77" s="73"/>
      <c r="X77" s="73"/>
      <c r="Y77" s="73"/>
      <c r="Z77" s="73"/>
      <c r="AA77" s="73"/>
      <c r="AB77" s="73"/>
    </row>
    <row r="78" spans="1:28" ht="15.75" customHeight="1">
      <c r="A78" s="73"/>
      <c r="B78" s="73"/>
      <c r="C78" s="127"/>
      <c r="D78" s="73"/>
      <c r="E78" s="73"/>
      <c r="F78" s="73"/>
      <c r="G78" s="73"/>
      <c r="H78" s="73"/>
      <c r="I78" s="73"/>
      <c r="J78" s="73"/>
      <c r="K78" s="73"/>
      <c r="L78" s="73"/>
      <c r="M78" s="73"/>
      <c r="N78" s="73"/>
      <c r="O78" s="73"/>
      <c r="P78" s="73"/>
      <c r="Q78" s="73"/>
      <c r="R78" s="73"/>
      <c r="S78" s="73"/>
      <c r="T78" s="73"/>
      <c r="U78" s="73"/>
      <c r="V78" s="73"/>
      <c r="W78" s="73"/>
      <c r="X78" s="73"/>
      <c r="Y78" s="73"/>
      <c r="Z78" s="73"/>
      <c r="AA78" s="73"/>
      <c r="AB78" s="73"/>
    </row>
    <row r="79" spans="1:28" ht="15.75" customHeight="1">
      <c r="A79" s="73"/>
      <c r="B79" s="73"/>
      <c r="C79" s="127"/>
      <c r="D79" s="73"/>
      <c r="E79" s="73"/>
      <c r="F79" s="73"/>
      <c r="G79" s="73"/>
      <c r="H79" s="73"/>
      <c r="I79" s="73"/>
      <c r="J79" s="73"/>
      <c r="K79" s="73"/>
      <c r="L79" s="73"/>
      <c r="M79" s="73"/>
      <c r="N79" s="73"/>
      <c r="O79" s="73"/>
      <c r="P79" s="73"/>
      <c r="Q79" s="73"/>
      <c r="R79" s="73"/>
      <c r="S79" s="73"/>
      <c r="T79" s="73"/>
      <c r="U79" s="73"/>
      <c r="V79" s="73"/>
      <c r="W79" s="73"/>
      <c r="X79" s="73"/>
      <c r="Y79" s="73"/>
      <c r="Z79" s="73"/>
      <c r="AA79" s="73"/>
      <c r="AB79" s="73"/>
    </row>
    <row r="80" spans="1:28" ht="15.75" customHeight="1">
      <c r="A80" s="73"/>
      <c r="B80" s="73"/>
      <c r="C80" s="127"/>
      <c r="D80" s="73"/>
      <c r="E80" s="73"/>
      <c r="F80" s="73"/>
      <c r="G80" s="73"/>
      <c r="H80" s="73"/>
      <c r="I80" s="73"/>
      <c r="J80" s="73"/>
      <c r="K80" s="73"/>
      <c r="L80" s="73"/>
      <c r="M80" s="73"/>
      <c r="N80" s="73"/>
      <c r="O80" s="73"/>
      <c r="P80" s="73"/>
      <c r="Q80" s="73"/>
      <c r="R80" s="73"/>
      <c r="S80" s="73"/>
      <c r="T80" s="73"/>
      <c r="U80" s="73"/>
      <c r="V80" s="73"/>
      <c r="W80" s="73"/>
      <c r="X80" s="73"/>
      <c r="Y80" s="73"/>
      <c r="Z80" s="73"/>
      <c r="AA80" s="73"/>
      <c r="AB80" s="73"/>
    </row>
    <row r="81" spans="1:28" ht="15.75" customHeight="1">
      <c r="A81" s="73"/>
      <c r="B81" s="73"/>
      <c r="C81" s="127"/>
      <c r="D81" s="73"/>
      <c r="E81" s="73"/>
      <c r="F81" s="73"/>
      <c r="G81" s="73"/>
      <c r="H81" s="73"/>
      <c r="I81" s="73"/>
      <c r="J81" s="73"/>
      <c r="K81" s="73"/>
      <c r="L81" s="73"/>
      <c r="M81" s="73"/>
      <c r="N81" s="73"/>
      <c r="O81" s="73"/>
      <c r="P81" s="73"/>
      <c r="Q81" s="73"/>
      <c r="R81" s="73"/>
      <c r="S81" s="73"/>
      <c r="T81" s="73"/>
      <c r="U81" s="73"/>
      <c r="V81" s="73"/>
      <c r="W81" s="73"/>
      <c r="X81" s="73"/>
      <c r="Y81" s="73"/>
      <c r="Z81" s="73"/>
      <c r="AA81" s="73"/>
      <c r="AB81" s="73"/>
    </row>
    <row r="82" spans="1:28" ht="15.75" customHeight="1">
      <c r="A82" s="73"/>
      <c r="B82" s="73"/>
      <c r="C82" s="127"/>
      <c r="D82" s="73"/>
      <c r="E82" s="73"/>
      <c r="F82" s="73"/>
      <c r="G82" s="73"/>
      <c r="H82" s="73"/>
      <c r="I82" s="73"/>
      <c r="J82" s="73"/>
      <c r="K82" s="73"/>
      <c r="L82" s="73"/>
      <c r="M82" s="73"/>
      <c r="N82" s="73"/>
      <c r="O82" s="73"/>
      <c r="P82" s="73"/>
      <c r="Q82" s="73"/>
      <c r="R82" s="73"/>
      <c r="S82" s="73"/>
      <c r="T82" s="73"/>
      <c r="U82" s="73"/>
      <c r="V82" s="73"/>
      <c r="W82" s="73"/>
      <c r="X82" s="73"/>
      <c r="Y82" s="73"/>
      <c r="Z82" s="73"/>
      <c r="AA82" s="73"/>
      <c r="AB82" s="73"/>
    </row>
    <row r="83" spans="1:28" ht="15.75" customHeight="1">
      <c r="A83" s="73"/>
      <c r="B83" s="73"/>
      <c r="C83" s="127"/>
      <c r="D83" s="73"/>
      <c r="E83" s="73"/>
      <c r="F83" s="73"/>
      <c r="G83" s="73"/>
      <c r="H83" s="73"/>
      <c r="I83" s="73"/>
      <c r="J83" s="73"/>
      <c r="K83" s="73"/>
      <c r="L83" s="73"/>
      <c r="M83" s="73"/>
      <c r="N83" s="73"/>
      <c r="O83" s="73"/>
      <c r="P83" s="73"/>
      <c r="Q83" s="73"/>
      <c r="R83" s="73"/>
      <c r="S83" s="73"/>
      <c r="T83" s="73"/>
      <c r="U83" s="73"/>
      <c r="V83" s="73"/>
      <c r="W83" s="73"/>
      <c r="X83" s="73"/>
      <c r="Y83" s="73"/>
      <c r="Z83" s="73"/>
      <c r="AA83" s="73"/>
      <c r="AB83" s="73"/>
    </row>
    <row r="84" spans="1:28" ht="15.75" customHeight="1">
      <c r="A84" s="73"/>
      <c r="B84" s="73"/>
      <c r="C84" s="127"/>
      <c r="D84" s="73"/>
      <c r="E84" s="73"/>
      <c r="F84" s="73"/>
      <c r="G84" s="73"/>
      <c r="H84" s="73"/>
      <c r="I84" s="73"/>
      <c r="J84" s="73"/>
      <c r="K84" s="73"/>
      <c r="L84" s="73"/>
      <c r="M84" s="73"/>
      <c r="N84" s="73"/>
      <c r="O84" s="73"/>
      <c r="P84" s="73"/>
      <c r="Q84" s="73"/>
      <c r="R84" s="73"/>
      <c r="S84" s="73"/>
      <c r="T84" s="73"/>
      <c r="U84" s="73"/>
      <c r="V84" s="73"/>
      <c r="W84" s="73"/>
      <c r="X84" s="73"/>
      <c r="Y84" s="73"/>
      <c r="Z84" s="73"/>
      <c r="AA84" s="73"/>
      <c r="AB84" s="73"/>
    </row>
    <row r="85" spans="1:28" ht="15.75" customHeight="1">
      <c r="A85" s="73"/>
      <c r="B85" s="73"/>
      <c r="C85" s="127"/>
      <c r="D85" s="73"/>
      <c r="E85" s="73"/>
      <c r="F85" s="73"/>
      <c r="G85" s="73"/>
      <c r="H85" s="73"/>
      <c r="I85" s="73"/>
      <c r="J85" s="73"/>
      <c r="K85" s="73"/>
      <c r="L85" s="73"/>
      <c r="M85" s="73"/>
      <c r="N85" s="73"/>
      <c r="O85" s="73"/>
      <c r="P85" s="73"/>
      <c r="Q85" s="73"/>
      <c r="R85" s="73"/>
      <c r="S85" s="73"/>
      <c r="T85" s="73"/>
      <c r="U85" s="73"/>
      <c r="V85" s="73"/>
      <c r="W85" s="73"/>
      <c r="X85" s="73"/>
      <c r="Y85" s="73"/>
      <c r="Z85" s="73"/>
      <c r="AA85" s="73"/>
      <c r="AB85" s="73"/>
    </row>
    <row r="86" spans="1:28" ht="15.75" customHeight="1">
      <c r="A86" s="73"/>
      <c r="B86" s="73"/>
      <c r="C86" s="127"/>
      <c r="D86" s="73"/>
      <c r="E86" s="73"/>
      <c r="F86" s="73"/>
      <c r="G86" s="73"/>
      <c r="H86" s="73"/>
      <c r="I86" s="73"/>
      <c r="J86" s="73"/>
      <c r="K86" s="73"/>
      <c r="L86" s="73"/>
      <c r="M86" s="73"/>
      <c r="N86" s="73"/>
      <c r="O86" s="73"/>
      <c r="P86" s="73"/>
      <c r="Q86" s="73"/>
      <c r="R86" s="73"/>
      <c r="S86" s="73"/>
      <c r="T86" s="73"/>
      <c r="U86" s="73"/>
      <c r="V86" s="73"/>
      <c r="W86" s="73"/>
      <c r="X86" s="73"/>
      <c r="Y86" s="73"/>
      <c r="Z86" s="73"/>
      <c r="AA86" s="73"/>
      <c r="AB86" s="73"/>
    </row>
    <row r="87" spans="1:28" ht="15.75" customHeight="1">
      <c r="A87" s="73"/>
      <c r="B87" s="73"/>
      <c r="C87" s="127"/>
      <c r="D87" s="73"/>
      <c r="E87" s="73"/>
      <c r="F87" s="73"/>
      <c r="G87" s="73"/>
      <c r="H87" s="73"/>
      <c r="I87" s="73"/>
      <c r="J87" s="73"/>
      <c r="K87" s="73"/>
      <c r="L87" s="73"/>
      <c r="M87" s="73"/>
      <c r="N87" s="73"/>
      <c r="O87" s="73"/>
      <c r="P87" s="73"/>
      <c r="Q87" s="73"/>
      <c r="R87" s="73"/>
      <c r="S87" s="73"/>
      <c r="T87" s="73"/>
      <c r="U87" s="73"/>
      <c r="V87" s="73"/>
      <c r="W87" s="73"/>
      <c r="X87" s="73"/>
      <c r="Y87" s="73"/>
      <c r="Z87" s="73"/>
      <c r="AA87" s="73"/>
      <c r="AB87" s="73"/>
    </row>
    <row r="88" spans="1:28" ht="15.75" customHeight="1">
      <c r="A88" s="73"/>
      <c r="B88" s="73"/>
      <c r="C88" s="127"/>
      <c r="D88" s="73"/>
      <c r="E88" s="73"/>
      <c r="F88" s="73"/>
      <c r="G88" s="73"/>
      <c r="H88" s="73"/>
      <c r="I88" s="73"/>
      <c r="J88" s="73"/>
      <c r="K88" s="73"/>
      <c r="L88" s="73"/>
      <c r="M88" s="73"/>
      <c r="N88" s="73"/>
      <c r="O88" s="73"/>
      <c r="P88" s="73"/>
      <c r="Q88" s="73"/>
      <c r="R88" s="73"/>
      <c r="S88" s="73"/>
      <c r="T88" s="73"/>
      <c r="U88" s="73"/>
      <c r="V88" s="73"/>
      <c r="W88" s="73"/>
      <c r="X88" s="73"/>
      <c r="Y88" s="73"/>
      <c r="Z88" s="73"/>
      <c r="AA88" s="73"/>
      <c r="AB88" s="73"/>
    </row>
    <row r="89" spans="1:28" ht="15.75" customHeight="1">
      <c r="A89" s="73"/>
      <c r="B89" s="73"/>
      <c r="C89" s="127"/>
      <c r="D89" s="73"/>
      <c r="E89" s="73"/>
      <c r="F89" s="73"/>
      <c r="G89" s="73"/>
      <c r="H89" s="73"/>
      <c r="I89" s="73"/>
      <c r="J89" s="73"/>
      <c r="K89" s="73"/>
      <c r="L89" s="73"/>
      <c r="M89" s="73"/>
      <c r="N89" s="73"/>
      <c r="O89" s="73"/>
      <c r="P89" s="73"/>
      <c r="Q89" s="73"/>
      <c r="R89" s="73"/>
      <c r="S89" s="73"/>
      <c r="T89" s="73"/>
      <c r="U89" s="73"/>
      <c r="V89" s="73"/>
      <c r="W89" s="73"/>
      <c r="X89" s="73"/>
      <c r="Y89" s="73"/>
      <c r="Z89" s="73"/>
      <c r="AA89" s="73"/>
      <c r="AB89" s="73"/>
    </row>
    <row r="90" spans="1:28" ht="15.75" customHeight="1">
      <c r="A90" s="73"/>
      <c r="B90" s="73"/>
      <c r="C90" s="127"/>
      <c r="D90" s="73"/>
      <c r="E90" s="73"/>
      <c r="F90" s="73"/>
      <c r="G90" s="73"/>
      <c r="H90" s="73"/>
      <c r="I90" s="73"/>
      <c r="J90" s="73"/>
      <c r="K90" s="73"/>
      <c r="L90" s="73"/>
      <c r="M90" s="73"/>
      <c r="N90" s="73"/>
      <c r="O90" s="73"/>
      <c r="P90" s="73"/>
      <c r="Q90" s="73"/>
      <c r="R90" s="73"/>
      <c r="S90" s="73"/>
      <c r="T90" s="73"/>
      <c r="U90" s="73"/>
      <c r="V90" s="73"/>
      <c r="W90" s="73"/>
      <c r="X90" s="73"/>
      <c r="Y90" s="73"/>
      <c r="Z90" s="73"/>
      <c r="AA90" s="73"/>
      <c r="AB90" s="73"/>
    </row>
    <row r="91" spans="1:28" ht="15.75" customHeight="1">
      <c r="A91" s="73"/>
      <c r="B91" s="73"/>
      <c r="C91" s="127"/>
      <c r="D91" s="73"/>
      <c r="E91" s="73"/>
      <c r="F91" s="73"/>
      <c r="G91" s="73"/>
      <c r="H91" s="73"/>
      <c r="I91" s="73"/>
      <c r="J91" s="73"/>
      <c r="K91" s="73"/>
      <c r="L91" s="73"/>
      <c r="M91" s="73"/>
      <c r="N91" s="73"/>
      <c r="O91" s="73"/>
      <c r="P91" s="73"/>
      <c r="Q91" s="73"/>
      <c r="R91" s="73"/>
      <c r="S91" s="73"/>
      <c r="T91" s="73"/>
      <c r="U91" s="73"/>
      <c r="V91" s="73"/>
      <c r="W91" s="73"/>
      <c r="X91" s="73"/>
      <c r="Y91" s="73"/>
      <c r="Z91" s="73"/>
      <c r="AA91" s="73"/>
      <c r="AB91" s="73"/>
    </row>
    <row r="92" spans="1:28" ht="15.75" customHeight="1">
      <c r="A92" s="73"/>
      <c r="B92" s="73"/>
      <c r="C92" s="127"/>
      <c r="D92" s="73"/>
      <c r="E92" s="73"/>
      <c r="F92" s="73"/>
      <c r="G92" s="73"/>
      <c r="H92" s="73"/>
      <c r="I92" s="73"/>
      <c r="J92" s="73"/>
      <c r="K92" s="73"/>
      <c r="L92" s="73"/>
      <c r="M92" s="73"/>
      <c r="N92" s="73"/>
      <c r="O92" s="73"/>
      <c r="P92" s="73"/>
      <c r="Q92" s="73"/>
      <c r="R92" s="73"/>
      <c r="S92" s="73"/>
      <c r="T92" s="73"/>
      <c r="U92" s="73"/>
      <c r="V92" s="73"/>
      <c r="W92" s="73"/>
      <c r="X92" s="73"/>
      <c r="Y92" s="73"/>
      <c r="Z92" s="73"/>
      <c r="AA92" s="73"/>
      <c r="AB92" s="73"/>
    </row>
    <row r="93" spans="1:28" ht="15.75" customHeight="1">
      <c r="A93" s="73"/>
      <c r="B93" s="73"/>
      <c r="C93" s="127"/>
      <c r="D93" s="73"/>
      <c r="E93" s="73"/>
      <c r="F93" s="73"/>
      <c r="G93" s="73"/>
      <c r="H93" s="73"/>
      <c r="I93" s="73"/>
      <c r="J93" s="73"/>
      <c r="K93" s="73"/>
      <c r="L93" s="73"/>
      <c r="M93" s="73"/>
      <c r="N93" s="73"/>
      <c r="O93" s="73"/>
      <c r="P93" s="73"/>
      <c r="Q93" s="73"/>
      <c r="R93" s="73"/>
      <c r="S93" s="73"/>
      <c r="T93" s="73"/>
      <c r="U93" s="73"/>
      <c r="V93" s="73"/>
      <c r="W93" s="73"/>
      <c r="X93" s="73"/>
      <c r="Y93" s="73"/>
      <c r="Z93" s="73"/>
      <c r="AA93" s="73"/>
      <c r="AB93" s="73"/>
    </row>
    <row r="94" spans="1:28" ht="15.75" customHeight="1">
      <c r="A94" s="73"/>
      <c r="B94" s="73"/>
      <c r="C94" s="127"/>
      <c r="D94" s="73"/>
      <c r="E94" s="73"/>
      <c r="F94" s="73"/>
      <c r="G94" s="73"/>
      <c r="H94" s="73"/>
      <c r="I94" s="73"/>
      <c r="J94" s="73"/>
      <c r="K94" s="73"/>
      <c r="L94" s="73"/>
      <c r="M94" s="73"/>
      <c r="N94" s="73"/>
      <c r="O94" s="73"/>
      <c r="P94" s="73"/>
      <c r="Q94" s="73"/>
      <c r="R94" s="73"/>
      <c r="S94" s="73"/>
      <c r="T94" s="73"/>
      <c r="U94" s="73"/>
      <c r="V94" s="73"/>
      <c r="W94" s="73"/>
      <c r="X94" s="73"/>
      <c r="Y94" s="73"/>
      <c r="Z94" s="73"/>
      <c r="AA94" s="73"/>
      <c r="AB94" s="73"/>
    </row>
    <row r="95" spans="1:28" ht="15.75" customHeight="1">
      <c r="A95" s="73"/>
      <c r="B95" s="73"/>
      <c r="C95" s="127"/>
      <c r="D95" s="73"/>
      <c r="E95" s="73"/>
      <c r="F95" s="73"/>
      <c r="G95" s="73"/>
      <c r="H95" s="73"/>
      <c r="I95" s="73"/>
      <c r="J95" s="73"/>
      <c r="K95" s="73"/>
      <c r="L95" s="73"/>
      <c r="M95" s="73"/>
      <c r="N95" s="73"/>
      <c r="O95" s="73"/>
      <c r="P95" s="73"/>
      <c r="Q95" s="73"/>
      <c r="R95" s="73"/>
      <c r="S95" s="73"/>
      <c r="T95" s="73"/>
      <c r="U95" s="73"/>
      <c r="V95" s="73"/>
      <c r="W95" s="73"/>
      <c r="X95" s="73"/>
      <c r="Y95" s="73"/>
      <c r="Z95" s="73"/>
      <c r="AA95" s="73"/>
      <c r="AB95" s="73"/>
    </row>
    <row r="96" spans="1:28" ht="15.75" customHeight="1">
      <c r="A96" s="73"/>
      <c r="B96" s="73"/>
      <c r="C96" s="127"/>
      <c r="D96" s="73"/>
      <c r="E96" s="73"/>
      <c r="F96" s="73"/>
      <c r="G96" s="73"/>
      <c r="H96" s="73"/>
      <c r="I96" s="73"/>
      <c r="J96" s="73"/>
      <c r="K96" s="73"/>
      <c r="L96" s="73"/>
      <c r="M96" s="73"/>
      <c r="N96" s="73"/>
      <c r="O96" s="73"/>
      <c r="P96" s="73"/>
      <c r="Q96" s="73"/>
      <c r="R96" s="73"/>
      <c r="S96" s="73"/>
      <c r="T96" s="73"/>
      <c r="U96" s="73"/>
      <c r="V96" s="73"/>
      <c r="W96" s="73"/>
      <c r="X96" s="73"/>
      <c r="Y96" s="73"/>
      <c r="Z96" s="73"/>
      <c r="AA96" s="73"/>
      <c r="AB96" s="73"/>
    </row>
    <row r="97" spans="1:28" ht="15.75" customHeight="1">
      <c r="A97" s="73"/>
      <c r="B97" s="73"/>
      <c r="C97" s="127"/>
      <c r="D97" s="73"/>
      <c r="E97" s="73"/>
      <c r="F97" s="73"/>
      <c r="G97" s="73"/>
      <c r="H97" s="73"/>
      <c r="I97" s="73"/>
      <c r="J97" s="73"/>
      <c r="K97" s="73"/>
      <c r="L97" s="73"/>
      <c r="M97" s="73"/>
      <c r="N97" s="73"/>
      <c r="O97" s="73"/>
      <c r="P97" s="73"/>
      <c r="Q97" s="73"/>
      <c r="R97" s="73"/>
      <c r="S97" s="73"/>
      <c r="T97" s="73"/>
      <c r="U97" s="73"/>
      <c r="V97" s="73"/>
      <c r="W97" s="73"/>
      <c r="X97" s="73"/>
      <c r="Y97" s="73"/>
      <c r="Z97" s="73"/>
      <c r="AA97" s="73"/>
      <c r="AB97" s="73"/>
    </row>
    <row r="98" spans="1:28" ht="15.75" customHeight="1">
      <c r="A98" s="73"/>
      <c r="B98" s="73"/>
      <c r="C98" s="127"/>
      <c r="D98" s="73"/>
      <c r="E98" s="73"/>
      <c r="F98" s="73"/>
      <c r="G98" s="73"/>
      <c r="H98" s="73"/>
      <c r="I98" s="73"/>
      <c r="J98" s="73"/>
      <c r="K98" s="73"/>
      <c r="L98" s="73"/>
      <c r="M98" s="73"/>
      <c r="N98" s="73"/>
      <c r="O98" s="73"/>
      <c r="P98" s="73"/>
      <c r="Q98" s="73"/>
      <c r="R98" s="73"/>
      <c r="S98" s="73"/>
      <c r="T98" s="73"/>
      <c r="U98" s="73"/>
      <c r="V98" s="73"/>
      <c r="W98" s="73"/>
      <c r="X98" s="73"/>
      <c r="Y98" s="73"/>
      <c r="Z98" s="73"/>
      <c r="AA98" s="73"/>
      <c r="AB98" s="73"/>
    </row>
    <row r="99" spans="1:28" ht="15.75" customHeight="1">
      <c r="A99" s="73"/>
      <c r="B99" s="73"/>
      <c r="C99" s="127"/>
      <c r="D99" s="73"/>
      <c r="E99" s="73"/>
      <c r="F99" s="73"/>
      <c r="G99" s="73"/>
      <c r="H99" s="73"/>
      <c r="I99" s="73"/>
      <c r="J99" s="73"/>
      <c r="K99" s="73"/>
      <c r="L99" s="73"/>
      <c r="M99" s="73"/>
      <c r="N99" s="73"/>
      <c r="O99" s="73"/>
      <c r="P99" s="73"/>
      <c r="Q99" s="73"/>
      <c r="R99" s="73"/>
      <c r="S99" s="73"/>
      <c r="T99" s="73"/>
      <c r="U99" s="73"/>
      <c r="V99" s="73"/>
      <c r="W99" s="73"/>
      <c r="X99" s="73"/>
      <c r="Y99" s="73"/>
      <c r="Z99" s="73"/>
      <c r="AA99" s="73"/>
      <c r="AB99" s="73"/>
    </row>
    <row r="100" spans="1:28" ht="15.75" customHeight="1">
      <c r="A100" s="73"/>
      <c r="B100" s="73"/>
      <c r="C100" s="127"/>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row>
    <row r="101" spans="1:28" ht="15.75" customHeight="1">
      <c r="A101" s="73"/>
      <c r="B101" s="73"/>
      <c r="C101" s="127"/>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row>
    <row r="102" spans="1:28" ht="15.75" customHeight="1">
      <c r="A102" s="73"/>
      <c r="B102" s="73"/>
      <c r="C102" s="127"/>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row>
    <row r="103" spans="1:28" ht="15.75" customHeight="1">
      <c r="A103" s="73"/>
      <c r="B103" s="73"/>
      <c r="C103" s="127"/>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row>
    <row r="104" spans="1:28" ht="15.75" customHeight="1">
      <c r="A104" s="73"/>
      <c r="B104" s="73"/>
      <c r="C104" s="127"/>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row>
    <row r="105" spans="1:28" ht="15.75" customHeight="1">
      <c r="A105" s="73"/>
      <c r="B105" s="73"/>
      <c r="C105" s="127"/>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row>
    <row r="106" spans="1:28" ht="15.75" customHeight="1">
      <c r="A106" s="73"/>
      <c r="B106" s="73"/>
      <c r="C106" s="127"/>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row>
    <row r="107" spans="1:28" ht="15.75" customHeight="1">
      <c r="A107" s="73"/>
      <c r="B107" s="73"/>
      <c r="C107" s="127"/>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row>
    <row r="108" spans="1:28" ht="15.75" customHeight="1">
      <c r="A108" s="73"/>
      <c r="B108" s="73"/>
      <c r="C108" s="127"/>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row>
    <row r="109" spans="1:28" ht="15.75" customHeight="1">
      <c r="A109" s="73"/>
      <c r="B109" s="73"/>
      <c r="C109" s="127"/>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row>
    <row r="110" spans="1:28" ht="15.75" customHeight="1">
      <c r="A110" s="73"/>
      <c r="B110" s="73"/>
      <c r="C110" s="127"/>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row>
    <row r="111" spans="1:28" ht="15.75" customHeight="1">
      <c r="A111" s="73"/>
      <c r="B111" s="73"/>
      <c r="C111" s="127"/>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row>
    <row r="112" spans="1:28" ht="15.75" customHeight="1">
      <c r="A112" s="73"/>
      <c r="B112" s="73"/>
      <c r="C112" s="127"/>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row>
    <row r="113" spans="1:28" ht="15.75" customHeight="1">
      <c r="A113" s="73"/>
      <c r="B113" s="73"/>
      <c r="C113" s="127"/>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row>
    <row r="114" spans="1:28" ht="15.75" customHeight="1">
      <c r="A114" s="73"/>
      <c r="B114" s="73"/>
      <c r="C114" s="127"/>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row>
    <row r="115" spans="1:28" ht="15.75" customHeight="1">
      <c r="A115" s="73"/>
      <c r="B115" s="73"/>
      <c r="C115" s="127"/>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row>
    <row r="116" spans="1:28" ht="15.75" customHeight="1">
      <c r="A116" s="73"/>
      <c r="B116" s="73"/>
      <c r="C116" s="127"/>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row>
    <row r="117" spans="1:28" ht="15.75" customHeight="1">
      <c r="A117" s="73"/>
      <c r="B117" s="73"/>
      <c r="C117" s="127"/>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row>
    <row r="118" spans="1:28" ht="15.75" customHeight="1">
      <c r="A118" s="73"/>
      <c r="B118" s="73"/>
      <c r="C118" s="127"/>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row>
    <row r="119" spans="1:28" ht="15.75" customHeight="1">
      <c r="A119" s="73"/>
      <c r="B119" s="73"/>
      <c r="C119" s="127"/>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row>
    <row r="120" spans="1:28" ht="15.75" customHeight="1">
      <c r="A120" s="73"/>
      <c r="B120" s="73"/>
      <c r="C120" s="127"/>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row>
    <row r="121" spans="1:28" ht="15.75" customHeight="1">
      <c r="A121" s="73"/>
      <c r="B121" s="73"/>
      <c r="C121" s="127"/>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row>
    <row r="122" spans="1:28" ht="15.75" customHeight="1">
      <c r="A122" s="73"/>
      <c r="B122" s="73"/>
      <c r="C122" s="127"/>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row>
    <row r="123" spans="1:28" ht="15.75" customHeight="1">
      <c r="A123" s="73"/>
      <c r="B123" s="73"/>
      <c r="C123" s="127"/>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row>
    <row r="124" spans="1:28" ht="15.75" customHeight="1">
      <c r="A124" s="73"/>
      <c r="B124" s="73"/>
      <c r="C124" s="127"/>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row>
    <row r="125" spans="1:28" ht="15.75" customHeight="1">
      <c r="A125" s="73"/>
      <c r="B125" s="73"/>
      <c r="C125" s="127"/>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row>
    <row r="126" spans="1:28" ht="15.75" customHeight="1">
      <c r="A126" s="73"/>
      <c r="B126" s="73"/>
      <c r="C126" s="127"/>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row>
    <row r="127" spans="1:28" ht="15.75" customHeight="1">
      <c r="A127" s="73"/>
      <c r="B127" s="73"/>
      <c r="C127" s="127"/>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row>
    <row r="128" spans="1:28" ht="15.75" customHeight="1">
      <c r="A128" s="73"/>
      <c r="B128" s="73"/>
      <c r="C128" s="127"/>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row>
    <row r="129" spans="1:28" ht="15.75" customHeight="1">
      <c r="A129" s="73"/>
      <c r="B129" s="73"/>
      <c r="C129" s="127"/>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row>
    <row r="130" spans="1:28" ht="15.75" customHeight="1">
      <c r="A130" s="73"/>
      <c r="B130" s="73"/>
      <c r="C130" s="127"/>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row>
    <row r="131" spans="1:28" ht="15.75" customHeight="1">
      <c r="A131" s="73"/>
      <c r="B131" s="73"/>
      <c r="C131" s="127"/>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row>
    <row r="132" spans="1:28" ht="15.75" customHeight="1">
      <c r="A132" s="73"/>
      <c r="B132" s="73"/>
      <c r="C132" s="127"/>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row>
    <row r="133" spans="1:28" ht="15.75" customHeight="1">
      <c r="A133" s="73"/>
      <c r="B133" s="73"/>
      <c r="C133" s="127"/>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row>
    <row r="134" spans="1:28" ht="15.75" customHeight="1">
      <c r="A134" s="73"/>
      <c r="B134" s="73"/>
      <c r="C134" s="127"/>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row>
    <row r="135" spans="1:28" ht="15.75" customHeight="1">
      <c r="A135" s="73"/>
      <c r="B135" s="73"/>
      <c r="C135" s="127"/>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row>
    <row r="136" spans="1:28" ht="15.75" customHeight="1">
      <c r="A136" s="73"/>
      <c r="B136" s="73"/>
      <c r="C136" s="127"/>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row>
    <row r="137" spans="1:28" ht="15.75" customHeight="1">
      <c r="A137" s="73"/>
      <c r="B137" s="73"/>
      <c r="C137" s="127"/>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row>
    <row r="138" spans="1:28" ht="15.75" customHeight="1">
      <c r="A138" s="73"/>
      <c r="B138" s="73"/>
      <c r="C138" s="127"/>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row>
    <row r="139" spans="1:28" ht="15.75" customHeight="1">
      <c r="A139" s="73"/>
      <c r="B139" s="73"/>
      <c r="C139" s="127"/>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row>
    <row r="140" spans="1:28" ht="15.75" customHeight="1">
      <c r="A140" s="73"/>
      <c r="B140" s="73"/>
      <c r="C140" s="127"/>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row>
    <row r="141" spans="1:28" ht="15.75" customHeight="1">
      <c r="A141" s="73"/>
      <c r="B141" s="73"/>
      <c r="C141" s="127"/>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row>
    <row r="142" spans="1:28" ht="15.75" customHeight="1">
      <c r="A142" s="73"/>
      <c r="B142" s="73"/>
      <c r="C142" s="127"/>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row>
    <row r="143" spans="1:28" ht="15.75" customHeight="1">
      <c r="A143" s="73"/>
      <c r="B143" s="73"/>
      <c r="C143" s="127"/>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row>
    <row r="144" spans="1:28" ht="15.75" customHeight="1">
      <c r="A144" s="73"/>
      <c r="B144" s="73"/>
      <c r="C144" s="127"/>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row>
    <row r="145" spans="1:28" ht="15.75" customHeight="1">
      <c r="A145" s="73"/>
      <c r="B145" s="73"/>
      <c r="C145" s="127"/>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row>
    <row r="146" spans="1:28" ht="15.75" customHeight="1">
      <c r="A146" s="73"/>
      <c r="B146" s="73"/>
      <c r="C146" s="127"/>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row>
    <row r="147" spans="1:28" ht="15.75" customHeight="1">
      <c r="A147" s="73"/>
      <c r="B147" s="73"/>
      <c r="C147" s="127"/>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row>
    <row r="148" spans="1:28" ht="15.75" customHeight="1">
      <c r="A148" s="73"/>
      <c r="B148" s="73"/>
      <c r="C148" s="127"/>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row>
    <row r="149" spans="1:28" ht="15.75" customHeight="1">
      <c r="A149" s="73"/>
      <c r="B149" s="73"/>
      <c r="C149" s="127"/>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row>
    <row r="150" spans="1:28" ht="15.75" customHeight="1">
      <c r="A150" s="73"/>
      <c r="B150" s="73"/>
      <c r="C150" s="127"/>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3"/>
    </row>
    <row r="151" spans="1:28" ht="15.75" customHeight="1">
      <c r="A151" s="73"/>
      <c r="B151" s="73"/>
      <c r="C151" s="127"/>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row>
    <row r="152" spans="1:28" ht="15.75" customHeight="1">
      <c r="A152" s="73"/>
      <c r="B152" s="73"/>
      <c r="C152" s="127"/>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3"/>
    </row>
    <row r="153" spans="1:28" ht="15.75" customHeight="1">
      <c r="A153" s="73"/>
      <c r="B153" s="73"/>
      <c r="C153" s="127"/>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3"/>
    </row>
    <row r="154" spans="1:28" ht="15.75" customHeight="1">
      <c r="A154" s="73"/>
      <c r="B154" s="73"/>
      <c r="C154" s="127"/>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row>
    <row r="155" spans="1:28" ht="15.75" customHeight="1">
      <c r="A155" s="73"/>
      <c r="B155" s="73"/>
      <c r="C155" s="127"/>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row>
    <row r="156" spans="1:28" ht="15.75" customHeight="1">
      <c r="A156" s="73"/>
      <c r="B156" s="73"/>
      <c r="C156" s="127"/>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row>
    <row r="157" spans="1:28" ht="15.75" customHeight="1">
      <c r="A157" s="73"/>
      <c r="B157" s="73"/>
      <c r="C157" s="127"/>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row>
    <row r="158" spans="1:28" ht="15.75" customHeight="1">
      <c r="A158" s="73"/>
      <c r="B158" s="73"/>
      <c r="C158" s="127"/>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row>
    <row r="159" spans="1:28" ht="15.75" customHeight="1">
      <c r="A159" s="73"/>
      <c r="B159" s="73"/>
      <c r="C159" s="127"/>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row>
    <row r="160" spans="1:28" ht="15.75" customHeight="1">
      <c r="A160" s="73"/>
      <c r="B160" s="73"/>
      <c r="C160" s="127"/>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c r="AB160" s="73"/>
    </row>
    <row r="161" spans="1:28" ht="15.75" customHeight="1">
      <c r="A161" s="73"/>
      <c r="B161" s="73"/>
      <c r="C161" s="127"/>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row>
    <row r="162" spans="1:28" ht="15.75" customHeight="1">
      <c r="A162" s="73"/>
      <c r="B162" s="73"/>
      <c r="C162" s="127"/>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row>
    <row r="163" spans="1:28" ht="15.75" customHeight="1">
      <c r="A163" s="73"/>
      <c r="B163" s="73"/>
      <c r="C163" s="127"/>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row>
    <row r="164" spans="1:28" ht="15.75" customHeight="1">
      <c r="A164" s="73"/>
      <c r="B164" s="73"/>
      <c r="C164" s="127"/>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c r="AB164" s="73"/>
    </row>
    <row r="165" spans="1:28" ht="15.75" customHeight="1">
      <c r="A165" s="73"/>
      <c r="B165" s="73"/>
      <c r="C165" s="127"/>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row>
    <row r="166" spans="1:28" ht="15.75" customHeight="1">
      <c r="A166" s="73"/>
      <c r="B166" s="73"/>
      <c r="C166" s="127"/>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c r="AB166" s="73"/>
    </row>
    <row r="167" spans="1:28" ht="15.75" customHeight="1">
      <c r="A167" s="73"/>
      <c r="B167" s="73"/>
      <c r="C167" s="127"/>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row>
    <row r="168" spans="1:28" ht="15.75" customHeight="1">
      <c r="A168" s="73"/>
      <c r="B168" s="73"/>
      <c r="C168" s="127"/>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row>
    <row r="169" spans="1:28" ht="15.75" customHeight="1">
      <c r="A169" s="73"/>
      <c r="B169" s="73"/>
      <c r="C169" s="127"/>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row>
    <row r="170" spans="1:28" ht="15.75" customHeight="1">
      <c r="A170" s="73"/>
      <c r="B170" s="73"/>
      <c r="C170" s="127"/>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row>
    <row r="171" spans="1:28" ht="15.75" customHeight="1">
      <c r="A171" s="73"/>
      <c r="B171" s="73"/>
      <c r="C171" s="127"/>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row>
    <row r="172" spans="1:28" ht="15.75" customHeight="1">
      <c r="A172" s="73"/>
      <c r="B172" s="73"/>
      <c r="C172" s="127"/>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row>
    <row r="173" spans="1:28" ht="15.75" customHeight="1">
      <c r="A173" s="73"/>
      <c r="B173" s="73"/>
      <c r="C173" s="127"/>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c r="AB173" s="73"/>
    </row>
    <row r="174" spans="1:28" ht="15.75" customHeight="1">
      <c r="A174" s="73"/>
      <c r="B174" s="73"/>
      <c r="C174" s="127"/>
      <c r="D174" s="73"/>
      <c r="E174" s="73"/>
      <c r="F174" s="73"/>
      <c r="G174" s="73"/>
      <c r="H174" s="73"/>
      <c r="I174" s="73"/>
      <c r="J174" s="73"/>
      <c r="K174" s="73"/>
      <c r="L174" s="73"/>
      <c r="M174" s="73"/>
      <c r="N174" s="73"/>
      <c r="O174" s="73"/>
      <c r="P174" s="73"/>
      <c r="Q174" s="73"/>
      <c r="R174" s="73"/>
      <c r="S174" s="73"/>
      <c r="T174" s="73"/>
      <c r="U174" s="73"/>
      <c r="V174" s="73"/>
      <c r="W174" s="73"/>
      <c r="X174" s="73"/>
      <c r="Y174" s="73"/>
      <c r="Z174" s="73"/>
      <c r="AA174" s="73"/>
      <c r="AB174" s="73"/>
    </row>
    <row r="175" spans="1:28" ht="15.75" customHeight="1">
      <c r="A175" s="73"/>
      <c r="B175" s="73"/>
      <c r="C175" s="127"/>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row>
    <row r="176" spans="1:28" ht="15.75" customHeight="1">
      <c r="A176" s="73"/>
      <c r="B176" s="73"/>
      <c r="C176" s="127"/>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row>
    <row r="177" spans="1:28" ht="15.75" customHeight="1">
      <c r="A177" s="73"/>
      <c r="B177" s="73"/>
      <c r="C177" s="127"/>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row>
    <row r="178" spans="1:28" ht="15.75" customHeight="1">
      <c r="A178" s="73"/>
      <c r="B178" s="73"/>
      <c r="C178" s="127"/>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row>
    <row r="179" spans="1:28" ht="15.75" customHeight="1">
      <c r="A179" s="73"/>
      <c r="B179" s="73"/>
      <c r="C179" s="127"/>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row>
    <row r="180" spans="1:28" ht="15.75" customHeight="1">
      <c r="A180" s="73"/>
      <c r="B180" s="73"/>
      <c r="C180" s="127"/>
      <c r="D180" s="73"/>
      <c r="E180" s="73"/>
      <c r="F180" s="73"/>
      <c r="G180" s="73"/>
      <c r="H180" s="73"/>
      <c r="I180" s="73"/>
      <c r="J180" s="73"/>
      <c r="K180" s="73"/>
      <c r="L180" s="73"/>
      <c r="M180" s="73"/>
      <c r="N180" s="73"/>
      <c r="O180" s="73"/>
      <c r="P180" s="73"/>
      <c r="Q180" s="73"/>
      <c r="R180" s="73"/>
      <c r="S180" s="73"/>
      <c r="T180" s="73"/>
      <c r="U180" s="73"/>
      <c r="V180" s="73"/>
      <c r="W180" s="73"/>
      <c r="X180" s="73"/>
      <c r="Y180" s="73"/>
      <c r="Z180" s="73"/>
      <c r="AA180" s="73"/>
      <c r="AB180" s="73"/>
    </row>
    <row r="181" spans="1:28" ht="15.75" customHeight="1">
      <c r="A181" s="73"/>
      <c r="B181" s="73"/>
      <c r="C181" s="127"/>
      <c r="D181" s="73"/>
      <c r="E181" s="7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row>
    <row r="182" spans="1:28" ht="15.75" customHeight="1">
      <c r="A182" s="73"/>
      <c r="B182" s="73"/>
      <c r="C182" s="127"/>
      <c r="D182" s="73"/>
      <c r="E182" s="73"/>
      <c r="F182" s="73"/>
      <c r="G182" s="73"/>
      <c r="H182" s="73"/>
      <c r="I182" s="73"/>
      <c r="J182" s="73"/>
      <c r="K182" s="73"/>
      <c r="L182" s="73"/>
      <c r="M182" s="73"/>
      <c r="N182" s="73"/>
      <c r="O182" s="73"/>
      <c r="P182" s="73"/>
      <c r="Q182" s="73"/>
      <c r="R182" s="73"/>
      <c r="S182" s="73"/>
      <c r="T182" s="73"/>
      <c r="U182" s="73"/>
      <c r="V182" s="73"/>
      <c r="W182" s="73"/>
      <c r="X182" s="73"/>
      <c r="Y182" s="73"/>
      <c r="Z182" s="73"/>
      <c r="AA182" s="73"/>
      <c r="AB182" s="73"/>
    </row>
    <row r="183" spans="1:28" ht="15.75" customHeight="1">
      <c r="A183" s="73"/>
      <c r="B183" s="73"/>
      <c r="C183" s="127"/>
      <c r="D183" s="73"/>
      <c r="E183" s="7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row>
    <row r="184" spans="1:28" ht="15.75" customHeight="1">
      <c r="A184" s="73"/>
      <c r="B184" s="73"/>
      <c r="C184" s="127"/>
      <c r="D184" s="73"/>
      <c r="E184" s="73"/>
      <c r="F184" s="73"/>
      <c r="G184" s="73"/>
      <c r="H184" s="73"/>
      <c r="I184" s="73"/>
      <c r="J184" s="73"/>
      <c r="K184" s="73"/>
      <c r="L184" s="73"/>
      <c r="M184" s="73"/>
      <c r="N184" s="73"/>
      <c r="O184" s="73"/>
      <c r="P184" s="73"/>
      <c r="Q184" s="73"/>
      <c r="R184" s="73"/>
      <c r="S184" s="73"/>
      <c r="T184" s="73"/>
      <c r="U184" s="73"/>
      <c r="V184" s="73"/>
      <c r="W184" s="73"/>
      <c r="X184" s="73"/>
      <c r="Y184" s="73"/>
      <c r="Z184" s="73"/>
      <c r="AA184" s="73"/>
      <c r="AB184" s="73"/>
    </row>
    <row r="185" spans="1:28" ht="15.75" customHeight="1">
      <c r="A185" s="73"/>
      <c r="B185" s="73"/>
      <c r="C185" s="127"/>
      <c r="D185" s="73"/>
      <c r="E185" s="73"/>
      <c r="F185" s="73"/>
      <c r="G185" s="73"/>
      <c r="H185" s="73"/>
      <c r="I185" s="73"/>
      <c r="J185" s="73"/>
      <c r="K185" s="73"/>
      <c r="L185" s="73"/>
      <c r="M185" s="73"/>
      <c r="N185" s="73"/>
      <c r="O185" s="73"/>
      <c r="P185" s="73"/>
      <c r="Q185" s="73"/>
      <c r="R185" s="73"/>
      <c r="S185" s="73"/>
      <c r="T185" s="73"/>
      <c r="U185" s="73"/>
      <c r="V185" s="73"/>
      <c r="W185" s="73"/>
      <c r="X185" s="73"/>
      <c r="Y185" s="73"/>
      <c r="Z185" s="73"/>
      <c r="AA185" s="73"/>
      <c r="AB185" s="73"/>
    </row>
    <row r="186" spans="1:28" ht="15.75" customHeight="1">
      <c r="A186" s="73"/>
      <c r="B186" s="73"/>
      <c r="C186" s="127"/>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row>
    <row r="187" spans="1:28" ht="15.75" customHeight="1">
      <c r="A187" s="73"/>
      <c r="B187" s="73"/>
      <c r="C187" s="127"/>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row>
    <row r="188" spans="1:28" ht="15.75" customHeight="1">
      <c r="A188" s="73"/>
      <c r="B188" s="73"/>
      <c r="C188" s="127"/>
      <c r="D188" s="73"/>
      <c r="E188" s="73"/>
      <c r="F188" s="73"/>
      <c r="G188" s="73"/>
      <c r="H188" s="73"/>
      <c r="I188" s="73"/>
      <c r="J188" s="73"/>
      <c r="K188" s="73"/>
      <c r="L188" s="73"/>
      <c r="M188" s="73"/>
      <c r="N188" s="73"/>
      <c r="O188" s="73"/>
      <c r="P188" s="73"/>
      <c r="Q188" s="73"/>
      <c r="R188" s="73"/>
      <c r="S188" s="73"/>
      <c r="T188" s="73"/>
      <c r="U188" s="73"/>
      <c r="V188" s="73"/>
      <c r="W188" s="73"/>
      <c r="X188" s="73"/>
      <c r="Y188" s="73"/>
      <c r="Z188" s="73"/>
      <c r="AA188" s="73"/>
      <c r="AB188" s="73"/>
    </row>
    <row r="189" spans="1:28" ht="15.75" customHeight="1">
      <c r="A189" s="73"/>
      <c r="B189" s="73"/>
      <c r="C189" s="127"/>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row>
    <row r="190" spans="1:28" ht="15.75" customHeight="1">
      <c r="A190" s="73"/>
      <c r="B190" s="73"/>
      <c r="C190" s="127"/>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row>
    <row r="191" spans="1:28" ht="15.75" customHeight="1">
      <c r="A191" s="73"/>
      <c r="B191" s="73"/>
      <c r="C191" s="127"/>
      <c r="D191" s="73"/>
      <c r="E191" s="73"/>
      <c r="F191" s="73"/>
      <c r="G191" s="73"/>
      <c r="H191" s="73"/>
      <c r="I191" s="73"/>
      <c r="J191" s="73"/>
      <c r="K191" s="73"/>
      <c r="L191" s="73"/>
      <c r="M191" s="73"/>
      <c r="N191" s="73"/>
      <c r="O191" s="73"/>
      <c r="P191" s="73"/>
      <c r="Q191" s="73"/>
      <c r="R191" s="73"/>
      <c r="S191" s="73"/>
      <c r="T191" s="73"/>
      <c r="U191" s="73"/>
      <c r="V191" s="73"/>
      <c r="W191" s="73"/>
      <c r="X191" s="73"/>
      <c r="Y191" s="73"/>
      <c r="Z191" s="73"/>
      <c r="AA191" s="73"/>
      <c r="AB191" s="73"/>
    </row>
    <row r="192" spans="1:28" ht="15.75" customHeight="1">
      <c r="A192" s="73"/>
      <c r="B192" s="73"/>
      <c r="C192" s="127"/>
      <c r="D192" s="73"/>
      <c r="E192" s="73"/>
      <c r="F192" s="73"/>
      <c r="G192" s="73"/>
      <c r="H192" s="73"/>
      <c r="I192" s="73"/>
      <c r="J192" s="73"/>
      <c r="K192" s="73"/>
      <c r="L192" s="73"/>
      <c r="M192" s="73"/>
      <c r="N192" s="73"/>
      <c r="O192" s="73"/>
      <c r="P192" s="73"/>
      <c r="Q192" s="73"/>
      <c r="R192" s="73"/>
      <c r="S192" s="73"/>
      <c r="T192" s="73"/>
      <c r="U192" s="73"/>
      <c r="V192" s="73"/>
      <c r="W192" s="73"/>
      <c r="X192" s="73"/>
      <c r="Y192" s="73"/>
      <c r="Z192" s="73"/>
      <c r="AA192" s="73"/>
      <c r="AB192" s="73"/>
    </row>
    <row r="193" spans="1:28" ht="15.75" customHeight="1">
      <c r="A193" s="73"/>
      <c r="B193" s="73"/>
      <c r="C193" s="127"/>
      <c r="D193" s="73"/>
      <c r="E193" s="73"/>
      <c r="F193" s="73"/>
      <c r="G193" s="73"/>
      <c r="H193" s="73"/>
      <c r="I193" s="73"/>
      <c r="J193" s="73"/>
      <c r="K193" s="73"/>
      <c r="L193" s="73"/>
      <c r="M193" s="73"/>
      <c r="N193" s="73"/>
      <c r="O193" s="73"/>
      <c r="P193" s="73"/>
      <c r="Q193" s="73"/>
      <c r="R193" s="73"/>
      <c r="S193" s="73"/>
      <c r="T193" s="73"/>
      <c r="U193" s="73"/>
      <c r="V193" s="73"/>
      <c r="W193" s="73"/>
      <c r="X193" s="73"/>
      <c r="Y193" s="73"/>
      <c r="Z193" s="73"/>
      <c r="AA193" s="73"/>
      <c r="AB193" s="73"/>
    </row>
    <row r="194" spans="1:28" ht="15.75" customHeight="1">
      <c r="A194" s="73"/>
      <c r="B194" s="73"/>
      <c r="C194" s="127"/>
      <c r="D194" s="73"/>
      <c r="E194" s="73"/>
      <c r="F194" s="73"/>
      <c r="G194" s="73"/>
      <c r="H194" s="73"/>
      <c r="I194" s="73"/>
      <c r="J194" s="73"/>
      <c r="K194" s="73"/>
      <c r="L194" s="73"/>
      <c r="M194" s="73"/>
      <c r="N194" s="73"/>
      <c r="O194" s="73"/>
      <c r="P194" s="73"/>
      <c r="Q194" s="73"/>
      <c r="R194" s="73"/>
      <c r="S194" s="73"/>
      <c r="T194" s="73"/>
      <c r="U194" s="73"/>
      <c r="V194" s="73"/>
      <c r="W194" s="73"/>
      <c r="X194" s="73"/>
      <c r="Y194" s="73"/>
      <c r="Z194" s="73"/>
      <c r="AA194" s="73"/>
      <c r="AB194" s="73"/>
    </row>
    <row r="195" spans="1:28" ht="15.75" customHeight="1">
      <c r="A195" s="73"/>
      <c r="B195" s="73"/>
      <c r="C195" s="127"/>
      <c r="D195" s="73"/>
      <c r="E195" s="73"/>
      <c r="F195" s="73"/>
      <c r="G195" s="73"/>
      <c r="H195" s="73"/>
      <c r="I195" s="73"/>
      <c r="J195" s="73"/>
      <c r="K195" s="73"/>
      <c r="L195" s="73"/>
      <c r="M195" s="73"/>
      <c r="N195" s="73"/>
      <c r="O195" s="73"/>
      <c r="P195" s="73"/>
      <c r="Q195" s="73"/>
      <c r="R195" s="73"/>
      <c r="S195" s="73"/>
      <c r="T195" s="73"/>
      <c r="U195" s="73"/>
      <c r="V195" s="73"/>
      <c r="W195" s="73"/>
      <c r="X195" s="73"/>
      <c r="Y195" s="73"/>
      <c r="Z195" s="73"/>
      <c r="AA195" s="73"/>
      <c r="AB195" s="73"/>
    </row>
    <row r="196" spans="1:28" ht="15.75" customHeight="1">
      <c r="A196" s="73"/>
      <c r="B196" s="73"/>
      <c r="C196" s="127"/>
      <c r="D196" s="73"/>
      <c r="E196" s="73"/>
      <c r="F196" s="73"/>
      <c r="G196" s="73"/>
      <c r="H196" s="73"/>
      <c r="I196" s="73"/>
      <c r="J196" s="73"/>
      <c r="K196" s="73"/>
      <c r="L196" s="73"/>
      <c r="M196" s="73"/>
      <c r="N196" s="73"/>
      <c r="O196" s="73"/>
      <c r="P196" s="73"/>
      <c r="Q196" s="73"/>
      <c r="R196" s="73"/>
      <c r="S196" s="73"/>
      <c r="T196" s="73"/>
      <c r="U196" s="73"/>
      <c r="V196" s="73"/>
      <c r="W196" s="73"/>
      <c r="X196" s="73"/>
      <c r="Y196" s="73"/>
      <c r="Z196" s="73"/>
      <c r="AA196" s="73"/>
      <c r="AB196" s="73"/>
    </row>
    <row r="197" spans="1:28" ht="15.75" customHeight="1">
      <c r="A197" s="73"/>
      <c r="B197" s="73"/>
      <c r="C197" s="127"/>
      <c r="D197" s="73"/>
      <c r="E197" s="73"/>
      <c r="F197" s="73"/>
      <c r="G197" s="73"/>
      <c r="H197" s="73"/>
      <c r="I197" s="73"/>
      <c r="J197" s="73"/>
      <c r="K197" s="73"/>
      <c r="L197" s="73"/>
      <c r="M197" s="73"/>
      <c r="N197" s="73"/>
      <c r="O197" s="73"/>
      <c r="P197" s="73"/>
      <c r="Q197" s="73"/>
      <c r="R197" s="73"/>
      <c r="S197" s="73"/>
      <c r="T197" s="73"/>
      <c r="U197" s="73"/>
      <c r="V197" s="73"/>
      <c r="W197" s="73"/>
      <c r="X197" s="73"/>
      <c r="Y197" s="73"/>
      <c r="Z197" s="73"/>
      <c r="AA197" s="73"/>
      <c r="AB197" s="73"/>
    </row>
    <row r="198" spans="1:28" ht="15.75" customHeight="1">
      <c r="A198" s="73"/>
      <c r="B198" s="73"/>
      <c r="C198" s="127"/>
      <c r="D198" s="73"/>
      <c r="E198" s="73"/>
      <c r="F198" s="73"/>
      <c r="G198" s="73"/>
      <c r="H198" s="73"/>
      <c r="I198" s="73"/>
      <c r="J198" s="73"/>
      <c r="K198" s="73"/>
      <c r="L198" s="73"/>
      <c r="M198" s="73"/>
      <c r="N198" s="73"/>
      <c r="O198" s="73"/>
      <c r="P198" s="73"/>
      <c r="Q198" s="73"/>
      <c r="R198" s="73"/>
      <c r="S198" s="73"/>
      <c r="T198" s="73"/>
      <c r="U198" s="73"/>
      <c r="V198" s="73"/>
      <c r="W198" s="73"/>
      <c r="X198" s="73"/>
      <c r="Y198" s="73"/>
      <c r="Z198" s="73"/>
      <c r="AA198" s="73"/>
      <c r="AB198" s="73"/>
    </row>
    <row r="199" spans="1:28" ht="15.75" customHeight="1">
      <c r="A199" s="73"/>
      <c r="B199" s="73"/>
      <c r="C199" s="127"/>
      <c r="D199" s="73"/>
      <c r="E199" s="73"/>
      <c r="F199" s="73"/>
      <c r="G199" s="73"/>
      <c r="H199" s="73"/>
      <c r="I199" s="73"/>
      <c r="J199" s="73"/>
      <c r="K199" s="73"/>
      <c r="L199" s="73"/>
      <c r="M199" s="73"/>
      <c r="N199" s="73"/>
      <c r="O199" s="73"/>
      <c r="P199" s="73"/>
      <c r="Q199" s="73"/>
      <c r="R199" s="73"/>
      <c r="S199" s="73"/>
      <c r="T199" s="73"/>
      <c r="U199" s="73"/>
      <c r="V199" s="73"/>
      <c r="W199" s="73"/>
      <c r="X199" s="73"/>
      <c r="Y199" s="73"/>
      <c r="Z199" s="73"/>
      <c r="AA199" s="73"/>
      <c r="AB199" s="73"/>
    </row>
    <row r="200" spans="1:28" ht="15.75" customHeight="1">
      <c r="A200" s="73"/>
      <c r="B200" s="73"/>
      <c r="C200" s="127"/>
      <c r="D200" s="73"/>
      <c r="E200" s="73"/>
      <c r="F200" s="73"/>
      <c r="G200" s="73"/>
      <c r="H200" s="73"/>
      <c r="I200" s="73"/>
      <c r="J200" s="73"/>
      <c r="K200" s="73"/>
      <c r="L200" s="73"/>
      <c r="M200" s="73"/>
      <c r="N200" s="73"/>
      <c r="O200" s="73"/>
      <c r="P200" s="73"/>
      <c r="Q200" s="73"/>
      <c r="R200" s="73"/>
      <c r="S200" s="73"/>
      <c r="T200" s="73"/>
      <c r="U200" s="73"/>
      <c r="V200" s="73"/>
      <c r="W200" s="73"/>
      <c r="X200" s="73"/>
      <c r="Y200" s="73"/>
      <c r="Z200" s="73"/>
      <c r="AA200" s="73"/>
      <c r="AB200" s="73"/>
    </row>
    <row r="201" spans="1:28" ht="15.75" customHeight="1">
      <c r="A201" s="73"/>
      <c r="B201" s="73"/>
      <c r="C201" s="127"/>
      <c r="D201" s="73"/>
      <c r="E201" s="73"/>
      <c r="F201" s="73"/>
      <c r="G201" s="73"/>
      <c r="H201" s="73"/>
      <c r="I201" s="73"/>
      <c r="J201" s="73"/>
      <c r="K201" s="73"/>
      <c r="L201" s="73"/>
      <c r="M201" s="73"/>
      <c r="N201" s="73"/>
      <c r="O201" s="73"/>
      <c r="P201" s="73"/>
      <c r="Q201" s="73"/>
      <c r="R201" s="73"/>
      <c r="S201" s="73"/>
      <c r="T201" s="73"/>
      <c r="U201" s="73"/>
      <c r="V201" s="73"/>
      <c r="W201" s="73"/>
      <c r="X201" s="73"/>
      <c r="Y201" s="73"/>
      <c r="Z201" s="73"/>
      <c r="AA201" s="73"/>
      <c r="AB201" s="73"/>
    </row>
    <row r="202" spans="1:28" ht="15.75" customHeight="1">
      <c r="A202" s="73"/>
      <c r="B202" s="73"/>
      <c r="C202" s="127"/>
      <c r="D202" s="73"/>
      <c r="E202" s="73"/>
      <c r="F202" s="73"/>
      <c r="G202" s="73"/>
      <c r="H202" s="73"/>
      <c r="I202" s="73"/>
      <c r="J202" s="73"/>
      <c r="K202" s="73"/>
      <c r="L202" s="73"/>
      <c r="M202" s="73"/>
      <c r="N202" s="73"/>
      <c r="O202" s="73"/>
      <c r="P202" s="73"/>
      <c r="Q202" s="73"/>
      <c r="R202" s="73"/>
      <c r="S202" s="73"/>
      <c r="T202" s="73"/>
      <c r="U202" s="73"/>
      <c r="V202" s="73"/>
      <c r="W202" s="73"/>
      <c r="X202" s="73"/>
      <c r="Y202" s="73"/>
      <c r="Z202" s="73"/>
      <c r="AA202" s="73"/>
      <c r="AB202" s="73"/>
    </row>
    <row r="203" spans="1:28" ht="15.75" customHeight="1">
      <c r="A203" s="73"/>
      <c r="B203" s="73"/>
      <c r="C203" s="127"/>
      <c r="D203" s="73"/>
      <c r="E203" s="73"/>
      <c r="F203" s="73"/>
      <c r="G203" s="73"/>
      <c r="H203" s="73"/>
      <c r="I203" s="73"/>
      <c r="J203" s="73"/>
      <c r="K203" s="73"/>
      <c r="L203" s="73"/>
      <c r="M203" s="73"/>
      <c r="N203" s="73"/>
      <c r="O203" s="73"/>
      <c r="P203" s="73"/>
      <c r="Q203" s="73"/>
      <c r="R203" s="73"/>
      <c r="S203" s="73"/>
      <c r="T203" s="73"/>
      <c r="U203" s="73"/>
      <c r="V203" s="73"/>
      <c r="W203" s="73"/>
      <c r="X203" s="73"/>
      <c r="Y203" s="73"/>
      <c r="Z203" s="73"/>
      <c r="AA203" s="73"/>
      <c r="AB203" s="73"/>
    </row>
    <row r="204" spans="1:28" ht="15.75" customHeight="1">
      <c r="A204" s="73"/>
      <c r="B204" s="73"/>
      <c r="C204" s="127"/>
      <c r="D204" s="73"/>
      <c r="E204" s="73"/>
      <c r="F204" s="73"/>
      <c r="G204" s="73"/>
      <c r="H204" s="73"/>
      <c r="I204" s="73"/>
      <c r="J204" s="73"/>
      <c r="K204" s="73"/>
      <c r="L204" s="73"/>
      <c r="M204" s="73"/>
      <c r="N204" s="73"/>
      <c r="O204" s="73"/>
      <c r="P204" s="73"/>
      <c r="Q204" s="73"/>
      <c r="R204" s="73"/>
      <c r="S204" s="73"/>
      <c r="T204" s="73"/>
      <c r="U204" s="73"/>
      <c r="V204" s="73"/>
      <c r="W204" s="73"/>
      <c r="X204" s="73"/>
      <c r="Y204" s="73"/>
      <c r="Z204" s="73"/>
      <c r="AA204" s="73"/>
      <c r="AB204" s="73"/>
    </row>
    <row r="205" spans="1:28" ht="15.75" customHeight="1">
      <c r="A205" s="73"/>
      <c r="B205" s="73"/>
      <c r="C205" s="127"/>
      <c r="D205" s="73"/>
      <c r="E205" s="73"/>
      <c r="F205" s="73"/>
      <c r="G205" s="73"/>
      <c r="H205" s="73"/>
      <c r="I205" s="73"/>
      <c r="J205" s="73"/>
      <c r="K205" s="73"/>
      <c r="L205" s="73"/>
      <c r="M205" s="73"/>
      <c r="N205" s="73"/>
      <c r="O205" s="73"/>
      <c r="P205" s="73"/>
      <c r="Q205" s="73"/>
      <c r="R205" s="73"/>
      <c r="S205" s="73"/>
      <c r="T205" s="73"/>
      <c r="U205" s="73"/>
      <c r="V205" s="73"/>
      <c r="W205" s="73"/>
      <c r="X205" s="73"/>
      <c r="Y205" s="73"/>
      <c r="Z205" s="73"/>
      <c r="AA205" s="73"/>
      <c r="AB205" s="73"/>
    </row>
    <row r="206" spans="1:28" ht="15.75" customHeight="1">
      <c r="A206" s="73"/>
      <c r="B206" s="73"/>
      <c r="C206" s="127"/>
      <c r="D206" s="73"/>
      <c r="E206" s="73"/>
      <c r="F206" s="73"/>
      <c r="G206" s="73"/>
      <c r="H206" s="73"/>
      <c r="I206" s="73"/>
      <c r="J206" s="73"/>
      <c r="K206" s="73"/>
      <c r="L206" s="73"/>
      <c r="M206" s="73"/>
      <c r="N206" s="73"/>
      <c r="O206" s="73"/>
      <c r="P206" s="73"/>
      <c r="Q206" s="73"/>
      <c r="R206" s="73"/>
      <c r="S206" s="73"/>
      <c r="T206" s="73"/>
      <c r="U206" s="73"/>
      <c r="V206" s="73"/>
      <c r="W206" s="73"/>
      <c r="X206" s="73"/>
      <c r="Y206" s="73"/>
      <c r="Z206" s="73"/>
      <c r="AA206" s="73"/>
      <c r="AB206" s="73"/>
    </row>
    <row r="207" spans="1:28" ht="15.75" customHeight="1">
      <c r="A207" s="73"/>
      <c r="B207" s="73"/>
      <c r="C207" s="127"/>
      <c r="D207" s="73"/>
      <c r="E207" s="73"/>
      <c r="F207" s="73"/>
      <c r="G207" s="73"/>
      <c r="H207" s="73"/>
      <c r="I207" s="73"/>
      <c r="J207" s="73"/>
      <c r="K207" s="73"/>
      <c r="L207" s="73"/>
      <c r="M207" s="73"/>
      <c r="N207" s="73"/>
      <c r="O207" s="73"/>
      <c r="P207" s="73"/>
      <c r="Q207" s="73"/>
      <c r="R207" s="73"/>
      <c r="S207" s="73"/>
      <c r="T207" s="73"/>
      <c r="U207" s="73"/>
      <c r="V207" s="73"/>
      <c r="W207" s="73"/>
      <c r="X207" s="73"/>
      <c r="Y207" s="73"/>
      <c r="Z207" s="73"/>
      <c r="AA207" s="73"/>
      <c r="AB207" s="73"/>
    </row>
    <row r="208" spans="1:28" ht="15.75" customHeight="1">
      <c r="A208" s="73"/>
      <c r="B208" s="73"/>
      <c r="C208" s="127"/>
      <c r="D208" s="73"/>
      <c r="E208" s="73"/>
      <c r="F208" s="73"/>
      <c r="G208" s="73"/>
      <c r="H208" s="73"/>
      <c r="I208" s="73"/>
      <c r="J208" s="73"/>
      <c r="K208" s="73"/>
      <c r="L208" s="73"/>
      <c r="M208" s="73"/>
      <c r="N208" s="73"/>
      <c r="O208" s="73"/>
      <c r="P208" s="73"/>
      <c r="Q208" s="73"/>
      <c r="R208" s="73"/>
      <c r="S208" s="73"/>
      <c r="T208" s="73"/>
      <c r="U208" s="73"/>
      <c r="V208" s="73"/>
      <c r="W208" s="73"/>
      <c r="X208" s="73"/>
      <c r="Y208" s="73"/>
      <c r="Z208" s="73"/>
      <c r="AA208" s="73"/>
      <c r="AB208" s="73"/>
    </row>
    <row r="209" spans="1:28" ht="15.75" customHeight="1">
      <c r="A209" s="73"/>
      <c r="B209" s="73"/>
      <c r="C209" s="127"/>
      <c r="D209" s="73"/>
      <c r="E209" s="73"/>
      <c r="F209" s="73"/>
      <c r="G209" s="73"/>
      <c r="H209" s="73"/>
      <c r="I209" s="73"/>
      <c r="J209" s="73"/>
      <c r="K209" s="73"/>
      <c r="L209" s="73"/>
      <c r="M209" s="73"/>
      <c r="N209" s="73"/>
      <c r="O209" s="73"/>
      <c r="P209" s="73"/>
      <c r="Q209" s="73"/>
      <c r="R209" s="73"/>
      <c r="S209" s="73"/>
      <c r="T209" s="73"/>
      <c r="U209" s="73"/>
      <c r="V209" s="73"/>
      <c r="W209" s="73"/>
      <c r="X209" s="73"/>
      <c r="Y209" s="73"/>
      <c r="Z209" s="73"/>
      <c r="AA209" s="73"/>
      <c r="AB209" s="73"/>
    </row>
    <row r="210" spans="1:28" ht="15.75" customHeight="1">
      <c r="A210" s="73"/>
      <c r="B210" s="73"/>
      <c r="C210" s="127"/>
      <c r="D210" s="73"/>
      <c r="E210" s="73"/>
      <c r="F210" s="73"/>
      <c r="G210" s="73"/>
      <c r="H210" s="73"/>
      <c r="I210" s="73"/>
      <c r="J210" s="73"/>
      <c r="K210" s="73"/>
      <c r="L210" s="73"/>
      <c r="M210" s="73"/>
      <c r="N210" s="73"/>
      <c r="O210" s="73"/>
      <c r="P210" s="73"/>
      <c r="Q210" s="73"/>
      <c r="R210" s="73"/>
      <c r="S210" s="73"/>
      <c r="T210" s="73"/>
      <c r="U210" s="73"/>
      <c r="V210" s="73"/>
      <c r="W210" s="73"/>
      <c r="X210" s="73"/>
      <c r="Y210" s="73"/>
      <c r="Z210" s="73"/>
      <c r="AA210" s="73"/>
      <c r="AB210" s="73"/>
    </row>
    <row r="211" spans="1:28" ht="15.75" customHeight="1">
      <c r="A211" s="73"/>
      <c r="B211" s="73"/>
      <c r="C211" s="127"/>
      <c r="D211" s="73"/>
      <c r="E211" s="73"/>
      <c r="F211" s="73"/>
      <c r="G211" s="73"/>
      <c r="H211" s="73"/>
      <c r="I211" s="73"/>
      <c r="J211" s="73"/>
      <c r="K211" s="73"/>
      <c r="L211" s="73"/>
      <c r="M211" s="73"/>
      <c r="N211" s="73"/>
      <c r="O211" s="73"/>
      <c r="P211" s="73"/>
      <c r="Q211" s="73"/>
      <c r="R211" s="73"/>
      <c r="S211" s="73"/>
      <c r="T211" s="73"/>
      <c r="U211" s="73"/>
      <c r="V211" s="73"/>
      <c r="W211" s="73"/>
      <c r="X211" s="73"/>
      <c r="Y211" s="73"/>
      <c r="Z211" s="73"/>
      <c r="AA211" s="73"/>
      <c r="AB211" s="73"/>
    </row>
    <row r="212" spans="1:28" ht="15.75" customHeight="1">
      <c r="A212" s="73"/>
      <c r="B212" s="73"/>
      <c r="C212" s="127"/>
      <c r="D212" s="73"/>
      <c r="E212" s="73"/>
      <c r="F212" s="73"/>
      <c r="G212" s="73"/>
      <c r="H212" s="73"/>
      <c r="I212" s="73"/>
      <c r="J212" s="73"/>
      <c r="K212" s="73"/>
      <c r="L212" s="73"/>
      <c r="M212" s="73"/>
      <c r="N212" s="73"/>
      <c r="O212" s="73"/>
      <c r="P212" s="73"/>
      <c r="Q212" s="73"/>
      <c r="R212" s="73"/>
      <c r="S212" s="73"/>
      <c r="T212" s="73"/>
      <c r="U212" s="73"/>
      <c r="V212" s="73"/>
      <c r="W212" s="73"/>
      <c r="X212" s="73"/>
      <c r="Y212" s="73"/>
      <c r="Z212" s="73"/>
      <c r="AA212" s="73"/>
      <c r="AB212" s="73"/>
    </row>
    <row r="213" spans="1:28" ht="15.75" customHeight="1">
      <c r="A213" s="73"/>
      <c r="B213" s="73"/>
      <c r="C213" s="127"/>
      <c r="D213" s="73"/>
      <c r="E213" s="73"/>
      <c r="F213" s="73"/>
      <c r="G213" s="73"/>
      <c r="H213" s="73"/>
      <c r="I213" s="73"/>
      <c r="J213" s="73"/>
      <c r="K213" s="73"/>
      <c r="L213" s="73"/>
      <c r="M213" s="73"/>
      <c r="N213" s="73"/>
      <c r="O213" s="73"/>
      <c r="P213" s="73"/>
      <c r="Q213" s="73"/>
      <c r="R213" s="73"/>
      <c r="S213" s="73"/>
      <c r="T213" s="73"/>
      <c r="U213" s="73"/>
      <c r="V213" s="73"/>
      <c r="W213" s="73"/>
      <c r="X213" s="73"/>
      <c r="Y213" s="73"/>
      <c r="Z213" s="73"/>
      <c r="AA213" s="73"/>
      <c r="AB213" s="73"/>
    </row>
    <row r="214" spans="1:28" ht="15.75" customHeight="1">
      <c r="A214" s="73"/>
      <c r="B214" s="73"/>
      <c r="C214" s="127"/>
      <c r="D214" s="73"/>
      <c r="E214" s="73"/>
      <c r="F214" s="73"/>
      <c r="G214" s="73"/>
      <c r="H214" s="73"/>
      <c r="I214" s="73"/>
      <c r="J214" s="73"/>
      <c r="K214" s="73"/>
      <c r="L214" s="73"/>
      <c r="M214" s="73"/>
      <c r="N214" s="73"/>
      <c r="O214" s="73"/>
      <c r="P214" s="73"/>
      <c r="Q214" s="73"/>
      <c r="R214" s="73"/>
      <c r="S214" s="73"/>
      <c r="T214" s="73"/>
      <c r="U214" s="73"/>
      <c r="V214" s="73"/>
      <c r="W214" s="73"/>
      <c r="X214" s="73"/>
      <c r="Y214" s="73"/>
      <c r="Z214" s="73"/>
      <c r="AA214" s="73"/>
      <c r="AB214" s="73"/>
    </row>
    <row r="215" spans="1:28" ht="15.75" customHeight="1">
      <c r="A215" s="73"/>
      <c r="B215" s="73"/>
      <c r="C215" s="127"/>
      <c r="D215" s="73"/>
      <c r="E215" s="73"/>
      <c r="F215" s="73"/>
      <c r="G215" s="73"/>
      <c r="H215" s="73"/>
      <c r="I215" s="73"/>
      <c r="J215" s="73"/>
      <c r="K215" s="73"/>
      <c r="L215" s="73"/>
      <c r="M215" s="73"/>
      <c r="N215" s="73"/>
      <c r="O215" s="73"/>
      <c r="P215" s="73"/>
      <c r="Q215" s="73"/>
      <c r="R215" s="73"/>
      <c r="S215" s="73"/>
      <c r="T215" s="73"/>
      <c r="U215" s="73"/>
      <c r="V215" s="73"/>
      <c r="W215" s="73"/>
      <c r="X215" s="73"/>
      <c r="Y215" s="73"/>
      <c r="Z215" s="73"/>
      <c r="AA215" s="73"/>
      <c r="AB215" s="73"/>
    </row>
    <row r="216" spans="1:28" ht="15.75" customHeight="1">
      <c r="A216" s="73"/>
      <c r="B216" s="73"/>
      <c r="C216" s="127"/>
      <c r="D216" s="73"/>
      <c r="E216" s="73"/>
      <c r="F216" s="73"/>
      <c r="G216" s="73"/>
      <c r="H216" s="73"/>
      <c r="I216" s="73"/>
      <c r="J216" s="73"/>
      <c r="K216" s="73"/>
      <c r="L216" s="73"/>
      <c r="M216" s="73"/>
      <c r="N216" s="73"/>
      <c r="O216" s="73"/>
      <c r="P216" s="73"/>
      <c r="Q216" s="73"/>
      <c r="R216" s="73"/>
      <c r="S216" s="73"/>
      <c r="T216" s="73"/>
      <c r="U216" s="73"/>
      <c r="V216" s="73"/>
      <c r="W216" s="73"/>
      <c r="X216" s="73"/>
      <c r="Y216" s="73"/>
      <c r="Z216" s="73"/>
      <c r="AA216" s="73"/>
      <c r="AB216" s="73"/>
    </row>
    <row r="217" spans="1:28" ht="15.75" customHeight="1">
      <c r="A217" s="73"/>
      <c r="B217" s="73"/>
      <c r="C217" s="127"/>
      <c r="D217" s="73"/>
      <c r="E217" s="73"/>
      <c r="F217" s="73"/>
      <c r="G217" s="73"/>
      <c r="H217" s="73"/>
      <c r="I217" s="73"/>
      <c r="J217" s="73"/>
      <c r="K217" s="73"/>
      <c r="L217" s="73"/>
      <c r="M217" s="73"/>
      <c r="N217" s="73"/>
      <c r="O217" s="73"/>
      <c r="P217" s="73"/>
      <c r="Q217" s="73"/>
      <c r="R217" s="73"/>
      <c r="S217" s="73"/>
      <c r="T217" s="73"/>
      <c r="U217" s="73"/>
      <c r="V217" s="73"/>
      <c r="W217" s="73"/>
      <c r="X217" s="73"/>
      <c r="Y217" s="73"/>
      <c r="Z217" s="73"/>
      <c r="AA217" s="73"/>
      <c r="AB217" s="73"/>
    </row>
    <row r="218" spans="1:28" ht="15.75" customHeight="1">
      <c r="A218" s="73"/>
      <c r="B218" s="73"/>
      <c r="C218" s="127"/>
      <c r="D218" s="73"/>
      <c r="E218" s="73"/>
      <c r="F218" s="73"/>
      <c r="G218" s="73"/>
      <c r="H218" s="73"/>
      <c r="I218" s="73"/>
      <c r="J218" s="73"/>
      <c r="K218" s="73"/>
      <c r="L218" s="73"/>
      <c r="M218" s="73"/>
      <c r="N218" s="73"/>
      <c r="O218" s="73"/>
      <c r="P218" s="73"/>
      <c r="Q218" s="73"/>
      <c r="R218" s="73"/>
      <c r="S218" s="73"/>
      <c r="T218" s="73"/>
      <c r="U218" s="73"/>
      <c r="V218" s="73"/>
      <c r="W218" s="73"/>
      <c r="X218" s="73"/>
      <c r="Y218" s="73"/>
      <c r="Z218" s="73"/>
      <c r="AA218" s="73"/>
      <c r="AB218" s="73"/>
    </row>
    <row r="219" spans="1:28" ht="15.75" customHeight="1">
      <c r="A219" s="73"/>
      <c r="B219" s="73"/>
      <c r="C219" s="127"/>
      <c r="D219" s="73"/>
      <c r="E219" s="73"/>
      <c r="F219" s="73"/>
      <c r="G219" s="73"/>
      <c r="H219" s="73"/>
      <c r="I219" s="73"/>
      <c r="J219" s="73"/>
      <c r="K219" s="73"/>
      <c r="L219" s="73"/>
      <c r="M219" s="73"/>
      <c r="N219" s="73"/>
      <c r="O219" s="73"/>
      <c r="P219" s="73"/>
      <c r="Q219" s="73"/>
      <c r="R219" s="73"/>
      <c r="S219" s="73"/>
      <c r="T219" s="73"/>
      <c r="U219" s="73"/>
      <c r="V219" s="73"/>
      <c r="W219" s="73"/>
      <c r="X219" s="73"/>
      <c r="Y219" s="73"/>
      <c r="Z219" s="73"/>
      <c r="AA219" s="73"/>
      <c r="AB219" s="73"/>
    </row>
    <row r="220" spans="1:28" ht="15.75" customHeight="1">
      <c r="A220" s="73"/>
      <c r="B220" s="73"/>
      <c r="C220" s="127"/>
      <c r="D220" s="73"/>
      <c r="E220" s="73"/>
      <c r="F220" s="73"/>
      <c r="G220" s="73"/>
      <c r="H220" s="73"/>
      <c r="I220" s="73"/>
      <c r="J220" s="73"/>
      <c r="K220" s="73"/>
      <c r="L220" s="73"/>
      <c r="M220" s="73"/>
      <c r="N220" s="73"/>
      <c r="O220" s="73"/>
      <c r="P220" s="73"/>
      <c r="Q220" s="73"/>
      <c r="R220" s="73"/>
      <c r="S220" s="73"/>
      <c r="T220" s="73"/>
      <c r="U220" s="73"/>
      <c r="V220" s="73"/>
      <c r="W220" s="73"/>
      <c r="X220" s="73"/>
      <c r="Y220" s="73"/>
      <c r="Z220" s="73"/>
      <c r="AA220" s="73"/>
      <c r="AB220" s="73"/>
    </row>
    <row r="221" spans="1:28" ht="15.75" customHeight="1">
      <c r="A221" s="73"/>
      <c r="B221" s="73"/>
      <c r="C221" s="127"/>
      <c r="D221" s="73"/>
      <c r="E221" s="73"/>
      <c r="F221" s="73"/>
      <c r="G221" s="73"/>
      <c r="H221" s="73"/>
      <c r="I221" s="73"/>
      <c r="J221" s="73"/>
      <c r="K221" s="73"/>
      <c r="L221" s="73"/>
      <c r="M221" s="73"/>
      <c r="N221" s="73"/>
      <c r="O221" s="73"/>
      <c r="P221" s="73"/>
      <c r="Q221" s="73"/>
      <c r="R221" s="73"/>
      <c r="S221" s="73"/>
      <c r="T221" s="73"/>
      <c r="U221" s="73"/>
      <c r="V221" s="73"/>
      <c r="W221" s="73"/>
      <c r="X221" s="73"/>
      <c r="Y221" s="73"/>
      <c r="Z221" s="73"/>
      <c r="AA221" s="73"/>
      <c r="AB221" s="73"/>
    </row>
    <row r="222" spans="1:28" ht="15.75" customHeight="1">
      <c r="A222" s="73"/>
      <c r="B222" s="73"/>
      <c r="C222" s="127"/>
      <c r="D222" s="73"/>
      <c r="E222" s="73"/>
      <c r="F222" s="73"/>
      <c r="G222" s="73"/>
      <c r="H222" s="73"/>
      <c r="I222" s="73"/>
      <c r="J222" s="73"/>
      <c r="K222" s="73"/>
      <c r="L222" s="73"/>
      <c r="M222" s="73"/>
      <c r="N222" s="73"/>
      <c r="O222" s="73"/>
      <c r="P222" s="73"/>
      <c r="Q222" s="73"/>
      <c r="R222" s="73"/>
      <c r="S222" s="73"/>
      <c r="T222" s="73"/>
      <c r="U222" s="73"/>
      <c r="V222" s="73"/>
      <c r="W222" s="73"/>
      <c r="X222" s="73"/>
      <c r="Y222" s="73"/>
      <c r="Z222" s="73"/>
      <c r="AA222" s="73"/>
      <c r="AB222" s="73"/>
    </row>
    <row r="223" spans="1:28" ht="15.75" customHeight="1">
      <c r="A223" s="73"/>
      <c r="B223" s="73"/>
      <c r="C223" s="127"/>
      <c r="D223" s="73"/>
      <c r="E223" s="73"/>
      <c r="F223" s="73"/>
      <c r="G223" s="73"/>
      <c r="H223" s="73"/>
      <c r="I223" s="73"/>
      <c r="J223" s="73"/>
      <c r="K223" s="73"/>
      <c r="L223" s="73"/>
      <c r="M223" s="73"/>
      <c r="N223" s="73"/>
      <c r="O223" s="73"/>
      <c r="P223" s="73"/>
      <c r="Q223" s="73"/>
      <c r="R223" s="73"/>
      <c r="S223" s="73"/>
      <c r="T223" s="73"/>
      <c r="U223" s="73"/>
      <c r="V223" s="73"/>
      <c r="W223" s="73"/>
      <c r="X223" s="73"/>
      <c r="Y223" s="73"/>
      <c r="Z223" s="73"/>
      <c r="AA223" s="73"/>
      <c r="AB223" s="73"/>
    </row>
    <row r="224" spans="1:28" ht="15.75" customHeight="1">
      <c r="A224" s="73"/>
      <c r="B224" s="73"/>
      <c r="C224" s="127"/>
      <c r="D224" s="73"/>
      <c r="E224" s="73"/>
      <c r="F224" s="73"/>
      <c r="G224" s="73"/>
      <c r="H224" s="73"/>
      <c r="I224" s="73"/>
      <c r="J224" s="73"/>
      <c r="K224" s="73"/>
      <c r="L224" s="73"/>
      <c r="M224" s="73"/>
      <c r="N224" s="73"/>
      <c r="O224" s="73"/>
      <c r="P224" s="73"/>
      <c r="Q224" s="73"/>
      <c r="R224" s="73"/>
      <c r="S224" s="73"/>
      <c r="T224" s="73"/>
      <c r="U224" s="73"/>
      <c r="V224" s="73"/>
      <c r="W224" s="73"/>
      <c r="X224" s="73"/>
      <c r="Y224" s="73"/>
      <c r="Z224" s="73"/>
      <c r="AA224" s="73"/>
      <c r="AB224" s="73"/>
    </row>
    <row r="225" spans="1:28" ht="15.75" customHeight="1">
      <c r="A225" s="73"/>
      <c r="B225" s="73"/>
      <c r="C225" s="127"/>
      <c r="D225" s="73"/>
      <c r="E225" s="73"/>
      <c r="F225" s="73"/>
      <c r="G225" s="73"/>
      <c r="H225" s="73"/>
      <c r="I225" s="73"/>
      <c r="J225" s="73"/>
      <c r="K225" s="73"/>
      <c r="L225" s="73"/>
      <c r="M225" s="73"/>
      <c r="N225" s="73"/>
      <c r="O225" s="73"/>
      <c r="P225" s="73"/>
      <c r="Q225" s="73"/>
      <c r="R225" s="73"/>
      <c r="S225" s="73"/>
      <c r="T225" s="73"/>
      <c r="U225" s="73"/>
      <c r="V225" s="73"/>
      <c r="W225" s="73"/>
      <c r="X225" s="73"/>
      <c r="Y225" s="73"/>
      <c r="Z225" s="73"/>
      <c r="AA225" s="73"/>
      <c r="AB225" s="73"/>
    </row>
    <row r="226" spans="1:28" ht="15.75" customHeight="1">
      <c r="A226" s="73"/>
      <c r="B226" s="73"/>
      <c r="C226" s="127"/>
      <c r="D226" s="73"/>
      <c r="E226" s="73"/>
      <c r="F226" s="73"/>
      <c r="G226" s="73"/>
      <c r="H226" s="73"/>
      <c r="I226" s="73"/>
      <c r="J226" s="73"/>
      <c r="K226" s="73"/>
      <c r="L226" s="73"/>
      <c r="M226" s="73"/>
      <c r="N226" s="73"/>
      <c r="O226" s="73"/>
      <c r="P226" s="73"/>
      <c r="Q226" s="73"/>
      <c r="R226" s="73"/>
      <c r="S226" s="73"/>
      <c r="T226" s="73"/>
      <c r="U226" s="73"/>
      <c r="V226" s="73"/>
      <c r="W226" s="73"/>
      <c r="X226" s="73"/>
      <c r="Y226" s="73"/>
      <c r="Z226" s="73"/>
      <c r="AA226" s="73"/>
      <c r="AB226" s="73"/>
    </row>
    <row r="227" spans="1:28" ht="15.75" customHeight="1">
      <c r="A227" s="73"/>
      <c r="B227" s="73"/>
      <c r="C227" s="127"/>
      <c r="D227" s="73"/>
      <c r="E227" s="73"/>
      <c r="F227" s="73"/>
      <c r="G227" s="73"/>
      <c r="H227" s="73"/>
      <c r="I227" s="73"/>
      <c r="J227" s="73"/>
      <c r="K227" s="73"/>
      <c r="L227" s="73"/>
      <c r="M227" s="73"/>
      <c r="N227" s="73"/>
      <c r="O227" s="73"/>
      <c r="P227" s="73"/>
      <c r="Q227" s="73"/>
      <c r="R227" s="73"/>
      <c r="S227" s="73"/>
      <c r="T227" s="73"/>
      <c r="U227" s="73"/>
      <c r="V227" s="73"/>
      <c r="W227" s="73"/>
      <c r="X227" s="73"/>
      <c r="Y227" s="73"/>
      <c r="Z227" s="73"/>
      <c r="AA227" s="73"/>
      <c r="AB227" s="73"/>
    </row>
    <row r="228" spans="1:28" ht="15.75" customHeight="1">
      <c r="A228" s="73"/>
      <c r="B228" s="73"/>
      <c r="C228" s="127"/>
      <c r="D228" s="73"/>
      <c r="E228" s="73"/>
      <c r="F228" s="73"/>
      <c r="G228" s="73"/>
      <c r="H228" s="73"/>
      <c r="I228" s="73"/>
      <c r="J228" s="73"/>
      <c r="K228" s="73"/>
      <c r="L228" s="73"/>
      <c r="M228" s="73"/>
      <c r="N228" s="73"/>
      <c r="O228" s="73"/>
      <c r="P228" s="73"/>
      <c r="Q228" s="73"/>
      <c r="R228" s="73"/>
      <c r="S228" s="73"/>
      <c r="T228" s="73"/>
      <c r="U228" s="73"/>
      <c r="V228" s="73"/>
      <c r="W228" s="73"/>
      <c r="X228" s="73"/>
      <c r="Y228" s="73"/>
      <c r="Z228" s="73"/>
      <c r="AA228" s="73"/>
      <c r="AB228" s="73"/>
    </row>
    <row r="229" spans="1:28" ht="15.75" customHeight="1">
      <c r="A229" s="73"/>
      <c r="B229" s="73"/>
      <c r="C229" s="127"/>
      <c r="D229" s="73"/>
      <c r="E229" s="73"/>
      <c r="F229" s="73"/>
      <c r="G229" s="73"/>
      <c r="H229" s="73"/>
      <c r="I229" s="73"/>
      <c r="J229" s="73"/>
      <c r="K229" s="73"/>
      <c r="L229" s="73"/>
      <c r="M229" s="73"/>
      <c r="N229" s="73"/>
      <c r="O229" s="73"/>
      <c r="P229" s="73"/>
      <c r="Q229" s="73"/>
      <c r="R229" s="73"/>
      <c r="S229" s="73"/>
      <c r="T229" s="73"/>
      <c r="U229" s="73"/>
      <c r="V229" s="73"/>
      <c r="W229" s="73"/>
      <c r="X229" s="73"/>
      <c r="Y229" s="73"/>
      <c r="Z229" s="73"/>
      <c r="AA229" s="73"/>
      <c r="AB229" s="73"/>
    </row>
    <row r="230" spans="1:28" ht="15.75" customHeight="1">
      <c r="A230" s="73"/>
      <c r="B230" s="73"/>
      <c r="C230" s="127"/>
      <c r="D230" s="73"/>
      <c r="E230" s="73"/>
      <c r="F230" s="73"/>
      <c r="G230" s="73"/>
      <c r="H230" s="73"/>
      <c r="I230" s="73"/>
      <c r="J230" s="73"/>
      <c r="K230" s="73"/>
      <c r="L230" s="73"/>
      <c r="M230" s="73"/>
      <c r="N230" s="73"/>
      <c r="O230" s="73"/>
      <c r="P230" s="73"/>
      <c r="Q230" s="73"/>
      <c r="R230" s="73"/>
      <c r="S230" s="73"/>
      <c r="T230" s="73"/>
      <c r="U230" s="73"/>
      <c r="V230" s="73"/>
      <c r="W230" s="73"/>
      <c r="X230" s="73"/>
      <c r="Y230" s="73"/>
      <c r="Z230" s="73"/>
      <c r="AA230" s="73"/>
      <c r="AB230" s="73"/>
    </row>
    <row r="231" spans="1:28" ht="15.75" customHeight="1">
      <c r="A231" s="73"/>
      <c r="B231" s="73"/>
      <c r="C231" s="127"/>
      <c r="D231" s="73"/>
      <c r="E231" s="73"/>
      <c r="F231" s="73"/>
      <c r="G231" s="73"/>
      <c r="H231" s="73"/>
      <c r="I231" s="73"/>
      <c r="J231" s="73"/>
      <c r="K231" s="73"/>
      <c r="L231" s="73"/>
      <c r="M231" s="73"/>
      <c r="N231" s="73"/>
      <c r="O231" s="73"/>
      <c r="P231" s="73"/>
      <c r="Q231" s="73"/>
      <c r="R231" s="73"/>
      <c r="S231" s="73"/>
      <c r="T231" s="73"/>
      <c r="U231" s="73"/>
      <c r="V231" s="73"/>
      <c r="W231" s="73"/>
      <c r="X231" s="73"/>
      <c r="Y231" s="73"/>
      <c r="Z231" s="73"/>
      <c r="AA231" s="73"/>
      <c r="AB231" s="73"/>
    </row>
    <row r="232" spans="1:28" ht="15.75" customHeight="1">
      <c r="A232" s="73"/>
      <c r="B232" s="73"/>
      <c r="C232" s="127"/>
      <c r="D232" s="73"/>
      <c r="E232" s="73"/>
      <c r="F232" s="73"/>
      <c r="G232" s="73"/>
      <c r="H232" s="73"/>
      <c r="I232" s="73"/>
      <c r="J232" s="73"/>
      <c r="K232" s="73"/>
      <c r="L232" s="73"/>
      <c r="M232" s="73"/>
      <c r="N232" s="73"/>
      <c r="O232" s="73"/>
      <c r="P232" s="73"/>
      <c r="Q232" s="73"/>
      <c r="R232" s="73"/>
      <c r="S232" s="73"/>
      <c r="T232" s="73"/>
      <c r="U232" s="73"/>
      <c r="V232" s="73"/>
      <c r="W232" s="73"/>
      <c r="X232" s="73"/>
      <c r="Y232" s="73"/>
      <c r="Z232" s="73"/>
      <c r="AA232" s="73"/>
      <c r="AB232" s="73"/>
    </row>
    <row r="233" spans="1:28" ht="15.75" customHeight="1">
      <c r="A233" s="73"/>
      <c r="B233" s="73"/>
      <c r="C233" s="127"/>
      <c r="D233" s="73"/>
      <c r="E233" s="73"/>
      <c r="F233" s="73"/>
      <c r="G233" s="73"/>
      <c r="H233" s="73"/>
      <c r="I233" s="73"/>
      <c r="J233" s="73"/>
      <c r="K233" s="73"/>
      <c r="L233" s="73"/>
      <c r="M233" s="73"/>
      <c r="N233" s="73"/>
      <c r="O233" s="73"/>
      <c r="P233" s="73"/>
      <c r="Q233" s="73"/>
      <c r="R233" s="73"/>
      <c r="S233" s="73"/>
      <c r="T233" s="73"/>
      <c r="U233" s="73"/>
      <c r="V233" s="73"/>
      <c r="W233" s="73"/>
      <c r="X233" s="73"/>
      <c r="Y233" s="73"/>
      <c r="Z233" s="73"/>
      <c r="AA233" s="73"/>
      <c r="AB233" s="73"/>
    </row>
    <row r="234" spans="1:28" ht="15.75" customHeight="1">
      <c r="A234" s="73"/>
      <c r="B234" s="73"/>
      <c r="C234" s="127"/>
      <c r="D234" s="73"/>
      <c r="E234" s="73"/>
      <c r="F234" s="73"/>
      <c r="G234" s="73"/>
      <c r="H234" s="73"/>
      <c r="I234" s="73"/>
      <c r="J234" s="73"/>
      <c r="K234" s="73"/>
      <c r="L234" s="73"/>
      <c r="M234" s="73"/>
      <c r="N234" s="73"/>
      <c r="O234" s="73"/>
      <c r="P234" s="73"/>
      <c r="Q234" s="73"/>
      <c r="R234" s="73"/>
      <c r="S234" s="73"/>
      <c r="T234" s="73"/>
      <c r="U234" s="73"/>
      <c r="V234" s="73"/>
      <c r="W234" s="73"/>
      <c r="X234" s="73"/>
      <c r="Y234" s="73"/>
      <c r="Z234" s="73"/>
      <c r="AA234" s="73"/>
      <c r="AB234" s="73"/>
    </row>
    <row r="235" spans="1:28" ht="15.75" customHeight="1">
      <c r="A235" s="73"/>
      <c r="B235" s="73"/>
      <c r="C235" s="127"/>
      <c r="D235" s="73"/>
      <c r="E235" s="73"/>
      <c r="F235" s="73"/>
      <c r="G235" s="73"/>
      <c r="H235" s="73"/>
      <c r="I235" s="73"/>
      <c r="J235" s="73"/>
      <c r="K235" s="73"/>
      <c r="L235" s="73"/>
      <c r="M235" s="73"/>
      <c r="N235" s="73"/>
      <c r="O235" s="73"/>
      <c r="P235" s="73"/>
      <c r="Q235" s="73"/>
      <c r="R235" s="73"/>
      <c r="S235" s="73"/>
      <c r="T235" s="73"/>
      <c r="U235" s="73"/>
      <c r="V235" s="73"/>
      <c r="W235" s="73"/>
      <c r="X235" s="73"/>
      <c r="Y235" s="73"/>
      <c r="Z235" s="73"/>
      <c r="AA235" s="73"/>
      <c r="AB235" s="73"/>
    </row>
    <row r="236" spans="1:28" ht="15.75" customHeight="1"/>
    <row r="237" spans="1:28" ht="15.75" customHeight="1"/>
    <row r="238" spans="1:28" ht="15.75" customHeight="1"/>
    <row r="239" spans="1:28" ht="15.75" customHeight="1"/>
    <row r="240" spans="1:28"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31:C31"/>
    <mergeCell ref="B33:C33"/>
    <mergeCell ref="B35:C35"/>
    <mergeCell ref="B1:K1"/>
    <mergeCell ref="M1:N1"/>
    <mergeCell ref="M4:N4"/>
    <mergeCell ref="M5:N5"/>
    <mergeCell ref="M10:M11"/>
    <mergeCell ref="B26:C26"/>
    <mergeCell ref="B29:C29"/>
  </mergeCells>
  <pageMargins left="0.7" right="0.7" top="0.75" bottom="0.75" header="0" footer="0"/>
  <pageSetup orientation="portrait"/>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Q1000"/>
  <sheetViews>
    <sheetView showGridLines="0" workbookViewId="0"/>
  </sheetViews>
  <sheetFormatPr baseColWidth="10" defaultColWidth="14.44140625" defaultRowHeight="15" customHeight="1" outlineLevelCol="1"/>
  <cols>
    <col min="1" max="4" width="1.6640625" customWidth="1"/>
    <col min="5" max="5" width="4" customWidth="1"/>
    <col min="6" max="6" width="3.33203125" customWidth="1"/>
    <col min="7" max="7" width="7.6640625" customWidth="1"/>
    <col min="8" max="8" width="11.44140625" customWidth="1"/>
    <col min="9" max="9" width="20" customWidth="1"/>
    <col min="10" max="10" width="15.33203125" customWidth="1"/>
    <col min="11" max="11" width="17" customWidth="1"/>
    <col min="12" max="12" width="4.44140625" customWidth="1"/>
    <col min="13" max="13" width="17.44140625" hidden="1" customWidth="1"/>
    <col min="14" max="14" width="15.33203125" hidden="1" customWidth="1" outlineLevel="1"/>
    <col min="15" max="15" width="15.6640625" hidden="1" customWidth="1" outlineLevel="1"/>
    <col min="16" max="16" width="23.88671875" customWidth="1"/>
    <col min="17" max="20" width="18.44140625" customWidth="1"/>
    <col min="21" max="21" width="20.109375" customWidth="1"/>
    <col min="22" max="22" width="13.6640625" customWidth="1"/>
    <col min="23" max="23" width="5.6640625" customWidth="1"/>
    <col min="24" max="25" width="11.44140625" customWidth="1"/>
    <col min="26" max="26" width="2.33203125" customWidth="1"/>
    <col min="27" max="27" width="18.44140625" hidden="1" customWidth="1"/>
    <col min="28" max="28" width="18.33203125" hidden="1" customWidth="1"/>
    <col min="29" max="30" width="18.44140625" hidden="1" customWidth="1"/>
    <col min="31" max="31" width="16.6640625" hidden="1" customWidth="1"/>
    <col min="32" max="32" width="18.33203125" hidden="1" customWidth="1"/>
    <col min="33" max="33" width="1.6640625" hidden="1" customWidth="1"/>
    <col min="34" max="37" width="11.44140625" hidden="1" customWidth="1"/>
    <col min="38" max="38" width="7.6640625" hidden="1" customWidth="1"/>
    <col min="39" max="39" width="12.6640625" customWidth="1"/>
    <col min="40" max="40" width="22.44140625" customWidth="1"/>
    <col min="41" max="41" width="4.44140625" customWidth="1"/>
    <col min="42" max="42" width="17.44140625" customWidth="1"/>
    <col min="43" max="43" width="20.33203125" customWidth="1"/>
    <col min="44" max="44" width="28" customWidth="1"/>
    <col min="45" max="45" width="23.33203125" customWidth="1"/>
    <col min="46" max="46" width="23.44140625" customWidth="1"/>
    <col min="47" max="47" width="19" customWidth="1"/>
    <col min="48" max="48" width="3" customWidth="1"/>
    <col min="49" max="49" width="21.44140625" customWidth="1"/>
    <col min="50" max="50" width="14.109375" customWidth="1"/>
    <col min="51" max="51" width="18.6640625" customWidth="1"/>
    <col min="52" max="52" width="11.44140625" customWidth="1"/>
    <col min="53" max="53" width="5.33203125" customWidth="1"/>
    <col min="54" max="54" width="4" customWidth="1"/>
    <col min="55" max="56" width="11.44140625" customWidth="1"/>
    <col min="57" max="57" width="2.6640625" customWidth="1"/>
    <col min="58" max="58" width="15" customWidth="1"/>
    <col min="59" max="59" width="14" customWidth="1"/>
    <col min="60" max="60" width="13.44140625" customWidth="1"/>
    <col min="61" max="62" width="16.6640625" customWidth="1"/>
    <col min="63" max="63" width="16.44140625" customWidth="1"/>
    <col min="64" max="64" width="2.33203125" customWidth="1"/>
    <col min="65" max="69" width="11.44140625" customWidth="1"/>
  </cols>
  <sheetData>
    <row r="1" spans="1:69" ht="14.25" customHeight="1">
      <c r="A1" s="128"/>
      <c r="B1" s="128"/>
      <c r="C1" s="128"/>
      <c r="D1" s="128"/>
      <c r="E1" s="128"/>
      <c r="F1" s="128"/>
      <c r="G1" s="128"/>
      <c r="H1" s="128"/>
      <c r="I1" s="128"/>
      <c r="J1" s="128"/>
      <c r="K1" s="128"/>
      <c r="L1" s="128"/>
      <c r="M1" s="128"/>
      <c r="N1" s="128"/>
      <c r="O1" s="128"/>
      <c r="P1" s="128"/>
      <c r="Q1" s="128"/>
      <c r="R1" s="128"/>
      <c r="S1" s="128"/>
      <c r="T1" s="128"/>
      <c r="U1" s="128"/>
      <c r="V1" s="128"/>
      <c r="W1" s="128"/>
      <c r="X1" s="51"/>
      <c r="Y1" s="128"/>
      <c r="Z1" s="128"/>
      <c r="AA1" s="128"/>
      <c r="AB1" s="128"/>
      <c r="AC1" s="128"/>
      <c r="AD1" s="128"/>
      <c r="AE1" s="128"/>
      <c r="AF1" s="128"/>
      <c r="AG1" s="128"/>
      <c r="AH1" s="128"/>
      <c r="AI1" s="128"/>
      <c r="AJ1" s="128"/>
      <c r="AK1" s="128"/>
      <c r="AL1" s="128"/>
      <c r="AM1" s="128"/>
      <c r="AN1" s="128"/>
      <c r="AO1" s="128"/>
      <c r="AP1" s="128"/>
      <c r="AQ1" s="128"/>
      <c r="AR1" s="128"/>
      <c r="AS1" s="128"/>
      <c r="AT1" s="128"/>
      <c r="AU1" s="128"/>
      <c r="AV1" s="128"/>
      <c r="AW1" s="128"/>
      <c r="AX1" s="128"/>
      <c r="AY1" s="128"/>
      <c r="AZ1" s="128"/>
      <c r="BA1" s="128"/>
      <c r="BB1" s="128"/>
      <c r="BC1" s="128"/>
      <c r="BD1" s="128"/>
      <c r="BE1" s="128"/>
      <c r="BF1" s="128"/>
      <c r="BG1" s="128"/>
      <c r="BH1" s="128"/>
      <c r="BI1" s="128"/>
      <c r="BJ1" s="128"/>
      <c r="BK1" s="128"/>
      <c r="BL1" s="128"/>
      <c r="BM1" s="128"/>
      <c r="BN1" s="128"/>
      <c r="BO1" s="128"/>
      <c r="BP1" s="128"/>
      <c r="BQ1" s="128"/>
    </row>
    <row r="2" spans="1:69" ht="14.25" customHeight="1">
      <c r="A2" s="128"/>
      <c r="B2" s="128"/>
      <c r="C2" s="128"/>
      <c r="D2" s="128"/>
      <c r="E2" s="128"/>
      <c r="F2" s="522"/>
      <c r="G2" s="836"/>
      <c r="H2" s="836"/>
      <c r="I2" s="836"/>
      <c r="J2" s="837"/>
      <c r="K2" s="836"/>
      <c r="L2" s="836"/>
      <c r="M2" s="836"/>
      <c r="N2" s="836"/>
      <c r="O2" s="836"/>
      <c r="P2" s="836"/>
      <c r="Q2" s="836"/>
      <c r="R2" s="836"/>
      <c r="S2" s="836"/>
      <c r="T2" s="836"/>
      <c r="U2" s="836"/>
      <c r="V2" s="836"/>
      <c r="W2" s="838"/>
      <c r="X2" s="839" t="s">
        <v>469</v>
      </c>
      <c r="Y2" s="840"/>
      <c r="Z2" s="836"/>
      <c r="AA2" s="836"/>
      <c r="AB2" s="836"/>
      <c r="AC2" s="836"/>
      <c r="AD2" s="836"/>
      <c r="AE2" s="836"/>
      <c r="AF2" s="836"/>
      <c r="AG2" s="841"/>
      <c r="AH2" s="842"/>
      <c r="AI2" s="842"/>
      <c r="AJ2" s="842"/>
      <c r="AK2" s="842"/>
      <c r="AL2" s="842"/>
      <c r="AM2" s="836"/>
      <c r="AN2" s="836"/>
      <c r="AO2" s="836"/>
      <c r="AP2" s="836"/>
      <c r="AQ2" s="836"/>
      <c r="AR2" s="836"/>
      <c r="AS2" s="836"/>
      <c r="AT2" s="836"/>
      <c r="AU2" s="836"/>
      <c r="AV2" s="841"/>
      <c r="AW2" s="842"/>
      <c r="AX2" s="842"/>
      <c r="AY2" s="842"/>
      <c r="AZ2" s="842"/>
      <c r="BA2" s="842"/>
      <c r="BB2" s="836"/>
      <c r="BC2" s="836"/>
      <c r="BD2" s="836"/>
      <c r="BE2" s="836"/>
      <c r="BF2" s="836"/>
      <c r="BG2" s="836"/>
      <c r="BH2" s="836"/>
      <c r="BI2" s="836"/>
      <c r="BJ2" s="836"/>
      <c r="BK2" s="836"/>
      <c r="BL2" s="841"/>
      <c r="BM2" s="842"/>
      <c r="BN2" s="842"/>
      <c r="BO2" s="842"/>
      <c r="BP2" s="842"/>
      <c r="BQ2" s="843"/>
    </row>
    <row r="3" spans="1:69" ht="21" customHeight="1">
      <c r="A3" s="128"/>
      <c r="B3" s="128"/>
      <c r="C3" s="128"/>
      <c r="D3" s="128"/>
      <c r="E3" s="128"/>
      <c r="F3" s="844"/>
      <c r="G3" s="845"/>
      <c r="H3" s="845"/>
      <c r="I3" s="845"/>
      <c r="J3" s="846"/>
      <c r="K3" s="846"/>
      <c r="L3" s="846"/>
      <c r="M3" s="846"/>
      <c r="N3" s="846"/>
      <c r="O3" s="846"/>
      <c r="P3" s="1450" t="s">
        <v>470</v>
      </c>
      <c r="Q3" s="1334"/>
      <c r="R3" s="1334"/>
      <c r="S3" s="1334"/>
      <c r="T3" s="1334"/>
      <c r="U3" s="1334"/>
      <c r="V3" s="846"/>
      <c r="W3" s="847"/>
      <c r="X3" s="848">
        <f>'Expected Growth25'!E66</f>
        <v>1.9599999999999999E-2</v>
      </c>
      <c r="Y3" s="849"/>
      <c r="Z3" s="846"/>
      <c r="AA3" s="846"/>
      <c r="AB3" s="846"/>
      <c r="AC3" s="846" t="s">
        <v>471</v>
      </c>
      <c r="AD3" s="846"/>
      <c r="AE3" s="846"/>
      <c r="AF3" s="846"/>
      <c r="AG3" s="235"/>
      <c r="AH3" s="128"/>
      <c r="AI3" s="128"/>
      <c r="AJ3" s="128"/>
      <c r="AK3" s="128"/>
      <c r="AL3" s="128"/>
      <c r="AM3" s="846"/>
      <c r="AN3" s="846"/>
      <c r="AO3" s="846"/>
      <c r="AP3" s="846"/>
      <c r="AQ3" s="846"/>
      <c r="AR3" s="846"/>
      <c r="AS3" s="846"/>
      <c r="AT3" s="846"/>
      <c r="AU3" s="846"/>
      <c r="AV3" s="235"/>
      <c r="AW3" s="128"/>
      <c r="AX3" s="128"/>
      <c r="AY3" s="128"/>
      <c r="AZ3" s="128"/>
      <c r="BA3" s="128"/>
      <c r="BB3" s="846"/>
      <c r="BC3" s="846"/>
      <c r="BD3" s="846"/>
      <c r="BE3" s="846"/>
      <c r="BF3" s="846"/>
      <c r="BG3" s="846" t="s">
        <v>472</v>
      </c>
      <c r="BH3" s="846"/>
      <c r="BI3" s="846"/>
      <c r="BJ3" s="846"/>
      <c r="BK3" s="846"/>
      <c r="BL3" s="235"/>
      <c r="BM3" s="128"/>
      <c r="BN3" s="128"/>
      <c r="BO3" s="128"/>
      <c r="BP3" s="128"/>
      <c r="BQ3" s="850"/>
    </row>
    <row r="4" spans="1:69" ht="21" customHeight="1">
      <c r="A4" s="128"/>
      <c r="B4" s="128"/>
      <c r="C4" s="128"/>
      <c r="D4" s="128"/>
      <c r="E4" s="128"/>
      <c r="F4" s="342"/>
      <c r="G4" s="851"/>
      <c r="H4" s="851"/>
      <c r="I4" s="851"/>
      <c r="J4" s="852"/>
      <c r="K4" s="1"/>
      <c r="L4" s="1"/>
      <c r="M4" s="1"/>
      <c r="N4" s="1"/>
      <c r="O4" s="1451" t="s">
        <v>473</v>
      </c>
      <c r="P4" s="1452"/>
      <c r="Q4" s="1452"/>
      <c r="R4" s="1452"/>
      <c r="S4" s="1452"/>
      <c r="T4" s="1452"/>
      <c r="U4" s="1453"/>
      <c r="V4" s="853"/>
      <c r="W4" s="128"/>
      <c r="X4" s="128"/>
      <c r="Y4" s="128"/>
      <c r="Z4" s="853"/>
      <c r="AA4" s="853"/>
      <c r="AB4" s="854"/>
      <c r="AC4" s="854"/>
      <c r="AD4" s="854"/>
      <c r="AE4" s="854"/>
      <c r="AF4" s="854"/>
      <c r="AG4" s="235"/>
      <c r="AH4" s="128"/>
      <c r="AI4" s="128"/>
      <c r="AJ4" s="128"/>
      <c r="AK4" s="128"/>
      <c r="AL4" s="128"/>
      <c r="AM4" s="853"/>
      <c r="AN4" s="853"/>
      <c r="AO4" s="853"/>
      <c r="AP4" s="1454" t="str">
        <f>+O4</f>
        <v>DIRECCION Y CONTROL DE FRANQUICIAS S.A DE C.V</v>
      </c>
      <c r="AQ4" s="1360"/>
      <c r="AR4" s="1360"/>
      <c r="AS4" s="1360"/>
      <c r="AT4" s="1360"/>
      <c r="AU4" s="1361"/>
      <c r="AV4" s="235"/>
      <c r="AW4" s="128"/>
      <c r="AX4" s="128"/>
      <c r="AY4" s="128"/>
      <c r="AZ4" s="128"/>
      <c r="BA4" s="128"/>
      <c r="BB4" s="853"/>
      <c r="BC4" s="853"/>
      <c r="BD4" s="853"/>
      <c r="BE4" s="853"/>
      <c r="BF4" s="853"/>
      <c r="BG4" s="853"/>
      <c r="BH4" s="853"/>
      <c r="BI4" s="853"/>
      <c r="BJ4" s="853"/>
      <c r="BK4" s="853"/>
      <c r="BL4" s="235"/>
      <c r="BM4" s="128"/>
      <c r="BN4" s="128"/>
      <c r="BO4" s="128"/>
      <c r="BP4" s="128"/>
      <c r="BQ4" s="850"/>
    </row>
    <row r="5" spans="1:69" ht="19.5" customHeight="1">
      <c r="A5" s="128"/>
      <c r="B5" s="128"/>
      <c r="C5" s="128"/>
      <c r="D5" s="128"/>
      <c r="E5" s="128"/>
      <c r="F5" s="342"/>
      <c r="G5" s="851"/>
      <c r="H5" s="851"/>
      <c r="I5" s="851"/>
      <c r="J5" s="128"/>
      <c r="K5" s="128"/>
      <c r="L5" s="851"/>
      <c r="M5" s="1454" t="s">
        <v>474</v>
      </c>
      <c r="N5" s="1360"/>
      <c r="O5" s="1360"/>
      <c r="P5" s="1360"/>
      <c r="Q5" s="1360"/>
      <c r="R5" s="1360"/>
      <c r="S5" s="1360"/>
      <c r="T5" s="1360"/>
      <c r="U5" s="1360"/>
      <c r="V5" s="851"/>
      <c r="W5" s="838"/>
      <c r="X5" s="839" t="s">
        <v>475</v>
      </c>
      <c r="Y5" s="840"/>
      <c r="Z5" s="851"/>
      <c r="AA5" s="1455" t="s">
        <v>476</v>
      </c>
      <c r="AB5" s="1347"/>
      <c r="AC5" s="1347"/>
      <c r="AD5" s="1347"/>
      <c r="AE5" s="1347"/>
      <c r="AF5" s="1348"/>
      <c r="AG5" s="235"/>
      <c r="AH5" s="128"/>
      <c r="AI5" s="128"/>
      <c r="AJ5" s="128"/>
      <c r="AK5" s="128"/>
      <c r="AL5" s="128"/>
      <c r="AM5" s="851"/>
      <c r="AN5" s="851"/>
      <c r="AO5" s="851"/>
      <c r="AP5" s="1456" t="s">
        <v>476</v>
      </c>
      <c r="AQ5" s="1347"/>
      <c r="AR5" s="1347"/>
      <c r="AS5" s="1347"/>
      <c r="AT5" s="1347"/>
      <c r="AU5" s="855" t="s">
        <v>225</v>
      </c>
      <c r="AV5" s="235"/>
      <c r="AW5" s="128"/>
      <c r="AX5" s="128"/>
      <c r="AY5" s="128"/>
      <c r="AZ5" s="128"/>
      <c r="BA5" s="128"/>
      <c r="BB5" s="856"/>
      <c r="BC5" s="851"/>
      <c r="BD5" s="851"/>
      <c r="BE5" s="851"/>
      <c r="BF5" s="1455" t="s">
        <v>223</v>
      </c>
      <c r="BG5" s="1347"/>
      <c r="BH5" s="1347"/>
      <c r="BI5" s="1347"/>
      <c r="BJ5" s="1347"/>
      <c r="BK5" s="1348"/>
      <c r="BL5" s="235"/>
      <c r="BM5" s="128"/>
      <c r="BN5" s="128"/>
      <c r="BO5" s="128"/>
      <c r="BP5" s="128"/>
      <c r="BQ5" s="850"/>
    </row>
    <row r="6" spans="1:69" ht="14.25" customHeight="1">
      <c r="A6" s="128"/>
      <c r="B6" s="128"/>
      <c r="C6" s="128"/>
      <c r="D6" s="128"/>
      <c r="E6" s="128"/>
      <c r="F6" s="342"/>
      <c r="G6" s="851"/>
      <c r="H6" s="851"/>
      <c r="I6" s="851"/>
      <c r="J6" s="128"/>
      <c r="K6" s="128"/>
      <c r="L6" s="851"/>
      <c r="M6" s="777">
        <v>1</v>
      </c>
      <c r="N6" s="777">
        <v>1</v>
      </c>
      <c r="O6" s="719">
        <v>1</v>
      </c>
      <c r="P6" s="719">
        <v>1</v>
      </c>
      <c r="Q6" s="719">
        <v>2</v>
      </c>
      <c r="R6" s="719">
        <v>3</v>
      </c>
      <c r="S6" s="719">
        <v>4</v>
      </c>
      <c r="T6" s="719">
        <v>5</v>
      </c>
      <c r="U6" s="719">
        <v>6</v>
      </c>
      <c r="V6" s="777"/>
      <c r="W6" s="847"/>
      <c r="X6" s="857">
        <f>'Expected Growth25'!E66</f>
        <v>1.9599999999999999E-2</v>
      </c>
      <c r="Y6" s="858"/>
      <c r="Z6" s="777"/>
      <c r="AA6" s="859">
        <v>1</v>
      </c>
      <c r="AB6" s="777">
        <v>2</v>
      </c>
      <c r="AC6" s="777">
        <v>3</v>
      </c>
      <c r="AD6" s="777">
        <v>4</v>
      </c>
      <c r="AE6" s="777">
        <v>5</v>
      </c>
      <c r="AF6" s="860">
        <v>5</v>
      </c>
      <c r="AG6" s="235"/>
      <c r="AH6" s="128"/>
      <c r="AI6" s="128"/>
      <c r="AJ6" s="128"/>
      <c r="AK6" s="128"/>
      <c r="AL6" s="128"/>
      <c r="AM6" s="777">
        <v>0</v>
      </c>
      <c r="AN6" s="777"/>
      <c r="AO6" s="777"/>
      <c r="AP6" s="861">
        <v>1</v>
      </c>
      <c r="AQ6" s="862">
        <v>2</v>
      </c>
      <c r="AR6" s="862">
        <v>3</v>
      </c>
      <c r="AS6" s="862">
        <v>4</v>
      </c>
      <c r="AT6" s="862">
        <v>5</v>
      </c>
      <c r="AU6" s="863">
        <v>5</v>
      </c>
      <c r="AV6" s="235"/>
      <c r="AW6" s="128"/>
      <c r="AX6" s="128"/>
      <c r="AY6" s="128"/>
      <c r="AZ6" s="128"/>
      <c r="BA6" s="128"/>
      <c r="BB6" s="864"/>
      <c r="BC6" s="777"/>
      <c r="BD6" s="777"/>
      <c r="BE6" s="777"/>
      <c r="BF6" s="859">
        <v>1</v>
      </c>
      <c r="BG6" s="777">
        <v>2</v>
      </c>
      <c r="BH6" s="777">
        <v>3</v>
      </c>
      <c r="BI6" s="777">
        <v>4</v>
      </c>
      <c r="BJ6" s="777">
        <v>5</v>
      </c>
      <c r="BK6" s="777">
        <v>5</v>
      </c>
      <c r="BL6" s="235"/>
      <c r="BM6" s="865" t="s">
        <v>477</v>
      </c>
      <c r="BN6" s="866"/>
      <c r="BO6" s="866"/>
      <c r="BP6" s="867"/>
      <c r="BQ6" s="850"/>
    </row>
    <row r="7" spans="1:69" ht="14.25" customHeight="1">
      <c r="A7" s="128"/>
      <c r="B7" s="128"/>
      <c r="C7" s="128"/>
      <c r="D7" s="128"/>
      <c r="E7" s="128"/>
      <c r="F7" s="342"/>
      <c r="G7" s="851"/>
      <c r="H7" s="851"/>
      <c r="I7" s="851"/>
      <c r="J7" s="128"/>
      <c r="K7" s="128"/>
      <c r="L7" s="851"/>
      <c r="M7" s="777">
        <v>2014</v>
      </c>
      <c r="N7" s="777">
        <v>2015</v>
      </c>
      <c r="O7" s="719">
        <v>2018</v>
      </c>
      <c r="P7" s="719">
        <v>2019</v>
      </c>
      <c r="Q7" s="719">
        <f>+P7+1</f>
        <v>2020</v>
      </c>
      <c r="R7" s="719">
        <f>+Q7+1</f>
        <v>2021</v>
      </c>
      <c r="S7" s="719">
        <v>2022</v>
      </c>
      <c r="T7" s="719">
        <v>2023</v>
      </c>
      <c r="U7" s="719">
        <v>2024</v>
      </c>
      <c r="V7" s="719"/>
      <c r="W7" s="777"/>
      <c r="X7" s="777"/>
      <c r="Y7" s="777"/>
      <c r="Z7" s="777"/>
      <c r="AA7" s="777"/>
      <c r="AB7" s="777"/>
      <c r="AC7" s="777"/>
      <c r="AD7" s="777"/>
      <c r="AE7" s="777"/>
      <c r="AF7" s="777"/>
      <c r="AG7" s="777"/>
      <c r="AH7" s="777"/>
      <c r="AI7" s="777"/>
      <c r="AJ7" s="777"/>
      <c r="AK7" s="777"/>
      <c r="AL7" s="777"/>
      <c r="AM7" s="777"/>
      <c r="AN7" s="777"/>
      <c r="AO7" s="777"/>
      <c r="AP7" s="868">
        <v>2025</v>
      </c>
      <c r="AQ7" s="869">
        <f>+AP7+1</f>
        <v>2026</v>
      </c>
      <c r="AR7" s="869">
        <f>+AQ7+1</f>
        <v>2027</v>
      </c>
      <c r="AS7" s="869">
        <f>+AR7+1</f>
        <v>2028</v>
      </c>
      <c r="AT7" s="869">
        <f>+AS7+1</f>
        <v>2029</v>
      </c>
      <c r="AU7" s="870">
        <f>+AT7</f>
        <v>2029</v>
      </c>
      <c r="AV7" s="235"/>
      <c r="AW7" s="134" t="s">
        <v>477</v>
      </c>
      <c r="AX7" s="871"/>
      <c r="AY7" s="871"/>
      <c r="AZ7" s="872"/>
      <c r="BA7" s="128"/>
      <c r="BB7" s="864"/>
      <c r="BC7" s="777"/>
      <c r="BD7" s="777"/>
      <c r="BE7" s="777"/>
      <c r="BF7" s="873">
        <f>+AA7</f>
        <v>0</v>
      </c>
      <c r="BG7" s="874">
        <f>+AB7</f>
        <v>0</v>
      </c>
      <c r="BH7" s="874">
        <f>+AC7</f>
        <v>0</v>
      </c>
      <c r="BI7" s="874">
        <f>+AD7</f>
        <v>0</v>
      </c>
      <c r="BJ7" s="874">
        <f>+AE7</f>
        <v>0</v>
      </c>
      <c r="BK7" s="875">
        <f>+BJ7</f>
        <v>0</v>
      </c>
      <c r="BL7" s="235"/>
      <c r="BM7" s="876">
        <v>0.04</v>
      </c>
      <c r="BN7" s="877"/>
      <c r="BO7" s="877"/>
      <c r="BP7" s="878"/>
      <c r="BQ7" s="850"/>
    </row>
    <row r="8" spans="1:69" ht="14.25" customHeight="1">
      <c r="A8" s="128"/>
      <c r="B8" s="128"/>
      <c r="C8" s="128"/>
      <c r="D8" s="128"/>
      <c r="E8" s="128"/>
      <c r="F8" s="342"/>
      <c r="G8" s="851"/>
      <c r="H8" s="851"/>
      <c r="I8" s="851"/>
      <c r="J8" s="1448"/>
      <c r="K8" s="1334"/>
      <c r="L8" s="851"/>
      <c r="M8" s="851"/>
      <c r="N8" s="880"/>
      <c r="O8" s="881"/>
      <c r="P8" s="881"/>
      <c r="Q8" s="881" t="e">
        <f>+Q11/P11-1</f>
        <v>#REF!</v>
      </c>
      <c r="R8" s="881" t="e">
        <f>+R11/Q11-1</f>
        <v>#REF!</v>
      </c>
      <c r="S8" s="881" t="e">
        <f>+S11/R11-1</f>
        <v>#DIV/0!</v>
      </c>
      <c r="T8" s="881" t="e">
        <f>+T11/S11-1</f>
        <v>#DIV/0!</v>
      </c>
      <c r="U8" s="881" t="e">
        <f>+U11/T11-1</f>
        <v>#DIV/0!</v>
      </c>
      <c r="V8" s="882"/>
      <c r="W8" s="777"/>
      <c r="X8" s="777"/>
      <c r="Y8" s="777"/>
      <c r="Z8" s="777"/>
      <c r="AA8" s="777"/>
      <c r="AB8" s="777"/>
      <c r="AC8" s="777"/>
      <c r="AD8" s="777"/>
      <c r="AE8" s="777"/>
      <c r="AF8" s="777"/>
      <c r="AG8" s="777"/>
      <c r="AH8" s="777"/>
      <c r="AI8" s="777"/>
      <c r="AJ8" s="777"/>
      <c r="AK8" s="777"/>
      <c r="AL8" s="777"/>
      <c r="AM8" s="777"/>
      <c r="AN8" s="777"/>
      <c r="AO8" s="777"/>
      <c r="AP8" s="777"/>
      <c r="AQ8" s="777"/>
      <c r="AR8" s="777"/>
      <c r="AS8" s="777"/>
      <c r="AT8" s="777"/>
      <c r="AU8" s="777"/>
      <c r="AV8" s="235"/>
      <c r="AW8" s="162"/>
      <c r="AX8" s="1"/>
      <c r="AY8" s="1"/>
      <c r="AZ8" s="883"/>
      <c r="BA8" s="128"/>
      <c r="BB8" s="864"/>
      <c r="BC8" s="777"/>
      <c r="BD8" s="777"/>
      <c r="BE8" s="777"/>
      <c r="BF8" s="884">
        <f>+AP8</f>
        <v>0</v>
      </c>
      <c r="BG8" s="885">
        <f>+BF8*(1+BG9)</f>
        <v>0</v>
      </c>
      <c r="BH8" s="885">
        <f>+BG8*(1+BH9)</f>
        <v>0</v>
      </c>
      <c r="BI8" s="885">
        <f>+BH8*(1+BI9)</f>
        <v>0</v>
      </c>
      <c r="BJ8" s="885">
        <f>+BI8*(1+BJ9)</f>
        <v>0</v>
      </c>
      <c r="BK8" s="885">
        <f>+BJ8*(1+BK9)</f>
        <v>0</v>
      </c>
      <c r="BL8" s="235"/>
      <c r="BM8" s="886"/>
      <c r="BN8" s="887"/>
      <c r="BO8" s="887"/>
      <c r="BP8" s="887"/>
      <c r="BQ8" s="850"/>
    </row>
    <row r="9" spans="1:69" ht="15.75" customHeight="1">
      <c r="A9" s="128"/>
      <c r="B9" s="128"/>
      <c r="C9" s="128"/>
      <c r="D9" s="128"/>
      <c r="E9" s="128"/>
      <c r="F9" s="342"/>
      <c r="G9" s="851"/>
      <c r="H9" s="851"/>
      <c r="I9" s="851"/>
      <c r="J9" s="1448"/>
      <c r="K9" s="1334"/>
      <c r="L9" s="888"/>
      <c r="M9" s="888"/>
      <c r="N9" s="888"/>
      <c r="O9" s="888"/>
      <c r="P9" s="888"/>
      <c r="Q9" s="1448"/>
      <c r="R9" s="1334"/>
      <c r="S9" s="889"/>
      <c r="T9" s="889"/>
      <c r="U9" s="889"/>
      <c r="V9" s="890"/>
      <c r="W9" s="851"/>
      <c r="X9" s="851"/>
      <c r="Y9" s="851"/>
      <c r="Z9" s="851"/>
      <c r="AA9" s="851"/>
      <c r="AB9" s="851"/>
      <c r="AC9" s="851"/>
      <c r="AD9" s="851"/>
      <c r="AE9" s="851"/>
      <c r="AF9" s="851"/>
      <c r="AG9" s="236"/>
      <c r="AH9" s="128"/>
      <c r="AI9" s="128"/>
      <c r="AJ9" s="128"/>
      <c r="AK9" s="128"/>
      <c r="AL9" s="128"/>
      <c r="AM9" s="777"/>
      <c r="AN9" s="777"/>
      <c r="AO9" s="777"/>
      <c r="AP9" s="777"/>
      <c r="AQ9" s="777"/>
      <c r="AR9" s="777"/>
      <c r="AS9" s="777"/>
      <c r="AT9" s="777"/>
      <c r="AU9" s="777"/>
      <c r="AV9" s="235"/>
      <c r="AW9" s="891">
        <v>4.65E-2</v>
      </c>
      <c r="AX9" s="892"/>
      <c r="AY9" s="892"/>
      <c r="AZ9" s="893"/>
      <c r="BA9" s="128"/>
      <c r="BB9" s="856"/>
      <c r="BC9" s="1426" t="s">
        <v>1018</v>
      </c>
      <c r="BD9" s="1361"/>
      <c r="BE9" s="851"/>
      <c r="BF9" s="894">
        <v>0.18329999999999999</v>
      </c>
      <c r="BG9" s="894">
        <f>0.1825*(BG6)^(-0.253)</f>
        <v>0.15314480877194384</v>
      </c>
      <c r="BH9" s="894">
        <f>0.1825*(BH6)^(-0.253)</f>
        <v>0.13821373121915684</v>
      </c>
      <c r="BI9" s="894">
        <f>0.1825*(BI6)^(-0.253)</f>
        <v>0.12851141070572736</v>
      </c>
      <c r="BJ9" s="894">
        <f>0.1825*(BJ6)^(-0.253)</f>
        <v>0.12145725390635112</v>
      </c>
      <c r="BK9" s="894">
        <f>0.1825*(BK6)^(-0.253)</f>
        <v>0.12145725390635112</v>
      </c>
      <c r="BL9" s="235"/>
      <c r="BM9" s="35" t="s">
        <v>478</v>
      </c>
      <c r="BN9" s="128"/>
      <c r="BO9" s="128"/>
      <c r="BP9" s="128"/>
      <c r="BQ9" s="850"/>
    </row>
    <row r="10" spans="1:69" ht="6" customHeight="1">
      <c r="A10" s="128"/>
      <c r="B10" s="128"/>
      <c r="C10" s="128"/>
      <c r="D10" s="128"/>
      <c r="E10" s="128"/>
      <c r="F10" s="342"/>
      <c r="G10" s="851"/>
      <c r="H10" s="851"/>
      <c r="I10" s="851"/>
      <c r="J10" s="1448"/>
      <c r="K10" s="1334"/>
      <c r="L10" s="851"/>
      <c r="M10" s="851"/>
      <c r="N10" s="895"/>
      <c r="O10" s="896"/>
      <c r="P10" s="896"/>
      <c r="Q10" s="896"/>
      <c r="R10" s="896"/>
      <c r="S10" s="896"/>
      <c r="T10" s="896"/>
      <c r="U10" s="896"/>
      <c r="V10" s="895"/>
      <c r="W10" s="856"/>
      <c r="X10" s="851"/>
      <c r="Y10" s="851"/>
      <c r="Z10" s="851"/>
      <c r="AA10" s="851"/>
      <c r="AB10" s="851"/>
      <c r="AC10" s="851"/>
      <c r="AD10" s="851"/>
      <c r="AE10" s="851"/>
      <c r="AF10" s="851"/>
      <c r="AG10" s="236"/>
      <c r="AH10" s="128"/>
      <c r="AI10" s="128"/>
      <c r="AJ10" s="128"/>
      <c r="AK10" s="128"/>
      <c r="AL10" s="128"/>
      <c r="AM10" s="851"/>
      <c r="AN10" s="851"/>
      <c r="AO10" s="851"/>
      <c r="AP10" s="851"/>
      <c r="AQ10" s="851"/>
      <c r="AR10" s="851"/>
      <c r="AS10" s="851"/>
      <c r="AT10" s="851"/>
      <c r="AU10" s="851"/>
      <c r="AV10" s="235"/>
      <c r="AW10" s="897"/>
      <c r="AX10" s="887"/>
      <c r="AY10" s="887"/>
      <c r="AZ10" s="887"/>
      <c r="BA10" s="128"/>
      <c r="BB10" s="856"/>
      <c r="BC10" s="851"/>
      <c r="BD10" s="851"/>
      <c r="BE10" s="851"/>
      <c r="BF10" s="851"/>
      <c r="BG10" s="851"/>
      <c r="BH10" s="851"/>
      <c r="BI10" s="851"/>
      <c r="BJ10" s="851"/>
      <c r="BK10" s="851"/>
      <c r="BL10" s="235"/>
      <c r="BM10" s="128"/>
      <c r="BN10" s="128"/>
      <c r="BO10" s="128"/>
      <c r="BP10" s="128"/>
      <c r="BQ10" s="850"/>
    </row>
    <row r="11" spans="1:69" ht="14.25" customHeight="1">
      <c r="A11" s="128"/>
      <c r="B11" s="128"/>
      <c r="C11" s="128"/>
      <c r="D11" s="128"/>
      <c r="E11" s="128"/>
      <c r="F11" s="342"/>
      <c r="G11" s="851"/>
      <c r="H11" s="851"/>
      <c r="I11" s="851"/>
      <c r="J11" s="1426" t="s">
        <v>375</v>
      </c>
      <c r="K11" s="1361"/>
      <c r="L11" s="851"/>
      <c r="M11" s="783" t="s">
        <v>1015</v>
      </c>
      <c r="N11" s="783" t="e">
        <v>#REF!</v>
      </c>
      <c r="O11" s="783">
        <f>+'1. Datos'!D15</f>
        <v>0</v>
      </c>
      <c r="P11" s="783" t="e">
        <f>+'1. Datos'!#REF!</f>
        <v>#REF!</v>
      </c>
      <c r="Q11" s="783" t="e">
        <f>+'1. Datos'!#REF!</f>
        <v>#REF!</v>
      </c>
      <c r="R11" s="783">
        <f>+'1. Datos'!E15</f>
        <v>0</v>
      </c>
      <c r="S11" s="783">
        <f>+'1. Datos'!F15</f>
        <v>0</v>
      </c>
      <c r="T11" s="783">
        <f>+'1. Datos'!G15</f>
        <v>0</v>
      </c>
      <c r="U11" s="783">
        <f>+'1. Datos'!I15</f>
        <v>0</v>
      </c>
      <c r="V11" s="882"/>
      <c r="W11" s="748"/>
      <c r="X11" s="1426" t="s">
        <v>45</v>
      </c>
      <c r="Y11" s="1361"/>
      <c r="Z11" s="128"/>
      <c r="AA11" s="1446" t="e">
        <f>+#REF!</f>
        <v>#REF!</v>
      </c>
      <c r="AB11" s="1360"/>
      <c r="AC11" s="1360"/>
      <c r="AD11" s="1360"/>
      <c r="AE11" s="1360"/>
      <c r="AF11" s="1361"/>
      <c r="AG11" s="236"/>
      <c r="AH11" s="128"/>
      <c r="AI11" s="128"/>
      <c r="AJ11" s="128"/>
      <c r="AK11" s="128"/>
      <c r="AL11" s="128"/>
      <c r="AM11" s="1426" t="s">
        <v>45</v>
      </c>
      <c r="AN11" s="1361"/>
      <c r="AO11" s="128"/>
      <c r="AP11" s="1446" t="e">
        <f>WACC!G28</f>
        <v>#DIV/0!</v>
      </c>
      <c r="AQ11" s="1360"/>
      <c r="AR11" s="1360"/>
      <c r="AS11" s="1360"/>
      <c r="AT11" s="1360"/>
      <c r="AU11" s="1361"/>
      <c r="AV11" s="235"/>
      <c r="AW11" s="35"/>
      <c r="AX11" s="192" t="s">
        <v>479</v>
      </c>
      <c r="AY11" s="128"/>
      <c r="AZ11" s="128"/>
      <c r="BA11" s="128"/>
      <c r="BB11" s="748"/>
      <c r="BC11" s="1426" t="s">
        <v>45</v>
      </c>
      <c r="BD11" s="1361"/>
      <c r="BE11" s="128"/>
      <c r="BF11" s="1446" t="e">
        <f>+AP11</f>
        <v>#DIV/0!</v>
      </c>
      <c r="BG11" s="1360"/>
      <c r="BH11" s="1360"/>
      <c r="BI11" s="1360"/>
      <c r="BJ11" s="1360"/>
      <c r="BK11" s="1361"/>
      <c r="BL11" s="235"/>
      <c r="BM11" s="898" t="s">
        <v>480</v>
      </c>
      <c r="BN11" s="899" t="e">
        <v>#REF!</v>
      </c>
      <c r="BO11" s="128"/>
      <c r="BP11" s="128"/>
      <c r="BQ11" s="850"/>
    </row>
    <row r="12" spans="1:69" ht="14.25" customHeight="1">
      <c r="A12" s="128"/>
      <c r="B12" s="128"/>
      <c r="C12" s="128"/>
      <c r="D12" s="128"/>
      <c r="E12" s="128"/>
      <c r="F12" s="342"/>
      <c r="G12" s="851"/>
      <c r="H12" s="851"/>
      <c r="I12" s="851"/>
      <c r="J12" s="851"/>
      <c r="K12" s="851"/>
      <c r="L12" s="851"/>
      <c r="M12" s="783"/>
      <c r="N12" s="851"/>
      <c r="O12" s="851"/>
      <c r="P12" s="851"/>
      <c r="Q12" s="851"/>
      <c r="R12" s="851"/>
      <c r="S12" s="851"/>
      <c r="T12" s="851"/>
      <c r="U12" s="851"/>
      <c r="V12" s="882"/>
      <c r="W12" s="128"/>
      <c r="X12" s="879"/>
      <c r="Y12" s="879"/>
      <c r="Z12" s="128"/>
      <c r="AA12" s="900"/>
      <c r="AB12" s="900"/>
      <c r="AC12" s="900"/>
      <c r="AD12" s="900"/>
      <c r="AE12" s="900"/>
      <c r="AF12" s="900"/>
      <c r="AG12" s="236"/>
      <c r="AH12" s="128"/>
      <c r="AI12" s="128"/>
      <c r="AJ12" s="128"/>
      <c r="AK12" s="128"/>
      <c r="AL12" s="128"/>
      <c r="AM12" s="879"/>
      <c r="AN12" s="879"/>
      <c r="AO12" s="128"/>
      <c r="AP12" s="901"/>
      <c r="AQ12" s="901"/>
      <c r="AR12" s="901"/>
      <c r="AS12" s="901"/>
      <c r="AT12" s="901"/>
      <c r="AU12" s="901"/>
      <c r="AV12" s="235"/>
      <c r="AW12" s="128"/>
      <c r="AX12" s="192"/>
      <c r="AY12" s="128" t="s">
        <v>481</v>
      </c>
      <c r="AZ12" s="128"/>
      <c r="BA12" s="128"/>
      <c r="BB12" s="748"/>
      <c r="BC12" s="879"/>
      <c r="BD12" s="879"/>
      <c r="BE12" s="128"/>
      <c r="BF12" s="900"/>
      <c r="BG12" s="900"/>
      <c r="BH12" s="900"/>
      <c r="BI12" s="900"/>
      <c r="BJ12" s="900"/>
      <c r="BK12" s="900"/>
      <c r="BL12" s="235"/>
      <c r="BM12" s="898"/>
      <c r="BN12" s="899"/>
      <c r="BO12" s="128"/>
      <c r="BP12" s="128"/>
      <c r="BQ12" s="850"/>
    </row>
    <row r="13" spans="1:69" ht="5.25" customHeight="1">
      <c r="A13" s="128"/>
      <c r="B13" s="128"/>
      <c r="C13" s="128"/>
      <c r="D13" s="128"/>
      <c r="E13" s="128"/>
      <c r="F13" s="342"/>
      <c r="G13" s="851"/>
      <c r="H13" s="851"/>
      <c r="I13" s="851"/>
      <c r="J13" s="1448"/>
      <c r="K13" s="1334"/>
      <c r="L13" s="851"/>
      <c r="M13" s="783"/>
      <c r="N13" s="783"/>
      <c r="O13" s="783"/>
      <c r="P13" s="783"/>
      <c r="Q13" s="783"/>
      <c r="R13" s="783"/>
      <c r="S13" s="783"/>
      <c r="T13" s="783"/>
      <c r="U13" s="783"/>
      <c r="V13" s="882"/>
      <c r="W13" s="748"/>
      <c r="X13" s="879"/>
      <c r="Y13" s="879"/>
      <c r="Z13" s="128"/>
      <c r="AA13" s="900"/>
      <c r="AB13" s="900"/>
      <c r="AC13" s="900"/>
      <c r="AD13" s="900"/>
      <c r="AE13" s="900"/>
      <c r="AF13" s="900"/>
      <c r="AG13" s="236"/>
      <c r="AH13" s="128"/>
      <c r="AI13" s="128"/>
      <c r="AJ13" s="128"/>
      <c r="AK13" s="128"/>
      <c r="AL13" s="128"/>
      <c r="AM13" s="879"/>
      <c r="AN13" s="879"/>
      <c r="AO13" s="128"/>
      <c r="AP13" s="901"/>
      <c r="AQ13" s="901"/>
      <c r="AR13" s="901"/>
      <c r="AS13" s="901"/>
      <c r="AT13" s="901"/>
      <c r="AU13" s="901"/>
      <c r="AV13" s="235"/>
      <c r="AW13" s="128"/>
      <c r="AX13" s="192"/>
      <c r="AY13" s="128"/>
      <c r="AZ13" s="128"/>
      <c r="BA13" s="128"/>
      <c r="BB13" s="748"/>
      <c r="BC13" s="879"/>
      <c r="BD13" s="879"/>
      <c r="BE13" s="128"/>
      <c r="BF13" s="900"/>
      <c r="BG13" s="900"/>
      <c r="BH13" s="900"/>
      <c r="BI13" s="900"/>
      <c r="BJ13" s="900"/>
      <c r="BK13" s="783"/>
      <c r="BL13" s="235"/>
      <c r="BM13" s="898"/>
      <c r="BN13" s="899"/>
      <c r="BO13" s="128"/>
      <c r="BP13" s="128"/>
      <c r="BQ13" s="850"/>
    </row>
    <row r="14" spans="1:69" ht="14.25" customHeight="1">
      <c r="A14" s="128"/>
      <c r="B14" s="128"/>
      <c r="C14" s="128"/>
      <c r="D14" s="128"/>
      <c r="E14" s="128"/>
      <c r="F14" s="342"/>
      <c r="G14" s="851"/>
      <c r="H14" s="851"/>
      <c r="I14" s="851"/>
      <c r="J14" s="1426" t="s">
        <v>16</v>
      </c>
      <c r="K14" s="1361"/>
      <c r="L14" s="851"/>
      <c r="M14" s="902">
        <v>0.3</v>
      </c>
      <c r="N14" s="902">
        <v>0.3</v>
      </c>
      <c r="O14" s="902">
        <v>0.3</v>
      </c>
      <c r="P14" s="902">
        <v>0.3</v>
      </c>
      <c r="Q14" s="902">
        <v>0.3</v>
      </c>
      <c r="R14" s="902">
        <v>0.3</v>
      </c>
      <c r="S14" s="902">
        <v>0.3</v>
      </c>
      <c r="T14" s="902">
        <v>0.3</v>
      </c>
      <c r="U14" s="902">
        <v>0.3</v>
      </c>
      <c r="V14" s="882"/>
      <c r="W14" s="856"/>
      <c r="X14" s="128"/>
      <c r="Y14" s="128"/>
      <c r="Z14" s="128"/>
      <c r="AA14" s="128"/>
      <c r="AB14" s="128"/>
      <c r="AC14" s="128"/>
      <c r="AD14" s="128"/>
      <c r="AE14" s="128"/>
      <c r="AF14" s="903" t="e">
        <f>+(AE15*(1+X3))/AA11</f>
        <v>#REF!</v>
      </c>
      <c r="AG14" s="236"/>
      <c r="AH14" s="128"/>
      <c r="AI14" s="128"/>
      <c r="AJ14" s="128"/>
      <c r="AK14" s="128"/>
      <c r="AL14" s="128"/>
      <c r="AM14" s="904" t="s">
        <v>482</v>
      </c>
      <c r="AN14" s="905" t="e">
        <f>AP18</f>
        <v>#DIV/0!</v>
      </c>
      <c r="AO14" s="128"/>
      <c r="AP14" s="128"/>
      <c r="AQ14" s="128"/>
      <c r="AR14" s="128"/>
      <c r="AS14" s="128"/>
      <c r="AT14" s="128"/>
      <c r="AU14" s="903"/>
      <c r="AV14" s="235"/>
      <c r="AW14" s="1447"/>
      <c r="AX14" s="1334"/>
      <c r="AY14" s="1334"/>
      <c r="AZ14" s="1334"/>
      <c r="BA14" s="128"/>
      <c r="BB14" s="856"/>
      <c r="BC14" s="128"/>
      <c r="BD14" s="128"/>
      <c r="BE14" s="128"/>
      <c r="BF14" s="128"/>
      <c r="BG14" s="128"/>
      <c r="BH14" s="128"/>
      <c r="BI14" s="128"/>
      <c r="BJ14" s="128"/>
      <c r="BK14" s="783"/>
      <c r="BL14" s="235"/>
      <c r="BM14" s="1447"/>
      <c r="BN14" s="1334"/>
      <c r="BO14" s="1334"/>
      <c r="BP14" s="1334"/>
      <c r="BQ14" s="850"/>
    </row>
    <row r="15" spans="1:69" ht="14.25" customHeight="1">
      <c r="A15" s="128"/>
      <c r="B15" s="128"/>
      <c r="C15" s="128"/>
      <c r="D15" s="128"/>
      <c r="E15" s="128"/>
      <c r="F15" s="342"/>
      <c r="G15" s="851"/>
      <c r="H15" s="851"/>
      <c r="I15" s="851"/>
      <c r="J15" s="1426" t="s">
        <v>483</v>
      </c>
      <c r="K15" s="1361"/>
      <c r="L15" s="851"/>
      <c r="M15" s="906" t="e">
        <f>M11*(1-M14)</f>
        <v>#VALUE!</v>
      </c>
      <c r="N15" s="906" t="e">
        <f>N11*(1-N14)</f>
        <v>#REF!</v>
      </c>
      <c r="O15" s="906">
        <f>O11*(1-O14)</f>
        <v>0</v>
      </c>
      <c r="P15" s="906" t="e">
        <f>P11*(1-P14)</f>
        <v>#REF!</v>
      </c>
      <c r="Q15" s="906" t="e">
        <f>Q11*(1-Q14)</f>
        <v>#REF!</v>
      </c>
      <c r="R15" s="906">
        <f>R11*(1-R14)</f>
        <v>0</v>
      </c>
      <c r="S15" s="906">
        <f>S11*(1-S14)</f>
        <v>0</v>
      </c>
      <c r="T15" s="906">
        <f>T11*(1-T14)</f>
        <v>0</v>
      </c>
      <c r="U15" s="906">
        <f>U11*(1-U14)</f>
        <v>0</v>
      </c>
      <c r="V15" s="882"/>
      <c r="W15" s="907"/>
      <c r="X15" s="1426" t="s">
        <v>484</v>
      </c>
      <c r="Y15" s="1361"/>
      <c r="Z15" s="879"/>
      <c r="AA15" s="584">
        <f>+AA8*$U$16</f>
        <v>0</v>
      </c>
      <c r="AB15" s="584">
        <f>+AB8*$U$16</f>
        <v>0</v>
      </c>
      <c r="AC15" s="584">
        <f>+AC8*$U$16</f>
        <v>0</v>
      </c>
      <c r="AD15" s="584">
        <f>+AD8*$U$16</f>
        <v>0</v>
      </c>
      <c r="AE15" s="584">
        <f>+AE8*$U$16</f>
        <v>0</v>
      </c>
      <c r="AF15" s="584" t="e">
        <f>+(AF8*$U$16)/AA11</f>
        <v>#REF!</v>
      </c>
      <c r="AG15" s="236"/>
      <c r="AH15" s="128"/>
      <c r="AI15" s="128"/>
      <c r="AJ15" s="128"/>
      <c r="AK15" s="128"/>
      <c r="AL15" s="128"/>
      <c r="AM15" s="1426" t="s">
        <v>484</v>
      </c>
      <c r="AN15" s="1361"/>
      <c r="AO15" s="879"/>
      <c r="AP15" s="585">
        <f>+U15</f>
        <v>0</v>
      </c>
      <c r="AQ15" s="585" t="e">
        <f>+AP19</f>
        <v>#DIV/0!</v>
      </c>
      <c r="AR15" s="585" t="e">
        <f>+AQ19</f>
        <v>#DIV/0!</v>
      </c>
      <c r="AS15" s="585" t="e">
        <f>+AR19</f>
        <v>#DIV/0!</v>
      </c>
      <c r="AT15" s="585" t="e">
        <f>+AS19</f>
        <v>#DIV/0!</v>
      </c>
      <c r="AU15" s="585" t="e">
        <f>+AT19</f>
        <v>#DIV/0!</v>
      </c>
      <c r="AV15" s="235"/>
      <c r="AW15" s="1447"/>
      <c r="AX15" s="1334"/>
      <c r="AY15" s="1334"/>
      <c r="AZ15" s="1334"/>
      <c r="BA15" s="128"/>
      <c r="BB15" s="907"/>
      <c r="BC15" s="1426" t="s">
        <v>484</v>
      </c>
      <c r="BD15" s="1361"/>
      <c r="BE15" s="879"/>
      <c r="BF15" s="584">
        <f>+BF8*$U$16</f>
        <v>0</v>
      </c>
      <c r="BG15" s="584">
        <f>+BG8*$U$16</f>
        <v>0</v>
      </c>
      <c r="BH15" s="584">
        <f>+BH8*$U$16</f>
        <v>0</v>
      </c>
      <c r="BI15" s="584">
        <f>+BI8*$U$16</f>
        <v>0</v>
      </c>
      <c r="BJ15" s="584">
        <f>+BJ8*$U$16</f>
        <v>0</v>
      </c>
      <c r="BK15" s="783" t="e">
        <f>((BK8*$U$16)*(1-(X3/BN11))/(BF11-BM7))</f>
        <v>#REF!</v>
      </c>
      <c r="BL15" s="235"/>
      <c r="BM15" s="1447"/>
      <c r="BN15" s="1334"/>
      <c r="BO15" s="1334"/>
      <c r="BP15" s="1334"/>
      <c r="BQ15" s="850"/>
    </row>
    <row r="16" spans="1:69" ht="14.25" customHeight="1">
      <c r="A16" s="128"/>
      <c r="B16" s="128"/>
      <c r="C16" s="128"/>
      <c r="D16" s="128"/>
      <c r="E16" s="128"/>
      <c r="F16" s="342"/>
      <c r="G16" s="851"/>
      <c r="H16" s="851"/>
      <c r="I16" s="851"/>
      <c r="J16" s="851"/>
      <c r="K16" s="851"/>
      <c r="L16" s="851"/>
      <c r="M16" s="783"/>
      <c r="N16" s="851"/>
      <c r="O16" s="851"/>
      <c r="P16" s="851"/>
      <c r="Q16" s="851"/>
      <c r="R16" s="851"/>
      <c r="S16" s="851"/>
      <c r="T16" s="851"/>
      <c r="U16" s="851"/>
      <c r="V16" s="882"/>
      <c r="W16" s="908"/>
      <c r="X16" s="879"/>
      <c r="Y16" s="879"/>
      <c r="Z16" s="879"/>
      <c r="AA16" s="584"/>
      <c r="AB16" s="584"/>
      <c r="AC16" s="584"/>
      <c r="AD16" s="584"/>
      <c r="AE16" s="584"/>
      <c r="AF16" s="584"/>
      <c r="AG16" s="236"/>
      <c r="AH16" s="128"/>
      <c r="AI16" s="128"/>
      <c r="AJ16" s="128"/>
      <c r="AK16" s="128"/>
      <c r="AL16" s="128"/>
      <c r="AM16" s="879"/>
      <c r="AN16" s="879"/>
      <c r="AO16" s="879"/>
      <c r="AP16" s="584"/>
      <c r="AQ16" s="584"/>
      <c r="AR16" s="584"/>
      <c r="AS16" s="584"/>
      <c r="AT16" s="584"/>
      <c r="AU16" s="584"/>
      <c r="AV16" s="235"/>
      <c r="AW16" s="443"/>
      <c r="AX16" s="443"/>
      <c r="AY16" s="443"/>
      <c r="AZ16" s="443"/>
      <c r="BA16" s="128"/>
      <c r="BB16" s="907"/>
      <c r="BC16" s="879"/>
      <c r="BD16" s="879"/>
      <c r="BE16" s="879"/>
      <c r="BF16" s="584"/>
      <c r="BG16" s="584"/>
      <c r="BH16" s="584"/>
      <c r="BI16" s="584"/>
      <c r="BJ16" s="584"/>
      <c r="BK16" s="584"/>
      <c r="BL16" s="235"/>
      <c r="BM16" s="443"/>
      <c r="BN16" s="443"/>
      <c r="BO16" s="443"/>
      <c r="BP16" s="443"/>
      <c r="BQ16" s="850"/>
    </row>
    <row r="17" spans="1:69" ht="4.5" customHeight="1">
      <c r="A17" s="128"/>
      <c r="B17" s="128"/>
      <c r="C17" s="128"/>
      <c r="D17" s="128"/>
      <c r="E17" s="128"/>
      <c r="F17" s="342"/>
      <c r="G17" s="851"/>
      <c r="H17" s="851"/>
      <c r="I17" s="851"/>
      <c r="J17" s="909"/>
      <c r="K17" s="858"/>
      <c r="L17" s="851"/>
      <c r="M17" s="783"/>
      <c r="N17" s="910"/>
      <c r="O17" s="910"/>
      <c r="P17" s="910"/>
      <c r="Q17" s="910"/>
      <c r="R17" s="910"/>
      <c r="S17" s="910"/>
      <c r="T17" s="910"/>
      <c r="U17" s="910"/>
      <c r="V17" s="908"/>
      <c r="W17" s="907"/>
      <c r="X17" s="879"/>
      <c r="Y17" s="879"/>
      <c r="Z17" s="879"/>
      <c r="AA17" s="584"/>
      <c r="AB17" s="584"/>
      <c r="AC17" s="584"/>
      <c r="AD17" s="584"/>
      <c r="AE17" s="584"/>
      <c r="AF17" s="584"/>
      <c r="AG17" s="236"/>
      <c r="AH17" s="128"/>
      <c r="AI17" s="128"/>
      <c r="AJ17" s="128"/>
      <c r="AK17" s="128"/>
      <c r="AL17" s="128"/>
      <c r="AM17" s="879"/>
      <c r="AN17" s="879"/>
      <c r="AO17" s="879"/>
      <c r="AP17" s="584"/>
      <c r="AQ17" s="584"/>
      <c r="AR17" s="584"/>
      <c r="AS17" s="584"/>
      <c r="AT17" s="584"/>
      <c r="AU17" s="584"/>
      <c r="AV17" s="235"/>
      <c r="AW17" s="443"/>
      <c r="AX17" s="443"/>
      <c r="AY17" s="443"/>
      <c r="AZ17" s="443"/>
      <c r="BA17" s="128"/>
      <c r="BB17" s="907"/>
      <c r="BC17" s="879"/>
      <c r="BD17" s="879"/>
      <c r="BE17" s="879"/>
      <c r="BF17" s="584"/>
      <c r="BG17" s="584"/>
      <c r="BH17" s="584"/>
      <c r="BI17" s="584"/>
      <c r="BJ17" s="584"/>
      <c r="BK17" s="584"/>
      <c r="BL17" s="235"/>
      <c r="BM17" s="443"/>
      <c r="BN17" s="443"/>
      <c r="BO17" s="443"/>
      <c r="BP17" s="443"/>
      <c r="BQ17" s="850"/>
    </row>
    <row r="18" spans="1:69" ht="14.25" customHeight="1">
      <c r="A18" s="128"/>
      <c r="B18" s="128"/>
      <c r="C18" s="128"/>
      <c r="D18" s="128"/>
      <c r="E18" s="128"/>
      <c r="F18" s="342"/>
      <c r="G18" s="851"/>
      <c r="H18" s="851"/>
      <c r="I18" s="851"/>
      <c r="J18" s="1426" t="s">
        <v>485</v>
      </c>
      <c r="K18" s="1361"/>
      <c r="L18" s="851"/>
      <c r="M18" s="788" t="e">
        <v>#REF!</v>
      </c>
      <c r="N18" s="911">
        <v>0</v>
      </c>
      <c r="O18" s="911">
        <f>'2.Cálculos (2)'!C26</f>
        <v>0</v>
      </c>
      <c r="P18" s="911" t="e">
        <f>+'2.Cálculos (2)'!#REF!</f>
        <v>#REF!</v>
      </c>
      <c r="Q18" s="911">
        <f>+'2.Cálculos (2)'!D27</f>
        <v>0</v>
      </c>
      <c r="R18" s="911">
        <f>+'2.Cálculos (2)'!E27</f>
        <v>0</v>
      </c>
      <c r="S18" s="911">
        <f>+'2.Cálculos (2)'!F27</f>
        <v>0</v>
      </c>
      <c r="T18" s="911">
        <f>+'2.Cálculos (2)'!G27</f>
        <v>0</v>
      </c>
      <c r="U18" s="911">
        <f>+'2.Cálculos (2)'!H27</f>
        <v>0</v>
      </c>
      <c r="V18" s="908"/>
      <c r="W18" s="907"/>
      <c r="X18" s="1449"/>
      <c r="Y18" s="1373"/>
      <c r="Z18" s="879"/>
      <c r="AA18" s="657"/>
      <c r="AB18" s="657"/>
      <c r="AC18" s="657"/>
      <c r="AD18" s="657"/>
      <c r="AE18" s="657"/>
      <c r="AF18" s="657"/>
      <c r="AG18" s="236"/>
      <c r="AH18" s="128"/>
      <c r="AI18" s="128"/>
      <c r="AJ18" s="128"/>
      <c r="AK18" s="128"/>
      <c r="AL18" s="128"/>
      <c r="AM18" s="1449"/>
      <c r="AN18" s="1373"/>
      <c r="AO18" s="879"/>
      <c r="AP18" s="913" t="e">
        <f>'1. Datos'!L192</f>
        <v>#DIV/0!</v>
      </c>
      <c r="AQ18" s="913" t="e">
        <f>+AP18</f>
        <v>#DIV/0!</v>
      </c>
      <c r="AR18" s="913" t="e">
        <f>+AQ18</f>
        <v>#DIV/0!</v>
      </c>
      <c r="AS18" s="913" t="e">
        <f>+AR18</f>
        <v>#DIV/0!</v>
      </c>
      <c r="AT18" s="913" t="e">
        <f>+AS18</f>
        <v>#DIV/0!</v>
      </c>
      <c r="AU18" s="913" t="e">
        <f>+AT18</f>
        <v>#DIV/0!</v>
      </c>
      <c r="AV18" s="235"/>
      <c r="AW18" s="914" t="s">
        <v>1019</v>
      </c>
      <c r="AX18" s="719"/>
      <c r="AY18" s="719"/>
      <c r="AZ18" s="443"/>
      <c r="BA18" s="128"/>
      <c r="BB18" s="907"/>
      <c r="BC18" s="1449"/>
      <c r="BD18" s="1373"/>
      <c r="BE18" s="879"/>
      <c r="BF18" s="657"/>
      <c r="BG18" s="657"/>
      <c r="BH18" s="657"/>
      <c r="BI18" s="657"/>
      <c r="BJ18" s="657"/>
      <c r="BK18" s="657"/>
      <c r="BL18" s="235"/>
      <c r="BM18" s="1423"/>
      <c r="BN18" s="1347"/>
      <c r="BO18" s="1347"/>
      <c r="BP18" s="1348"/>
      <c r="BQ18" s="850"/>
    </row>
    <row r="19" spans="1:69" ht="35.25" customHeight="1">
      <c r="A19" s="128"/>
      <c r="B19" s="128"/>
      <c r="C19" s="128"/>
      <c r="D19" s="128"/>
      <c r="E19" s="128"/>
      <c r="F19" s="342"/>
      <c r="G19" s="851"/>
      <c r="H19" s="1420"/>
      <c r="I19" s="1361"/>
      <c r="J19" s="1444" t="s">
        <v>486</v>
      </c>
      <c r="K19" s="1361"/>
      <c r="L19" s="851"/>
      <c r="M19" s="906" t="e">
        <f>M15+M18</f>
        <v>#VALUE!</v>
      </c>
      <c r="N19" s="906" t="e">
        <f>N15+N18</f>
        <v>#REF!</v>
      </c>
      <c r="O19" s="906">
        <f>O15+O18</f>
        <v>0</v>
      </c>
      <c r="P19" s="906" t="e">
        <f>P15+P18</f>
        <v>#REF!</v>
      </c>
      <c r="Q19" s="906" t="e">
        <f>Q15+Q18</f>
        <v>#REF!</v>
      </c>
      <c r="R19" s="906">
        <f>R15+R18</f>
        <v>0</v>
      </c>
      <c r="S19" s="906">
        <f>S15+S18</f>
        <v>0</v>
      </c>
      <c r="T19" s="906">
        <f>T15+T18</f>
        <v>0</v>
      </c>
      <c r="U19" s="906">
        <f>U15+U18</f>
        <v>0</v>
      </c>
      <c r="V19" s="908"/>
      <c r="W19" s="907"/>
      <c r="X19" s="1429" t="s">
        <v>484</v>
      </c>
      <c r="Y19" s="1361"/>
      <c r="Z19" s="879"/>
      <c r="AA19" s="915">
        <f>AA15*(1+AA18)</f>
        <v>0</v>
      </c>
      <c r="AB19" s="915">
        <f>AB15*(1+AB18)</f>
        <v>0</v>
      </c>
      <c r="AC19" s="915">
        <f>AC15*(1+AC18)</f>
        <v>0</v>
      </c>
      <c r="AD19" s="915">
        <f>AD15*(1+AD18)</f>
        <v>0</v>
      </c>
      <c r="AE19" s="915">
        <f>AE15*(1+AE18)</f>
        <v>0</v>
      </c>
      <c r="AF19" s="915" t="e">
        <f>AF15*(1+AF18)</f>
        <v>#REF!</v>
      </c>
      <c r="AG19" s="236"/>
      <c r="AH19" s="1430"/>
      <c r="AI19" s="1373"/>
      <c r="AJ19" s="1373"/>
      <c r="AK19" s="1373"/>
      <c r="AL19" s="128"/>
      <c r="AM19" s="1431" t="s">
        <v>487</v>
      </c>
      <c r="AN19" s="1361"/>
      <c r="AO19" s="879"/>
      <c r="AP19" s="910" t="e">
        <f>AP15*(1+AP18)</f>
        <v>#DIV/0!</v>
      </c>
      <c r="AQ19" s="910" t="e">
        <f>AQ15*(1+AQ18)</f>
        <v>#DIV/0!</v>
      </c>
      <c r="AR19" s="910" t="e">
        <f>AR15*(1+AR18)</f>
        <v>#DIV/0!</v>
      </c>
      <c r="AS19" s="910" t="e">
        <f>AS15*(1+AS18)</f>
        <v>#DIV/0!</v>
      </c>
      <c r="AT19" s="910" t="e">
        <f>AT15*(1+AT18)</f>
        <v>#DIV/0!</v>
      </c>
      <c r="AU19" s="910" t="e">
        <f>+(AU15*(1+AU18))/(AP11-AW9)</f>
        <v>#DIV/0!</v>
      </c>
      <c r="AV19" s="235"/>
      <c r="AW19" s="719"/>
      <c r="AX19" s="916" t="s">
        <v>488</v>
      </c>
      <c r="AY19" s="719"/>
      <c r="AZ19" s="443"/>
      <c r="BA19" s="128"/>
      <c r="BB19" s="907"/>
      <c r="BC19" s="1431" t="s">
        <v>487</v>
      </c>
      <c r="BD19" s="1361"/>
      <c r="BE19" s="879"/>
      <c r="BF19" s="910">
        <f>BF15*(1+BF18)</f>
        <v>0</v>
      </c>
      <c r="BG19" s="910">
        <f>BG15*(1+BG18)</f>
        <v>0</v>
      </c>
      <c r="BH19" s="910">
        <f>BH15*(1+BH18)</f>
        <v>0</v>
      </c>
      <c r="BI19" s="910">
        <f>BI15*(1+BI18)</f>
        <v>0</v>
      </c>
      <c r="BJ19" s="910">
        <f>BJ15*(1+BJ18)</f>
        <v>0</v>
      </c>
      <c r="BK19" s="910" t="e">
        <f>BK15*(1+BK18)</f>
        <v>#REF!</v>
      </c>
      <c r="BL19" s="235"/>
      <c r="BM19" s="1406"/>
      <c r="BN19" s="1373"/>
      <c r="BO19" s="1373"/>
      <c r="BP19" s="1374"/>
      <c r="BQ19" s="850"/>
    </row>
    <row r="20" spans="1:69" ht="14.25" customHeight="1">
      <c r="A20" s="128"/>
      <c r="B20" s="128"/>
      <c r="C20" s="128"/>
      <c r="D20" s="128"/>
      <c r="E20" s="128"/>
      <c r="F20" s="342"/>
      <c r="G20" s="851"/>
      <c r="H20" s="851"/>
      <c r="I20" s="851"/>
      <c r="J20" s="917"/>
      <c r="K20" s="917"/>
      <c r="L20" s="851"/>
      <c r="M20" s="783"/>
      <c r="N20" s="918"/>
      <c r="O20" s="783"/>
      <c r="P20" s="918"/>
      <c r="Q20" s="918"/>
      <c r="R20" s="918"/>
      <c r="S20" s="918"/>
      <c r="T20" s="918"/>
      <c r="U20" s="918"/>
      <c r="V20" s="908"/>
      <c r="W20" s="907"/>
      <c r="X20" s="879"/>
      <c r="Y20" s="879"/>
      <c r="Z20" s="879"/>
      <c r="AA20" s="584"/>
      <c r="AB20" s="584"/>
      <c r="AC20" s="584"/>
      <c r="AD20" s="584"/>
      <c r="AE20" s="584"/>
      <c r="AF20" s="584"/>
      <c r="AG20" s="236"/>
      <c r="AH20" s="1423"/>
      <c r="AI20" s="1347"/>
      <c r="AJ20" s="1347"/>
      <c r="AK20" s="1348"/>
      <c r="AL20" s="128"/>
      <c r="AM20" s="879"/>
      <c r="AN20" s="879"/>
      <c r="AO20" s="879"/>
      <c r="AP20" s="783"/>
      <c r="AQ20" s="783"/>
      <c r="AR20" s="783"/>
      <c r="AS20" s="783"/>
      <c r="AT20" s="783"/>
      <c r="AU20" s="783"/>
      <c r="AV20" s="235"/>
      <c r="AW20" s="128"/>
      <c r="AX20" s="128"/>
      <c r="AY20" s="128"/>
      <c r="AZ20" s="128"/>
      <c r="BA20" s="128"/>
      <c r="BB20" s="907"/>
      <c r="BC20" s="879"/>
      <c r="BD20" s="879"/>
      <c r="BE20" s="879"/>
      <c r="BF20" s="783"/>
      <c r="BG20" s="783"/>
      <c r="BH20" s="783"/>
      <c r="BI20" s="783"/>
      <c r="BJ20" s="783"/>
      <c r="BK20" s="783"/>
      <c r="BL20" s="235"/>
      <c r="BM20" s="128"/>
      <c r="BN20" s="128"/>
      <c r="BO20" s="128"/>
      <c r="BP20" s="128"/>
      <c r="BQ20" s="850"/>
    </row>
    <row r="21" spans="1:69" ht="14.25" customHeight="1">
      <c r="A21" s="128"/>
      <c r="B21" s="128"/>
      <c r="C21" s="128"/>
      <c r="D21" s="128"/>
      <c r="E21" s="128"/>
      <c r="F21" s="382"/>
      <c r="G21" s="1433"/>
      <c r="H21" s="1347"/>
      <c r="I21" s="1348"/>
      <c r="J21" s="1445" t="str">
        <f>'2.Cálculos (2)'!B20</f>
        <v>Δ Capital de Trabajo</v>
      </c>
      <c r="K21" s="1348"/>
      <c r="L21" s="851"/>
      <c r="M21" s="783"/>
      <c r="N21" s="585"/>
      <c r="O21" s="585">
        <f>+'2.Cálculos (2)'!C30</f>
        <v>0</v>
      </c>
      <c r="P21" s="585" t="e">
        <f>+'2.Cálculos (2)'!#REF!</f>
        <v>#REF!</v>
      </c>
      <c r="Q21" s="585">
        <f>+'2.Cálculos (2)'!D30</f>
        <v>6046273</v>
      </c>
      <c r="R21" s="585">
        <f>+'2.Cálculos (2)'!E30</f>
        <v>0</v>
      </c>
      <c r="S21" s="585">
        <f>+'2.Cálculos (2)'!F30</f>
        <v>0</v>
      </c>
      <c r="T21" s="919">
        <f>+'2.Cálculos (2)'!G30</f>
        <v>0</v>
      </c>
      <c r="U21" s="919">
        <f>+'2.Cálculos (2)'!H30</f>
        <v>0</v>
      </c>
      <c r="V21" s="908"/>
      <c r="W21" s="907"/>
      <c r="X21" s="1426" t="s">
        <v>489</v>
      </c>
      <c r="Y21" s="1361"/>
      <c r="Z21" s="879"/>
      <c r="AA21" s="1427" t="e">
        <f>AF19</f>
        <v>#REF!</v>
      </c>
      <c r="AB21" s="1360"/>
      <c r="AC21" s="1360"/>
      <c r="AD21" s="1360"/>
      <c r="AE21" s="1360"/>
      <c r="AF21" s="1361"/>
      <c r="AG21" s="236"/>
      <c r="AH21" s="1406"/>
      <c r="AI21" s="1373"/>
      <c r="AJ21" s="1373"/>
      <c r="AK21" s="1374"/>
      <c r="AL21" s="128"/>
      <c r="AM21" s="1426" t="s">
        <v>489</v>
      </c>
      <c r="AN21" s="1361"/>
      <c r="AO21" s="879"/>
      <c r="AP21" s="1427" t="e">
        <f>AU19</f>
        <v>#DIV/0!</v>
      </c>
      <c r="AQ21" s="1360"/>
      <c r="AR21" s="1360"/>
      <c r="AS21" s="1360"/>
      <c r="AT21" s="1360"/>
      <c r="AU21" s="1361"/>
      <c r="AV21" s="235"/>
      <c r="AW21" s="128"/>
      <c r="AX21" s="128"/>
      <c r="AY21" s="128"/>
      <c r="AZ21" s="128"/>
      <c r="BA21" s="128"/>
      <c r="BB21" s="907"/>
      <c r="BC21" s="1426" t="s">
        <v>489</v>
      </c>
      <c r="BD21" s="1361"/>
      <c r="BE21" s="879"/>
      <c r="BF21" s="1427" t="e">
        <f>BK19</f>
        <v>#REF!</v>
      </c>
      <c r="BG21" s="1360"/>
      <c r="BH21" s="1360"/>
      <c r="BI21" s="1360"/>
      <c r="BJ21" s="1360"/>
      <c r="BK21" s="1361"/>
      <c r="BL21" s="235"/>
      <c r="BM21" s="128"/>
      <c r="BN21" s="128"/>
      <c r="BO21" s="128"/>
      <c r="BP21" s="128"/>
      <c r="BQ21" s="850"/>
    </row>
    <row r="22" spans="1:69" ht="14.25" customHeight="1">
      <c r="A22" s="128"/>
      <c r="B22" s="128"/>
      <c r="C22" s="128"/>
      <c r="D22" s="128"/>
      <c r="E22" s="128"/>
      <c r="F22" s="382"/>
      <c r="G22" s="1416"/>
      <c r="H22" s="1334"/>
      <c r="I22" s="1353"/>
      <c r="J22" s="1424" t="str">
        <f>'2.Cálculos (2)'!B32</f>
        <v>Capex</v>
      </c>
      <c r="K22" s="1361"/>
      <c r="L22" s="851"/>
      <c r="M22" s="783"/>
      <c r="N22" s="585"/>
      <c r="O22" s="585">
        <f>+'2.Cálculos (2)'!C32</f>
        <v>0</v>
      </c>
      <c r="P22" s="585" t="e">
        <f>+'2.Cálculos (2)'!#REF!</f>
        <v>#REF!</v>
      </c>
      <c r="Q22" s="585">
        <f>+'2.Cálculos (2)'!D32</f>
        <v>0</v>
      </c>
      <c r="R22" s="585">
        <f>+'2.Cálculos (2)'!E32</f>
        <v>0</v>
      </c>
      <c r="S22" s="585">
        <f>+'2.Cálculos (2)'!F32</f>
        <v>0</v>
      </c>
      <c r="T22" s="919">
        <f>+'2.Cálculos (2)'!G32</f>
        <v>0</v>
      </c>
      <c r="U22" s="919">
        <f>+'2.Cálculos (2)'!H32</f>
        <v>0</v>
      </c>
      <c r="V22" s="908"/>
      <c r="W22" s="907"/>
      <c r="X22" s="908"/>
      <c r="Y22" s="908"/>
      <c r="Z22" s="908"/>
      <c r="AA22" s="918"/>
      <c r="AB22" s="918"/>
      <c r="AC22" s="918"/>
      <c r="AD22" s="918"/>
      <c r="AE22" s="918"/>
      <c r="AF22" s="918"/>
      <c r="AG22" s="236"/>
      <c r="AH22" s="128"/>
      <c r="AI22" s="128"/>
      <c r="AJ22" s="128"/>
      <c r="AK22" s="128"/>
      <c r="AL22" s="128"/>
      <c r="AM22" s="908"/>
      <c r="AN22" s="908"/>
      <c r="AO22" s="908"/>
      <c r="AP22" s="920"/>
      <c r="AQ22" s="920"/>
      <c r="AR22" s="920"/>
      <c r="AS22" s="920"/>
      <c r="AT22" s="920"/>
      <c r="AU22" s="921"/>
      <c r="AV22" s="235"/>
      <c r="AW22" s="128"/>
      <c r="AX22" s="128"/>
      <c r="AY22" s="128"/>
      <c r="AZ22" s="128"/>
      <c r="BA22" s="128"/>
      <c r="BB22" s="907"/>
      <c r="BC22" s="908"/>
      <c r="BD22" s="908"/>
      <c r="BE22" s="908"/>
      <c r="BF22" s="918"/>
      <c r="BG22" s="918"/>
      <c r="BH22" s="918"/>
      <c r="BI22" s="918"/>
      <c r="BJ22" s="918"/>
      <c r="BK22" s="918"/>
      <c r="BL22" s="235"/>
      <c r="BM22" s="128"/>
      <c r="BN22" s="128"/>
      <c r="BO22" s="128"/>
      <c r="BP22" s="128"/>
      <c r="BQ22" s="850"/>
    </row>
    <row r="23" spans="1:69" ht="14.25" customHeight="1">
      <c r="A23" s="128"/>
      <c r="B23" s="128"/>
      <c r="C23" s="128"/>
      <c r="D23" s="128"/>
      <c r="E23" s="128"/>
      <c r="F23" s="382"/>
      <c r="G23" s="1416"/>
      <c r="H23" s="1334"/>
      <c r="I23" s="1353"/>
      <c r="J23" s="1432"/>
      <c r="K23" s="1334"/>
      <c r="L23" s="851"/>
      <c r="M23" s="783"/>
      <c r="N23" s="922"/>
      <c r="O23" s="922"/>
      <c r="P23" s="922"/>
      <c r="Q23" s="922"/>
      <c r="R23" s="922"/>
      <c r="S23" s="922"/>
      <c r="T23" s="922"/>
      <c r="U23" s="922"/>
      <c r="V23" s="908"/>
      <c r="W23" s="907"/>
      <c r="X23" s="1426" t="s">
        <v>490</v>
      </c>
      <c r="Y23" s="1361"/>
      <c r="Z23" s="879"/>
      <c r="AA23" s="584" t="e">
        <f>AA19*$O$32</f>
        <v>#DIV/0!</v>
      </c>
      <c r="AB23" s="584" t="e">
        <f>AB19*$O$32</f>
        <v>#DIV/0!</v>
      </c>
      <c r="AC23" s="584" t="e">
        <f>AC19*$O$32</f>
        <v>#DIV/0!</v>
      </c>
      <c r="AD23" s="584" t="e">
        <f>AD19*$O$32</f>
        <v>#DIV/0!</v>
      </c>
      <c r="AE23" s="584" t="e">
        <f>AE19*$O$32</f>
        <v>#DIV/0!</v>
      </c>
      <c r="AF23" s="584" t="e">
        <f>AF19*$O$32</f>
        <v>#REF!</v>
      </c>
      <c r="AG23" s="236"/>
      <c r="AH23" s="1420"/>
      <c r="AI23" s="1360"/>
      <c r="AJ23" s="1360"/>
      <c r="AK23" s="1361"/>
      <c r="AL23" s="128"/>
      <c r="AM23" s="1426" t="s">
        <v>490</v>
      </c>
      <c r="AN23" s="1361"/>
      <c r="AO23" s="879"/>
      <c r="AP23" s="783" t="e">
        <f>AP19*$O$37</f>
        <v>#DIV/0!</v>
      </c>
      <c r="AQ23" s="783" t="e">
        <f>AQ19*$O$37</f>
        <v>#DIV/0!</v>
      </c>
      <c r="AR23" s="783" t="e">
        <f>AR19*$O$37</f>
        <v>#DIV/0!</v>
      </c>
      <c r="AS23" s="783" t="e">
        <f>AS19*$O$37</f>
        <v>#DIV/0!</v>
      </c>
      <c r="AT23" s="783" t="e">
        <f>AT19*$O$37</f>
        <v>#DIV/0!</v>
      </c>
      <c r="AU23" s="783" t="e">
        <f>AU19*$O$37</f>
        <v>#DIV/0!</v>
      </c>
      <c r="AV23" s="235"/>
      <c r="AW23" s="1420"/>
      <c r="AX23" s="1360"/>
      <c r="AY23" s="1360"/>
      <c r="AZ23" s="1361"/>
      <c r="BA23" s="128"/>
      <c r="BB23" s="907"/>
      <c r="BC23" s="1426" t="s">
        <v>490</v>
      </c>
      <c r="BD23" s="1361"/>
      <c r="BE23" s="879"/>
      <c r="BF23" s="783" t="e">
        <f>BF19*$O$32</f>
        <v>#DIV/0!</v>
      </c>
      <c r="BG23" s="783" t="e">
        <f>BG19*$O$32</f>
        <v>#DIV/0!</v>
      </c>
      <c r="BH23" s="783" t="e">
        <f>BH19*$O$32</f>
        <v>#DIV/0!</v>
      </c>
      <c r="BI23" s="783" t="e">
        <f>BI19*$O$32</f>
        <v>#DIV/0!</v>
      </c>
      <c r="BJ23" s="783" t="e">
        <f>BJ19*$O$32</f>
        <v>#DIV/0!</v>
      </c>
      <c r="BK23" s="783" t="e">
        <f>BK19*$O$32</f>
        <v>#REF!</v>
      </c>
      <c r="BL23" s="235"/>
      <c r="BM23" s="1420"/>
      <c r="BN23" s="1360"/>
      <c r="BO23" s="1360"/>
      <c r="BP23" s="1361"/>
      <c r="BQ23" s="850"/>
    </row>
    <row r="24" spans="1:69" ht="14.25" customHeight="1">
      <c r="A24" s="128"/>
      <c r="B24" s="128"/>
      <c r="C24" s="128"/>
      <c r="D24" s="128"/>
      <c r="E24" s="128"/>
      <c r="F24" s="382"/>
      <c r="G24" s="1406"/>
      <c r="H24" s="1373"/>
      <c r="I24" s="1374"/>
      <c r="J24" s="1424" t="s">
        <v>491</v>
      </c>
      <c r="K24" s="1361"/>
      <c r="L24" s="851"/>
      <c r="M24" s="783"/>
      <c r="N24" s="923"/>
      <c r="O24" s="923">
        <f>SUM(O21:O23)</f>
        <v>0</v>
      </c>
      <c r="P24" s="923" t="e">
        <f>SUM(P21:P23)</f>
        <v>#REF!</v>
      </c>
      <c r="Q24" s="923">
        <f>SUM(Q21:Q23)</f>
        <v>6046273</v>
      </c>
      <c r="R24" s="923">
        <f>SUM(R21:R23)</f>
        <v>0</v>
      </c>
      <c r="S24" s="923">
        <f>SUM(S21:S23)</f>
        <v>0</v>
      </c>
      <c r="T24" s="923">
        <f>SUM(T21:T23)</f>
        <v>0</v>
      </c>
      <c r="U24" s="923">
        <f>SUM(U21:U23)</f>
        <v>0</v>
      </c>
      <c r="V24" s="908"/>
      <c r="W24" s="907"/>
      <c r="X24" s="1426" t="s">
        <v>492</v>
      </c>
      <c r="Y24" s="1361"/>
      <c r="Z24" s="879"/>
      <c r="AA24" s="584" t="e">
        <f>AA19-AA23</f>
        <v>#DIV/0!</v>
      </c>
      <c r="AB24" s="584" t="e">
        <f>AB19-AB23</f>
        <v>#DIV/0!</v>
      </c>
      <c r="AC24" s="584" t="e">
        <f>AC19-AC23</f>
        <v>#DIV/0!</v>
      </c>
      <c r="AD24" s="584" t="e">
        <f>AD19-AD23</f>
        <v>#DIV/0!</v>
      </c>
      <c r="AE24" s="584" t="e">
        <f>AE19-AE23</f>
        <v>#DIV/0!</v>
      </c>
      <c r="AF24" s="584" t="e">
        <f>AF19-AF23</f>
        <v>#REF!</v>
      </c>
      <c r="AG24" s="236"/>
      <c r="AH24" s="1420"/>
      <c r="AI24" s="1360"/>
      <c r="AJ24" s="1360"/>
      <c r="AK24" s="1361"/>
      <c r="AL24" s="128"/>
      <c r="AM24" s="1426" t="s">
        <v>492</v>
      </c>
      <c r="AN24" s="1361"/>
      <c r="AO24" s="879"/>
      <c r="AP24" s="783" t="e">
        <f>AP19-AP23</f>
        <v>#DIV/0!</v>
      </c>
      <c r="AQ24" s="783" t="e">
        <f>AQ19-AQ23</f>
        <v>#DIV/0!</v>
      </c>
      <c r="AR24" s="783" t="e">
        <f>AR19-AR23</f>
        <v>#DIV/0!</v>
      </c>
      <c r="AS24" s="783" t="e">
        <f>AS19-AS23</f>
        <v>#DIV/0!</v>
      </c>
      <c r="AT24" s="783" t="e">
        <f>AT19-AT23</f>
        <v>#DIV/0!</v>
      </c>
      <c r="AU24" s="783" t="e">
        <f>AU19-AU23</f>
        <v>#DIV/0!</v>
      </c>
      <c r="AV24" s="235"/>
      <c r="AW24" s="1420"/>
      <c r="AX24" s="1360"/>
      <c r="AY24" s="1360"/>
      <c r="AZ24" s="1361"/>
      <c r="BA24" s="128"/>
      <c r="BB24" s="907"/>
      <c r="BC24" s="1426" t="s">
        <v>492</v>
      </c>
      <c r="BD24" s="1361"/>
      <c r="BE24" s="879"/>
      <c r="BF24" s="783" t="e">
        <f>BF19-BF23</f>
        <v>#DIV/0!</v>
      </c>
      <c r="BG24" s="783" t="e">
        <f>BG19-BG23</f>
        <v>#DIV/0!</v>
      </c>
      <c r="BH24" s="783" t="e">
        <f>BH19-BH23</f>
        <v>#DIV/0!</v>
      </c>
      <c r="BI24" s="783" t="e">
        <f>BI19-BI23</f>
        <v>#DIV/0!</v>
      </c>
      <c r="BJ24" s="783" t="e">
        <f>BJ19-BJ23</f>
        <v>#DIV/0!</v>
      </c>
      <c r="BK24" s="783" t="e">
        <f>BK19-BK23</f>
        <v>#REF!</v>
      </c>
      <c r="BL24" s="235"/>
      <c r="BM24" s="1420"/>
      <c r="BN24" s="1360"/>
      <c r="BO24" s="1360"/>
      <c r="BP24" s="1361"/>
      <c r="BQ24" s="850"/>
    </row>
    <row r="25" spans="1:69" ht="14.25" customHeight="1">
      <c r="A25" s="128"/>
      <c r="B25" s="128"/>
      <c r="C25" s="128"/>
      <c r="D25" s="128"/>
      <c r="E25" s="128"/>
      <c r="F25" s="342"/>
      <c r="G25" s="851"/>
      <c r="H25" s="851"/>
      <c r="I25" s="851"/>
      <c r="J25" s="917"/>
      <c r="K25" s="917"/>
      <c r="L25" s="851"/>
      <c r="M25" s="783"/>
      <c r="N25" s="788"/>
      <c r="O25" s="788"/>
      <c r="P25" s="924"/>
      <c r="Q25" s="924"/>
      <c r="R25" s="924"/>
      <c r="S25" s="924"/>
      <c r="T25" s="924"/>
      <c r="U25" s="924"/>
      <c r="V25" s="908"/>
      <c r="W25" s="907"/>
      <c r="X25" s="908"/>
      <c r="Y25" s="908"/>
      <c r="Z25" s="908"/>
      <c r="AA25" s="918"/>
      <c r="AB25" s="918"/>
      <c r="AC25" s="918"/>
      <c r="AD25" s="918"/>
      <c r="AE25" s="918"/>
      <c r="AF25" s="918"/>
      <c r="AG25" s="236"/>
      <c r="AH25" s="128"/>
      <c r="AI25" s="128"/>
      <c r="AJ25" s="128"/>
      <c r="AK25" s="128"/>
      <c r="AL25" s="128"/>
      <c r="AM25" s="908"/>
      <c r="AN25" s="908"/>
      <c r="AO25" s="908"/>
      <c r="AP25" s="918"/>
      <c r="AQ25" s="918"/>
      <c r="AR25" s="918"/>
      <c r="AS25" s="918"/>
      <c r="AT25" s="918"/>
      <c r="AU25" s="918"/>
      <c r="AV25" s="235"/>
      <c r="AW25" s="128"/>
      <c r="AX25" s="128"/>
      <c r="AY25" s="128"/>
      <c r="AZ25" s="128"/>
      <c r="BA25" s="128"/>
      <c r="BB25" s="907"/>
      <c r="BC25" s="908"/>
      <c r="BD25" s="908"/>
      <c r="BE25" s="908"/>
      <c r="BF25" s="918"/>
      <c r="BG25" s="918"/>
      <c r="BH25" s="918"/>
      <c r="BI25" s="918"/>
      <c r="BJ25" s="918"/>
      <c r="BK25" s="918"/>
      <c r="BL25" s="235"/>
      <c r="BM25" s="128"/>
      <c r="BN25" s="128"/>
      <c r="BO25" s="128"/>
      <c r="BP25" s="128"/>
      <c r="BQ25" s="850"/>
    </row>
    <row r="26" spans="1:69" ht="14.25" customHeight="1">
      <c r="A26" s="128"/>
      <c r="B26" s="128"/>
      <c r="C26" s="128"/>
      <c r="D26" s="128"/>
      <c r="E26" s="128"/>
      <c r="F26" s="342"/>
      <c r="G26" s="851"/>
      <c r="H26" s="1420"/>
      <c r="I26" s="1361"/>
      <c r="J26" s="1421" t="s">
        <v>493</v>
      </c>
      <c r="K26" s="1361"/>
      <c r="L26" s="851"/>
      <c r="M26" s="783"/>
      <c r="N26" s="923"/>
      <c r="O26" s="923">
        <f>+O19-O24</f>
        <v>0</v>
      </c>
      <c r="P26" s="923" t="e">
        <f>+P19-P24</f>
        <v>#REF!</v>
      </c>
      <c r="Q26" s="923" t="e">
        <f>+Q19-Q24</f>
        <v>#REF!</v>
      </c>
      <c r="R26" s="923">
        <f>+R19-R24</f>
        <v>0</v>
      </c>
      <c r="S26" s="923">
        <f>+S19-S24</f>
        <v>0</v>
      </c>
      <c r="T26" s="923">
        <f>T19+T24</f>
        <v>0</v>
      </c>
      <c r="U26" s="923">
        <f>U19+U24</f>
        <v>0</v>
      </c>
      <c r="V26" s="908"/>
      <c r="W26" s="907"/>
      <c r="X26" s="1426" t="s">
        <v>494</v>
      </c>
      <c r="Y26" s="1361"/>
      <c r="Z26" s="879"/>
      <c r="AA26" s="584" t="e">
        <f>AA23/((1+$AA$11)^AA6)</f>
        <v>#DIV/0!</v>
      </c>
      <c r="AB26" s="584" t="e">
        <f>AB23/((1+$AA$11)^AB6)</f>
        <v>#DIV/0!</v>
      </c>
      <c r="AC26" s="584" t="e">
        <f>AC23/((1+$AA$11)^AC6)</f>
        <v>#DIV/0!</v>
      </c>
      <c r="AD26" s="584" t="e">
        <f>AD23/((1+$AA$11)^AD6)</f>
        <v>#DIV/0!</v>
      </c>
      <c r="AE26" s="584" t="e">
        <f>AE23/((1+$AA$11)^AE6)</f>
        <v>#DIV/0!</v>
      </c>
      <c r="AF26" s="584" t="e">
        <f>AF23/((1+$AA$11)^AF6)</f>
        <v>#REF!</v>
      </c>
      <c r="AG26" s="236"/>
      <c r="AH26" s="1423"/>
      <c r="AI26" s="1347"/>
      <c r="AJ26" s="1348"/>
      <c r="AK26" s="128"/>
      <c r="AL26" s="128"/>
      <c r="AM26" s="1428" t="s">
        <v>494</v>
      </c>
      <c r="AN26" s="1361"/>
      <c r="AO26" s="879"/>
      <c r="AP26" s="783" t="e">
        <f>AP23/((1+$AP$11)^AP6)</f>
        <v>#DIV/0!</v>
      </c>
      <c r="AQ26" s="783" t="e">
        <f>AQ23/((1+$AP$11)^AQ6)</f>
        <v>#DIV/0!</v>
      </c>
      <c r="AR26" s="783" t="e">
        <f>AR23/((1+$AP$11)^AR6)</f>
        <v>#DIV/0!</v>
      </c>
      <c r="AS26" s="783" t="e">
        <f>AS23/((1+$AP$11)^AS6)</f>
        <v>#DIV/0!</v>
      </c>
      <c r="AT26" s="783" t="e">
        <f>AT23/((1+$AP$11)^AT6)</f>
        <v>#DIV/0!</v>
      </c>
      <c r="AU26" s="783" t="e">
        <f>AU23/((1+$AP$11)^AU6)</f>
        <v>#DIV/0!</v>
      </c>
      <c r="AV26" s="235"/>
      <c r="AW26" s="1423"/>
      <c r="AX26" s="1347"/>
      <c r="AY26" s="1348"/>
      <c r="AZ26" s="128"/>
      <c r="BA26" s="128"/>
      <c r="BB26" s="907"/>
      <c r="BC26" s="1426" t="s">
        <v>494</v>
      </c>
      <c r="BD26" s="1361"/>
      <c r="BE26" s="879"/>
      <c r="BF26" s="783" t="e">
        <f>BF23/((1+$AA$11)^BF6)</f>
        <v>#DIV/0!</v>
      </c>
      <c r="BG26" s="783" t="e">
        <f>BG23/((1+$AA$11)^BG6)</f>
        <v>#DIV/0!</v>
      </c>
      <c r="BH26" s="783" t="e">
        <f>BH23/((1+$AA$11)^BH6)</f>
        <v>#DIV/0!</v>
      </c>
      <c r="BI26" s="783" t="e">
        <f>BI23/((1+$AA$11)^BI6)</f>
        <v>#DIV/0!</v>
      </c>
      <c r="BJ26" s="783" t="e">
        <f>BJ23/((1+$AA$11)^BJ6)</f>
        <v>#DIV/0!</v>
      </c>
      <c r="BK26" s="783" t="e">
        <f>BK23/((1+$AA$11)^BK6)</f>
        <v>#REF!</v>
      </c>
      <c r="BL26" s="235"/>
      <c r="BM26" s="1423"/>
      <c r="BN26" s="1347"/>
      <c r="BO26" s="1348"/>
      <c r="BP26" s="128"/>
      <c r="BQ26" s="850"/>
    </row>
    <row r="27" spans="1:69" ht="14.25" customHeight="1">
      <c r="A27" s="128"/>
      <c r="B27" s="128"/>
      <c r="C27" s="128"/>
      <c r="D27" s="128"/>
      <c r="E27" s="128"/>
      <c r="F27" s="342"/>
      <c r="G27" s="851"/>
      <c r="H27" s="1420"/>
      <c r="I27" s="1361"/>
      <c r="J27" s="1421" t="s">
        <v>495</v>
      </c>
      <c r="K27" s="1361"/>
      <c r="L27" s="851"/>
      <c r="M27" s="783"/>
      <c r="N27" s="925"/>
      <c r="O27" s="925" t="e">
        <f>1-(O26/O15)</f>
        <v>#DIV/0!</v>
      </c>
      <c r="P27" s="925" t="e">
        <f>1-(P26/P15)</f>
        <v>#REF!</v>
      </c>
      <c r="Q27" s="925" t="e">
        <f>1-(Q26/Q15)</f>
        <v>#REF!</v>
      </c>
      <c r="R27" s="925" t="e">
        <f>1-(R26/R15)</f>
        <v>#DIV/0!</v>
      </c>
      <c r="S27" s="925" t="e">
        <f>1-(S26/S15)</f>
        <v>#DIV/0!</v>
      </c>
      <c r="T27" s="925" t="e">
        <f>1-(T26/T15)</f>
        <v>#DIV/0!</v>
      </c>
      <c r="U27" s="925" t="e">
        <f>1-(U26/U15)</f>
        <v>#DIV/0!</v>
      </c>
      <c r="V27" s="908"/>
      <c r="W27" s="907"/>
      <c r="X27" s="128"/>
      <c r="Y27" s="128"/>
      <c r="Z27" s="908"/>
      <c r="AA27" s="918"/>
      <c r="AB27" s="918"/>
      <c r="AC27" s="918"/>
      <c r="AD27" s="918"/>
      <c r="AE27" s="918"/>
      <c r="AF27" s="918"/>
      <c r="AG27" s="236"/>
      <c r="AH27" s="1406"/>
      <c r="AI27" s="1373"/>
      <c r="AJ27" s="1374"/>
      <c r="AK27" s="128"/>
      <c r="AL27" s="128"/>
      <c r="AM27" s="47"/>
      <c r="AN27" s="47"/>
      <c r="AO27" s="908"/>
      <c r="AP27" s="918"/>
      <c r="AQ27" s="918"/>
      <c r="AR27" s="918"/>
      <c r="AS27" s="918"/>
      <c r="AT27" s="918"/>
      <c r="AU27" s="918"/>
      <c r="AV27" s="235"/>
      <c r="AW27" s="1406"/>
      <c r="AX27" s="1373"/>
      <c r="AY27" s="1374"/>
      <c r="AZ27" s="128"/>
      <c r="BA27" s="128"/>
      <c r="BB27" s="907"/>
      <c r="BC27" s="128"/>
      <c r="BD27" s="128"/>
      <c r="BE27" s="908"/>
      <c r="BF27" s="918"/>
      <c r="BG27" s="918"/>
      <c r="BH27" s="918"/>
      <c r="BI27" s="918"/>
      <c r="BJ27" s="918"/>
      <c r="BK27" s="918"/>
      <c r="BL27" s="235"/>
      <c r="BM27" s="1406"/>
      <c r="BN27" s="1373"/>
      <c r="BO27" s="1374"/>
      <c r="BP27" s="128"/>
      <c r="BQ27" s="850"/>
    </row>
    <row r="28" spans="1:69" ht="14.25" customHeight="1">
      <c r="A28" s="128"/>
      <c r="B28" s="128"/>
      <c r="C28" s="128"/>
      <c r="D28" s="128"/>
      <c r="E28" s="128"/>
      <c r="F28" s="342"/>
      <c r="G28" s="851"/>
      <c r="H28" s="1422"/>
      <c r="I28" s="1361"/>
      <c r="J28" s="1421" t="s">
        <v>496</v>
      </c>
      <c r="K28" s="1361"/>
      <c r="L28" s="740"/>
      <c r="M28" s="783"/>
      <c r="N28" s="926"/>
      <c r="O28" s="927" t="e">
        <f>1-O27</f>
        <v>#DIV/0!</v>
      </c>
      <c r="P28" s="927" t="e">
        <f>1-P27</f>
        <v>#REF!</v>
      </c>
      <c r="Q28" s="927" t="e">
        <f>1-Q27</f>
        <v>#REF!</v>
      </c>
      <c r="R28" s="927" t="e">
        <f>1-R27</f>
        <v>#DIV/0!</v>
      </c>
      <c r="S28" s="927" t="e">
        <f>1-S27</f>
        <v>#DIV/0!</v>
      </c>
      <c r="T28" s="927" t="e">
        <f>1-T27</f>
        <v>#DIV/0!</v>
      </c>
      <c r="U28" s="927" t="e">
        <f>1-U27</f>
        <v>#DIV/0!</v>
      </c>
      <c r="V28" s="908"/>
      <c r="W28" s="907"/>
      <c r="X28" s="1426" t="s">
        <v>497</v>
      </c>
      <c r="Y28" s="1361"/>
      <c r="Z28" s="128"/>
      <c r="AA28" s="1427" t="e">
        <f>SUM(AA26:AF26)</f>
        <v>#DIV/0!</v>
      </c>
      <c r="AB28" s="1360"/>
      <c r="AC28" s="1360"/>
      <c r="AD28" s="1360"/>
      <c r="AE28" s="1360"/>
      <c r="AF28" s="1361"/>
      <c r="AG28" s="236"/>
      <c r="AH28" s="128"/>
      <c r="AI28" s="128"/>
      <c r="AJ28" s="128"/>
      <c r="AK28" s="128"/>
      <c r="AL28" s="128"/>
      <c r="AM28" s="1428" t="s">
        <v>497</v>
      </c>
      <c r="AN28" s="1361"/>
      <c r="AO28" s="128"/>
      <c r="AP28" s="1427" t="e">
        <f>IF(SUM(AP26:AU26)&gt;0,SUM(AP26:AU26),0)</f>
        <v>#DIV/0!</v>
      </c>
      <c r="AQ28" s="1360"/>
      <c r="AR28" s="1360"/>
      <c r="AS28" s="1360"/>
      <c r="AT28" s="1360"/>
      <c r="AU28" s="1361"/>
      <c r="AV28" s="235"/>
      <c r="AW28" s="128"/>
      <c r="AX28" s="128"/>
      <c r="AY28" s="128"/>
      <c r="AZ28" s="128"/>
      <c r="BA28" s="128"/>
      <c r="BB28" s="907"/>
      <c r="BC28" s="1426" t="s">
        <v>497</v>
      </c>
      <c r="BD28" s="1361"/>
      <c r="BE28" s="128"/>
      <c r="BF28" s="1427" t="e">
        <f>SUM(BF26:BK26)</f>
        <v>#DIV/0!</v>
      </c>
      <c r="BG28" s="1360"/>
      <c r="BH28" s="1360"/>
      <c r="BI28" s="1360"/>
      <c r="BJ28" s="1360"/>
      <c r="BK28" s="1361"/>
      <c r="BL28" s="235"/>
      <c r="BM28" s="128"/>
      <c r="BN28" s="128"/>
      <c r="BO28" s="128"/>
      <c r="BP28" s="128"/>
      <c r="BQ28" s="850"/>
    </row>
    <row r="29" spans="1:69" ht="14.25" customHeight="1">
      <c r="A29" s="128"/>
      <c r="B29" s="128"/>
      <c r="C29" s="128"/>
      <c r="D29" s="128"/>
      <c r="E29" s="128"/>
      <c r="F29" s="342"/>
      <c r="G29" s="851"/>
      <c r="H29" s="128"/>
      <c r="I29" s="851"/>
      <c r="J29" s="917"/>
      <c r="K29" s="917"/>
      <c r="L29" s="851"/>
      <c r="M29" s="783"/>
      <c r="N29" s="851"/>
      <c r="O29" s="928"/>
      <c r="P29" s="925"/>
      <c r="Q29" s="925"/>
      <c r="R29" s="925"/>
      <c r="S29" s="925"/>
      <c r="T29" s="925"/>
      <c r="U29" s="908"/>
      <c r="V29" s="908"/>
      <c r="W29" s="907"/>
      <c r="X29" s="128"/>
      <c r="Y29" s="128"/>
      <c r="Z29" s="128"/>
      <c r="AA29" s="584"/>
      <c r="AB29" s="584"/>
      <c r="AC29" s="584"/>
      <c r="AD29" s="584"/>
      <c r="AE29" s="584"/>
      <c r="AF29" s="918"/>
      <c r="AG29" s="236"/>
      <c r="AH29" s="128"/>
      <c r="AI29" s="128"/>
      <c r="AJ29" s="128"/>
      <c r="AK29" s="128"/>
      <c r="AL29" s="128"/>
      <c r="AM29" s="47"/>
      <c r="AN29" s="47"/>
      <c r="AO29" s="128"/>
      <c r="AP29" s="783"/>
      <c r="AQ29" s="783"/>
      <c r="AR29" s="783"/>
      <c r="AS29" s="783"/>
      <c r="AT29" s="783"/>
      <c r="AU29" s="918"/>
      <c r="AV29" s="235"/>
      <c r="AW29" s="128"/>
      <c r="AX29" s="128"/>
      <c r="AY29" s="128"/>
      <c r="AZ29" s="128"/>
      <c r="BA29" s="128"/>
      <c r="BB29" s="907"/>
      <c r="BC29" s="128"/>
      <c r="BD29" s="128"/>
      <c r="BE29" s="128"/>
      <c r="BF29" s="783"/>
      <c r="BG29" s="783"/>
      <c r="BH29" s="783"/>
      <c r="BI29" s="783"/>
      <c r="BJ29" s="783"/>
      <c r="BK29" s="918"/>
      <c r="BL29" s="235"/>
      <c r="BM29" s="128"/>
      <c r="BN29" s="128"/>
      <c r="BO29" s="128"/>
      <c r="BP29" s="128"/>
      <c r="BQ29" s="850"/>
    </row>
    <row r="30" spans="1:69" ht="14.25" customHeight="1">
      <c r="A30" s="128"/>
      <c r="B30" s="128"/>
      <c r="C30" s="128"/>
      <c r="D30" s="128"/>
      <c r="E30" s="128"/>
      <c r="F30" s="342"/>
      <c r="G30" s="851"/>
      <c r="H30" s="851"/>
      <c r="I30" s="851"/>
      <c r="J30" s="1424" t="s">
        <v>498</v>
      </c>
      <c r="K30" s="1361"/>
      <c r="L30" s="851"/>
      <c r="M30" s="851"/>
      <c r="N30" s="851"/>
      <c r="O30" s="1425" t="e">
        <f>MEDIAN(T27,U27)</f>
        <v>#DIV/0!</v>
      </c>
      <c r="P30" s="1360"/>
      <c r="Q30" s="1360"/>
      <c r="R30" s="1360"/>
      <c r="S30" s="1360"/>
      <c r="T30" s="1360"/>
      <c r="U30" s="1361"/>
      <c r="V30" s="908"/>
      <c r="W30" s="907"/>
      <c r="X30" s="1426" t="s">
        <v>499</v>
      </c>
      <c r="Y30" s="1361"/>
      <c r="Z30" s="908"/>
      <c r="AA30" s="1427" t="e">
        <v>#REF!</v>
      </c>
      <c r="AB30" s="1360"/>
      <c r="AC30" s="1360"/>
      <c r="AD30" s="1360"/>
      <c r="AE30" s="1360"/>
      <c r="AF30" s="1361"/>
      <c r="AG30" s="236"/>
      <c r="AH30" s="128"/>
      <c r="AI30" s="128"/>
      <c r="AJ30" s="128"/>
      <c r="AK30" s="128"/>
      <c r="AL30" s="128"/>
      <c r="AM30" s="1428" t="s">
        <v>500</v>
      </c>
      <c r="AN30" s="1361"/>
      <c r="AO30" s="908"/>
      <c r="AP30" s="1427">
        <f>+'1. Datos'!H119</f>
        <v>0</v>
      </c>
      <c r="AQ30" s="1360"/>
      <c r="AR30" s="1360"/>
      <c r="AS30" s="1360"/>
      <c r="AT30" s="1360"/>
      <c r="AU30" s="1361"/>
      <c r="AV30" s="235"/>
      <c r="AW30" s="128"/>
      <c r="AX30" s="128"/>
      <c r="AY30" s="128"/>
      <c r="AZ30" s="128"/>
      <c r="BA30" s="128"/>
      <c r="BB30" s="907"/>
      <c r="BC30" s="1426" t="s">
        <v>499</v>
      </c>
      <c r="BD30" s="1361"/>
      <c r="BE30" s="908"/>
      <c r="BF30" s="1427" t="e">
        <v>#REF!</v>
      </c>
      <c r="BG30" s="1360"/>
      <c r="BH30" s="1360"/>
      <c r="BI30" s="1360"/>
      <c r="BJ30" s="1360"/>
      <c r="BK30" s="1361"/>
      <c r="BL30" s="235"/>
      <c r="BM30" s="128"/>
      <c r="BN30" s="128"/>
      <c r="BO30" s="128"/>
      <c r="BP30" s="128"/>
      <c r="BQ30" s="850"/>
    </row>
    <row r="31" spans="1:69" ht="14.25" customHeight="1">
      <c r="A31" s="128"/>
      <c r="B31" s="128"/>
      <c r="C31" s="128"/>
      <c r="D31" s="128"/>
      <c r="E31" s="128"/>
      <c r="F31" s="342"/>
      <c r="G31" s="851"/>
      <c r="H31" s="851"/>
      <c r="I31" s="851"/>
      <c r="J31" s="929"/>
      <c r="K31" s="929"/>
      <c r="L31" s="851"/>
      <c r="M31" s="851"/>
      <c r="N31" s="851"/>
      <c r="O31" s="928"/>
      <c r="P31" s="925"/>
      <c r="Q31" s="925"/>
      <c r="R31" s="925"/>
      <c r="S31" s="925"/>
      <c r="T31" s="925"/>
      <c r="U31" s="908"/>
      <c r="V31" s="908"/>
      <c r="W31" s="907"/>
      <c r="X31" s="930"/>
      <c r="Y31" s="930"/>
      <c r="Z31" s="908"/>
      <c r="AA31" s="918"/>
      <c r="AB31" s="918"/>
      <c r="AC31" s="918"/>
      <c r="AD31" s="918"/>
      <c r="AE31" s="918"/>
      <c r="AF31" s="918"/>
      <c r="AG31" s="236"/>
      <c r="AH31" s="128"/>
      <c r="AI31" s="128"/>
      <c r="AJ31" s="128"/>
      <c r="AK31" s="128"/>
      <c r="AL31" s="128"/>
      <c r="AM31" s="931"/>
      <c r="AN31" s="931"/>
      <c r="AO31" s="908"/>
      <c r="AP31" s="918"/>
      <c r="AQ31" s="918"/>
      <c r="AR31" s="918"/>
      <c r="AS31" s="918"/>
      <c r="AT31" s="918"/>
      <c r="AU31" s="918"/>
      <c r="AV31" s="235"/>
      <c r="AW31" s="128"/>
      <c r="AX31" s="128"/>
      <c r="AY31" s="128"/>
      <c r="AZ31" s="128"/>
      <c r="BA31" s="128"/>
      <c r="BB31" s="907"/>
      <c r="BC31" s="908"/>
      <c r="BD31" s="908"/>
      <c r="BE31" s="908"/>
      <c r="BF31" s="918"/>
      <c r="BG31" s="918"/>
      <c r="BH31" s="918"/>
      <c r="BI31" s="918"/>
      <c r="BJ31" s="918"/>
      <c r="BK31" s="918"/>
      <c r="BL31" s="235"/>
      <c r="BM31" s="128"/>
      <c r="BN31" s="128"/>
      <c r="BO31" s="128"/>
      <c r="BP31" s="128"/>
      <c r="BQ31" s="850"/>
    </row>
    <row r="32" spans="1:69" ht="14.25" hidden="1" customHeight="1">
      <c r="A32" s="128"/>
      <c r="B32" s="128"/>
      <c r="C32" s="128"/>
      <c r="D32" s="128"/>
      <c r="E32" s="128"/>
      <c r="F32" s="342"/>
      <c r="G32" s="851"/>
      <c r="H32" s="851"/>
      <c r="I32" s="851"/>
      <c r="J32" s="1424" t="s">
        <v>501</v>
      </c>
      <c r="K32" s="1361"/>
      <c r="L32" s="851"/>
      <c r="M32" s="851"/>
      <c r="N32" s="851"/>
      <c r="O32" s="1425" t="e">
        <f>+AVERAGE(N28:R28)</f>
        <v>#DIV/0!</v>
      </c>
      <c r="P32" s="1360"/>
      <c r="Q32" s="1360"/>
      <c r="R32" s="1361"/>
      <c r="S32" s="925"/>
      <c r="T32" s="925"/>
      <c r="U32" s="851"/>
      <c r="V32" s="851"/>
      <c r="W32" s="856"/>
      <c r="X32" s="1426" t="s">
        <v>410</v>
      </c>
      <c r="Y32" s="1361"/>
      <c r="Z32" s="908"/>
      <c r="AA32" s="1427" t="e">
        <f>#REF!</f>
        <v>#REF!</v>
      </c>
      <c r="AB32" s="1360"/>
      <c r="AC32" s="1360"/>
      <c r="AD32" s="1360"/>
      <c r="AE32" s="1360"/>
      <c r="AF32" s="1361"/>
      <c r="AG32" s="236"/>
      <c r="AH32" s="1420"/>
      <c r="AI32" s="1360"/>
      <c r="AJ32" s="1361"/>
      <c r="AK32" s="128"/>
      <c r="AL32" s="128"/>
      <c r="AM32" s="1431" t="s">
        <v>1020</v>
      </c>
      <c r="AN32" s="1361"/>
      <c r="AO32" s="908"/>
      <c r="AP32" s="1427" t="e">
        <f>ROUND(#REF!+#REF!,-3)</f>
        <v>#REF!</v>
      </c>
      <c r="AQ32" s="1360"/>
      <c r="AR32" s="1360"/>
      <c r="AS32" s="1360"/>
      <c r="AT32" s="1360"/>
      <c r="AU32" s="1361"/>
      <c r="AV32" s="235"/>
      <c r="AW32" s="1420"/>
      <c r="AX32" s="1360"/>
      <c r="AY32" s="1360"/>
      <c r="AZ32" s="1361"/>
      <c r="BA32" s="128"/>
      <c r="BB32" s="856"/>
      <c r="BC32" s="1438" t="s">
        <v>502</v>
      </c>
      <c r="BD32" s="1361"/>
      <c r="BE32" s="908"/>
      <c r="BF32" s="1427" t="e">
        <f>BF28-BF30</f>
        <v>#DIV/0!</v>
      </c>
      <c r="BG32" s="1360"/>
      <c r="BH32" s="1360"/>
      <c r="BI32" s="1360"/>
      <c r="BJ32" s="1360"/>
      <c r="BK32" s="1361"/>
      <c r="BL32" s="235"/>
      <c r="BM32" s="1420"/>
      <c r="BN32" s="1360"/>
      <c r="BO32" s="1360"/>
      <c r="BP32" s="1361"/>
      <c r="BQ32" s="850"/>
    </row>
    <row r="33" spans="1:69" ht="24.75" hidden="1" customHeight="1">
      <c r="A33" s="128"/>
      <c r="B33" s="128"/>
      <c r="C33" s="128"/>
      <c r="D33" s="128"/>
      <c r="E33" s="128"/>
      <c r="F33" s="342"/>
      <c r="G33" s="851"/>
      <c r="H33" s="851"/>
      <c r="I33" s="851"/>
      <c r="J33" s="51" t="s">
        <v>503</v>
      </c>
      <c r="K33" s="128"/>
      <c r="L33" s="128"/>
      <c r="M33" s="128"/>
      <c r="N33" s="128"/>
      <c r="O33" s="128"/>
      <c r="P33" s="932"/>
      <c r="Q33" s="932"/>
      <c r="R33" s="932"/>
      <c r="S33" s="925"/>
      <c r="T33" s="925"/>
      <c r="U33" s="851"/>
      <c r="V33" s="851"/>
      <c r="W33" s="856"/>
      <c r="X33" s="930"/>
      <c r="Y33" s="930"/>
      <c r="Z33" s="908"/>
      <c r="AA33" s="918"/>
      <c r="AB33" s="918"/>
      <c r="AC33" s="918"/>
      <c r="AD33" s="918"/>
      <c r="AE33" s="918"/>
      <c r="AF33" s="918"/>
      <c r="AG33" s="236"/>
      <c r="AH33" s="128"/>
      <c r="AI33" s="128"/>
      <c r="AJ33" s="128"/>
      <c r="AK33" s="128"/>
      <c r="AL33" s="128"/>
      <c r="AM33" s="930"/>
      <c r="AN33" s="930"/>
      <c r="AO33" s="908"/>
      <c r="AP33" s="918"/>
      <c r="AQ33" s="918"/>
      <c r="AR33" s="918"/>
      <c r="AS33" s="918"/>
      <c r="AT33" s="918"/>
      <c r="AU33" s="918"/>
      <c r="AV33" s="235"/>
      <c r="AW33" s="128"/>
      <c r="AX33" s="128"/>
      <c r="AY33" s="128"/>
      <c r="AZ33" s="128"/>
      <c r="BA33" s="128"/>
      <c r="BB33" s="856"/>
      <c r="BC33" s="933"/>
      <c r="BD33" s="933"/>
      <c r="BE33" s="934"/>
      <c r="BF33" s="935"/>
      <c r="BG33" s="935"/>
      <c r="BH33" s="935"/>
      <c r="BI33" s="935"/>
      <c r="BJ33" s="935"/>
      <c r="BK33" s="935"/>
      <c r="BL33" s="235"/>
      <c r="BM33" s="128"/>
      <c r="BN33" s="128"/>
      <c r="BO33" s="128"/>
      <c r="BP33" s="128"/>
      <c r="BQ33" s="850"/>
    </row>
    <row r="34" spans="1:69" ht="18" customHeight="1">
      <c r="A34" s="128"/>
      <c r="B34" s="128"/>
      <c r="C34" s="128"/>
      <c r="D34" s="128"/>
      <c r="E34" s="128"/>
      <c r="F34" s="342"/>
      <c r="G34" s="851"/>
      <c r="H34" s="851"/>
      <c r="I34" s="851"/>
      <c r="J34" s="128"/>
      <c r="K34" s="128"/>
      <c r="L34" s="128"/>
      <c r="M34" s="128"/>
      <c r="N34" s="128"/>
      <c r="O34" s="925"/>
      <c r="P34" s="723"/>
      <c r="Q34" s="723"/>
      <c r="R34" s="723"/>
      <c r="S34" s="925"/>
      <c r="T34" s="925"/>
      <c r="U34" s="851"/>
      <c r="V34" s="851"/>
      <c r="W34" s="856"/>
      <c r="X34" s="1426"/>
      <c r="Y34" s="1361"/>
      <c r="Z34" s="908"/>
      <c r="AA34" s="1427" t="e">
        <f>AA26+AA24</f>
        <v>#DIV/0!</v>
      </c>
      <c r="AB34" s="1360"/>
      <c r="AC34" s="1360"/>
      <c r="AD34" s="1360"/>
      <c r="AE34" s="1360"/>
      <c r="AF34" s="1361"/>
      <c r="AG34" s="236"/>
      <c r="AH34" s="1420"/>
      <c r="AI34" s="1360"/>
      <c r="AJ34" s="1360"/>
      <c r="AK34" s="1361"/>
      <c r="AL34" s="342"/>
      <c r="AM34" s="1438" t="s">
        <v>504</v>
      </c>
      <c r="AN34" s="1361"/>
      <c r="AO34" s="908"/>
      <c r="AP34" s="1443" t="e">
        <f>+AP28-AP30</f>
        <v>#DIV/0!</v>
      </c>
      <c r="AQ34" s="1360"/>
      <c r="AR34" s="1360"/>
      <c r="AS34" s="1360"/>
      <c r="AT34" s="1360"/>
      <c r="AU34" s="1361"/>
      <c r="AV34" s="235"/>
      <c r="AW34" s="128"/>
      <c r="AX34" s="128"/>
      <c r="AY34" s="128"/>
      <c r="AZ34" s="128"/>
      <c r="BA34" s="128"/>
      <c r="BB34" s="856"/>
      <c r="BC34" s="936"/>
      <c r="BD34" s="936"/>
      <c r="BE34" s="937"/>
      <c r="BF34" s="938"/>
      <c r="BG34" s="938"/>
      <c r="BH34" s="938"/>
      <c r="BI34" s="938"/>
      <c r="BJ34" s="938"/>
      <c r="BK34" s="938"/>
      <c r="BL34" s="235"/>
      <c r="BM34" s="128"/>
      <c r="BN34" s="128"/>
      <c r="BO34" s="128"/>
      <c r="BP34" s="128"/>
      <c r="BQ34" s="850"/>
    </row>
    <row r="35" spans="1:69" ht="18" customHeight="1">
      <c r="A35" s="128"/>
      <c r="B35" s="128"/>
      <c r="C35" s="128"/>
      <c r="D35" s="128"/>
      <c r="E35" s="128"/>
      <c r="F35" s="342"/>
      <c r="G35" s="851"/>
      <c r="H35" s="851"/>
      <c r="I35" s="851"/>
      <c r="J35" s="1424" t="s">
        <v>495</v>
      </c>
      <c r="K35" s="1361"/>
      <c r="L35" s="851"/>
      <c r="M35" s="851"/>
      <c r="N35" s="925"/>
      <c r="O35" s="1425" t="e">
        <f>AVERAGE(T28:U28)</f>
        <v>#DIV/0!</v>
      </c>
      <c r="P35" s="1360"/>
      <c r="Q35" s="1360"/>
      <c r="R35" s="1360"/>
      <c r="S35" s="1360"/>
      <c r="T35" s="1360"/>
      <c r="U35" s="1361"/>
      <c r="V35" s="851"/>
      <c r="W35" s="856"/>
      <c r="X35" s="128"/>
      <c r="Y35" s="128"/>
      <c r="Z35" s="128"/>
      <c r="AA35" s="128"/>
      <c r="AB35" s="128"/>
      <c r="AC35" s="128"/>
      <c r="AD35" s="128"/>
      <c r="AE35" s="128"/>
      <c r="AF35" s="128"/>
      <c r="AG35" s="128"/>
      <c r="AH35" s="128"/>
      <c r="AI35" s="128"/>
      <c r="AJ35" s="128"/>
      <c r="AK35" s="128"/>
      <c r="AL35" s="128"/>
      <c r="AM35" s="128"/>
      <c r="AN35" s="128"/>
      <c r="AO35" s="128"/>
      <c r="AP35" s="939"/>
      <c r="AQ35" s="939"/>
      <c r="AR35" s="939"/>
      <c r="AS35" s="939"/>
      <c r="AT35" s="939"/>
      <c r="AU35" s="939"/>
      <c r="AV35" s="235"/>
      <c r="AW35" s="1420"/>
      <c r="AX35" s="1360"/>
      <c r="AY35" s="1361"/>
      <c r="AZ35" s="128"/>
      <c r="BA35" s="128"/>
      <c r="BB35" s="856"/>
      <c r="BC35" s="1426" t="s">
        <v>410</v>
      </c>
      <c r="BD35" s="1361"/>
      <c r="BE35" s="908"/>
      <c r="BF35" s="1427" t="e">
        <f>BF32</f>
        <v>#DIV/0!</v>
      </c>
      <c r="BG35" s="1360"/>
      <c r="BH35" s="1360"/>
      <c r="BI35" s="1360"/>
      <c r="BJ35" s="1360"/>
      <c r="BK35" s="1361"/>
      <c r="BL35" s="235"/>
      <c r="BM35" s="1420"/>
      <c r="BN35" s="1360"/>
      <c r="BO35" s="1361"/>
      <c r="BP35" s="128"/>
      <c r="BQ35" s="850"/>
    </row>
    <row r="36" spans="1:69" ht="27.75" customHeight="1">
      <c r="A36" s="128"/>
      <c r="B36" s="128"/>
      <c r="C36" s="128"/>
      <c r="D36" s="128"/>
      <c r="E36" s="128"/>
      <c r="F36" s="342"/>
      <c r="G36" s="851"/>
      <c r="H36" s="851"/>
      <c r="I36" s="851"/>
      <c r="J36" s="940"/>
      <c r="K36" s="128"/>
      <c r="L36" s="128"/>
      <c r="M36" s="128"/>
      <c r="N36" s="128"/>
      <c r="O36" s="128"/>
      <c r="P36" s="851"/>
      <c r="Q36" s="851"/>
      <c r="R36" s="851"/>
      <c r="S36" s="925"/>
      <c r="T36" s="925"/>
      <c r="U36" s="851"/>
      <c r="V36" s="851"/>
      <c r="W36" s="856"/>
      <c r="X36" s="1434"/>
      <c r="Y36" s="1361"/>
      <c r="Z36" s="128"/>
      <c r="AA36" s="128"/>
      <c r="AB36" s="128"/>
      <c r="AC36" s="128"/>
      <c r="AD36" s="128"/>
      <c r="AE36" s="128"/>
      <c r="AF36" s="128"/>
      <c r="AG36" s="128"/>
      <c r="AH36" s="128"/>
      <c r="AI36" s="128"/>
      <c r="AJ36" s="128"/>
      <c r="AK36" s="128"/>
      <c r="AL36" s="128"/>
      <c r="AM36" s="1434" t="s">
        <v>505</v>
      </c>
      <c r="AN36" s="1361"/>
      <c r="AO36" s="128"/>
      <c r="AP36" s="1435" t="e">
        <f>+ROUND(AP34,-3)</f>
        <v>#DIV/0!</v>
      </c>
      <c r="AQ36" s="1360"/>
      <c r="AR36" s="1360"/>
      <c r="AS36" s="1360"/>
      <c r="AT36" s="1360"/>
      <c r="AU36" s="1361"/>
      <c r="AV36" s="235"/>
      <c r="AW36" s="128"/>
      <c r="AX36" s="128"/>
      <c r="AY36" s="128"/>
      <c r="AZ36" s="128"/>
      <c r="BA36" s="128"/>
      <c r="BB36" s="856"/>
      <c r="BC36" s="930"/>
      <c r="BD36" s="930"/>
      <c r="BE36" s="908"/>
      <c r="BF36" s="918"/>
      <c r="BG36" s="918"/>
      <c r="BH36" s="918"/>
      <c r="BI36" s="918"/>
      <c r="BJ36" s="918"/>
      <c r="BK36" s="918"/>
      <c r="BL36" s="235"/>
      <c r="BM36" s="128"/>
      <c r="BN36" s="128"/>
      <c r="BO36" s="128"/>
      <c r="BP36" s="128"/>
      <c r="BQ36" s="850"/>
    </row>
    <row r="37" spans="1:69" ht="15.75" customHeight="1">
      <c r="A37" s="128"/>
      <c r="B37" s="128"/>
      <c r="C37" s="128"/>
      <c r="D37" s="128"/>
      <c r="E37" s="128"/>
      <c r="F37" s="342"/>
      <c r="G37" s="851"/>
      <c r="H37" s="851"/>
      <c r="I37" s="851"/>
      <c r="J37" s="1424" t="s">
        <v>506</v>
      </c>
      <c r="K37" s="1361"/>
      <c r="L37" s="851"/>
      <c r="M37" s="851"/>
      <c r="N37" s="925"/>
      <c r="O37" s="1425">
        <f>1-'reinvestment us'!D77</f>
        <v>0.61280731219863394</v>
      </c>
      <c r="P37" s="1360"/>
      <c r="Q37" s="1360"/>
      <c r="R37" s="1360"/>
      <c r="S37" s="1360"/>
      <c r="T37" s="1360"/>
      <c r="U37" s="1361"/>
      <c r="V37" s="851"/>
      <c r="W37" s="851"/>
      <c r="X37" s="128"/>
      <c r="Y37" s="128"/>
      <c r="Z37" s="128"/>
      <c r="AA37" s="128"/>
      <c r="AB37" s="128"/>
      <c r="AC37" s="128"/>
      <c r="AD37" s="128"/>
      <c r="AE37" s="128"/>
      <c r="AF37" s="128"/>
      <c r="AG37" s="128"/>
      <c r="AH37" s="128"/>
      <c r="AI37" s="128"/>
      <c r="AJ37" s="128"/>
      <c r="AK37" s="128"/>
      <c r="AL37" s="128"/>
      <c r="AM37" s="128"/>
      <c r="AN37" s="128"/>
      <c r="AO37" s="128"/>
      <c r="AP37" s="128"/>
      <c r="AQ37" s="128"/>
      <c r="AR37" s="128"/>
      <c r="AS37" s="128"/>
      <c r="AT37" s="128"/>
      <c r="AU37" s="128"/>
      <c r="AV37" s="235"/>
      <c r="AW37" s="1420"/>
      <c r="AX37" s="1360"/>
      <c r="AY37" s="1360"/>
      <c r="AZ37" s="1361"/>
      <c r="BA37" s="342"/>
      <c r="BB37" s="856"/>
      <c r="BC37" s="1426" t="s">
        <v>406</v>
      </c>
      <c r="BD37" s="1361"/>
      <c r="BE37" s="908"/>
      <c r="BF37" s="1427" t="e">
        <f>BF32+BF30</f>
        <v>#DIV/0!</v>
      </c>
      <c r="BG37" s="1360"/>
      <c r="BH37" s="1360"/>
      <c r="BI37" s="1360"/>
      <c r="BJ37" s="1360"/>
      <c r="BK37" s="1361"/>
      <c r="BL37" s="235"/>
      <c r="BM37" s="1420"/>
      <c r="BN37" s="1360"/>
      <c r="BO37" s="1360"/>
      <c r="BP37" s="1361"/>
      <c r="BQ37" s="382"/>
    </row>
    <row r="38" spans="1:69" ht="26.25" hidden="1" customHeight="1">
      <c r="A38" s="128"/>
      <c r="B38" s="128"/>
      <c r="C38" s="128"/>
      <c r="D38" s="128"/>
      <c r="E38" s="128"/>
      <c r="F38" s="342"/>
      <c r="G38" s="851"/>
      <c r="H38" s="851"/>
      <c r="I38" s="851"/>
      <c r="J38" s="925"/>
      <c r="K38" s="925"/>
      <c r="L38" s="925"/>
      <c r="M38" s="740"/>
      <c r="N38" s="925"/>
      <c r="O38" s="925"/>
      <c r="P38" s="925"/>
      <c r="Q38" s="925"/>
      <c r="R38" s="925"/>
      <c r="S38" s="925"/>
      <c r="T38" s="925"/>
      <c r="U38" s="851"/>
      <c r="V38" s="851"/>
      <c r="W38" s="851"/>
      <c r="X38" s="1434"/>
      <c r="Y38" s="1361"/>
      <c r="Z38" s="128"/>
      <c r="AA38" s="128"/>
      <c r="AB38" s="128"/>
      <c r="AC38" s="128"/>
      <c r="AD38" s="128"/>
      <c r="AE38" s="128"/>
      <c r="AF38" s="128"/>
      <c r="AG38" s="128"/>
      <c r="AH38" s="128"/>
      <c r="AI38" s="128"/>
      <c r="AJ38" s="128"/>
      <c r="AK38" s="128"/>
      <c r="AL38" s="128"/>
      <c r="AM38" s="1434" t="s">
        <v>507</v>
      </c>
      <c r="AN38" s="1361"/>
      <c r="AO38" s="128"/>
      <c r="AP38" s="1439" t="e">
        <f>+AP36+AP30</f>
        <v>#DIV/0!</v>
      </c>
      <c r="AQ38" s="1360"/>
      <c r="AR38" s="1360"/>
      <c r="AS38" s="1360"/>
      <c r="AT38" s="1360"/>
      <c r="AU38" s="1361"/>
      <c r="AV38" s="128"/>
      <c r="AW38" s="443"/>
      <c r="AX38" s="443"/>
      <c r="AY38" s="443"/>
      <c r="AZ38" s="443"/>
      <c r="BA38" s="128"/>
      <c r="BB38" s="851"/>
      <c r="BC38" s="912"/>
      <c r="BD38" s="912"/>
      <c r="BE38" s="908"/>
      <c r="BF38" s="941"/>
      <c r="BG38" s="941"/>
      <c r="BH38" s="941"/>
      <c r="BI38" s="941"/>
      <c r="BJ38" s="941"/>
      <c r="BK38" s="941"/>
      <c r="BL38" s="235"/>
      <c r="BM38" s="443"/>
      <c r="BN38" s="443"/>
      <c r="BO38" s="443"/>
      <c r="BP38" s="443"/>
      <c r="BQ38" s="850"/>
    </row>
    <row r="39" spans="1:69" ht="15.75" hidden="1" customHeight="1">
      <c r="A39" s="128"/>
      <c r="B39" s="128"/>
      <c r="C39" s="128"/>
      <c r="D39" s="128"/>
      <c r="E39" s="128"/>
      <c r="F39" s="342"/>
      <c r="G39" s="851"/>
      <c r="H39" s="851"/>
      <c r="I39" s="851"/>
      <c r="J39" s="925"/>
      <c r="K39" s="925"/>
      <c r="L39" s="925"/>
      <c r="M39" s="851"/>
      <c r="N39" s="925"/>
      <c r="O39" s="925"/>
      <c r="P39" s="925"/>
      <c r="Q39" s="925"/>
      <c r="R39" s="925"/>
      <c r="S39" s="925"/>
      <c r="T39" s="925"/>
      <c r="U39" s="851"/>
      <c r="V39" s="851"/>
      <c r="W39" s="851"/>
      <c r="X39" s="942"/>
      <c r="Y39" s="942"/>
      <c r="Z39" s="942"/>
      <c r="AA39" s="942"/>
      <c r="AB39" s="942"/>
      <c r="AC39" s="942"/>
      <c r="AD39" s="942"/>
      <c r="AE39" s="942"/>
      <c r="AF39" s="942"/>
      <c r="AG39" s="943"/>
      <c r="AH39" s="944"/>
      <c r="AI39" s="944"/>
      <c r="AJ39" s="944"/>
      <c r="AK39" s="944"/>
      <c r="AL39" s="944"/>
      <c r="AM39" s="942"/>
      <c r="AN39" s="942"/>
      <c r="AO39" s="942"/>
      <c r="AP39" s="942"/>
      <c r="AQ39" s="942"/>
      <c r="AR39" s="942"/>
      <c r="AS39" s="942"/>
      <c r="AT39" s="942"/>
      <c r="AU39" s="942"/>
      <c r="AV39" s="235"/>
      <c r="AW39" s="443" t="s">
        <v>508</v>
      </c>
      <c r="AX39" s="443"/>
      <c r="AY39" s="443"/>
      <c r="AZ39" s="443"/>
      <c r="BA39" s="128"/>
      <c r="BB39" s="851"/>
      <c r="BC39" s="1426" t="s">
        <v>509</v>
      </c>
      <c r="BD39" s="1361"/>
      <c r="BE39" s="908"/>
      <c r="BF39" s="1436" t="e">
        <f>+AP36</f>
        <v>#DIV/0!</v>
      </c>
      <c r="BG39" s="1360"/>
      <c r="BH39" s="1360"/>
      <c r="BI39" s="1360"/>
      <c r="BJ39" s="1360"/>
      <c r="BK39" s="1361"/>
      <c r="BL39" s="235"/>
      <c r="BM39" s="443"/>
      <c r="BN39" s="443"/>
      <c r="BO39" s="443"/>
      <c r="BP39" s="443"/>
      <c r="BQ39" s="850"/>
    </row>
    <row r="40" spans="1:69" ht="14.25" hidden="1" customHeight="1">
      <c r="A40" s="128"/>
      <c r="B40" s="128"/>
      <c r="C40" s="128"/>
      <c r="D40" s="128"/>
      <c r="E40" s="128"/>
      <c r="F40" s="342"/>
      <c r="G40" s="851"/>
      <c r="H40" s="851"/>
      <c r="I40" s="851"/>
      <c r="J40" s="1424"/>
      <c r="K40" s="1361"/>
      <c r="L40" s="851"/>
      <c r="M40" s="851"/>
      <c r="N40" s="851"/>
      <c r="O40" s="1425"/>
      <c r="P40" s="1360"/>
      <c r="Q40" s="1360"/>
      <c r="R40" s="1361"/>
      <c r="S40" s="851"/>
      <c r="T40" s="851"/>
      <c r="U40" s="851"/>
      <c r="V40" s="851"/>
      <c r="W40" s="851"/>
      <c r="X40" s="1426" t="s">
        <v>406</v>
      </c>
      <c r="Y40" s="1361"/>
      <c r="Z40" s="908"/>
      <c r="AA40" s="1427" t="e">
        <f>#REF!+AA30</f>
        <v>#REF!</v>
      </c>
      <c r="AB40" s="1360"/>
      <c r="AC40" s="1360"/>
      <c r="AD40" s="1360"/>
      <c r="AE40" s="1360"/>
      <c r="AF40" s="1361"/>
      <c r="AG40" s="236"/>
      <c r="AH40" s="1420"/>
      <c r="AI40" s="1360"/>
      <c r="AJ40" s="1360"/>
      <c r="AK40" s="1361"/>
      <c r="AL40" s="342"/>
      <c r="AM40" s="1428" t="s">
        <v>510</v>
      </c>
      <c r="AN40" s="1361"/>
      <c r="AO40" s="908"/>
      <c r="AP40" s="1427" t="e">
        <f>+AP32+AP34</f>
        <v>#REF!</v>
      </c>
      <c r="AQ40" s="1360"/>
      <c r="AR40" s="1360"/>
      <c r="AS40" s="1360"/>
      <c r="AT40" s="1360"/>
      <c r="AU40" s="1361"/>
      <c r="AV40" s="235"/>
      <c r="AW40" s="443"/>
      <c r="AX40" s="443"/>
      <c r="AY40" s="443"/>
      <c r="AZ40" s="443"/>
      <c r="BA40" s="128"/>
      <c r="BB40" s="851"/>
      <c r="BC40" s="912"/>
      <c r="BD40" s="912"/>
      <c r="BE40" s="908"/>
      <c r="BF40" s="941"/>
      <c r="BG40" s="941"/>
      <c r="BH40" s="941"/>
      <c r="BI40" s="941"/>
      <c r="BJ40" s="941"/>
      <c r="BK40" s="941"/>
      <c r="BL40" s="235"/>
      <c r="BM40" s="443"/>
      <c r="BN40" s="443"/>
      <c r="BO40" s="443"/>
      <c r="BP40" s="443"/>
      <c r="BQ40" s="850"/>
    </row>
    <row r="41" spans="1:69" ht="14.25" hidden="1" customHeight="1">
      <c r="A41" s="128"/>
      <c r="B41" s="128"/>
      <c r="C41" s="128"/>
      <c r="D41" s="128"/>
      <c r="E41" s="128"/>
      <c r="F41" s="342"/>
      <c r="G41" s="851"/>
      <c r="H41" s="851"/>
      <c r="I41" s="851"/>
      <c r="J41" s="719"/>
      <c r="K41" s="851"/>
      <c r="L41" s="851"/>
      <c r="M41" s="851"/>
      <c r="N41" s="851"/>
      <c r="O41" s="851"/>
      <c r="P41" s="851"/>
      <c r="Q41" s="851"/>
      <c r="R41" s="851"/>
      <c r="S41" s="851"/>
      <c r="T41" s="851"/>
      <c r="U41" s="851"/>
      <c r="V41" s="851"/>
      <c r="W41" s="945"/>
      <c r="X41" s="946"/>
      <c r="Y41" s="946"/>
      <c r="Z41" s="946"/>
      <c r="AA41" s="946"/>
      <c r="AB41" s="128"/>
      <c r="AC41" s="946" t="e">
        <v>#REF!</v>
      </c>
      <c r="AD41" s="946"/>
      <c r="AE41" s="946"/>
      <c r="AF41" s="946"/>
      <c r="AG41" s="128"/>
      <c r="AH41" s="128"/>
      <c r="AI41" s="128"/>
      <c r="AJ41" s="128"/>
      <c r="AK41" s="128"/>
      <c r="AL41" s="128"/>
      <c r="AM41" s="128"/>
      <c r="AN41" s="128"/>
      <c r="AO41" s="128"/>
      <c r="AP41" s="128"/>
      <c r="AQ41" s="128"/>
      <c r="AR41" s="128"/>
      <c r="AS41" s="128"/>
      <c r="AT41" s="128"/>
      <c r="AU41" s="128"/>
      <c r="AV41" s="235"/>
      <c r="AW41" s="443"/>
      <c r="AX41" s="443"/>
      <c r="AY41" s="443"/>
      <c r="AZ41" s="443"/>
      <c r="BA41" s="128"/>
      <c r="BB41" s="851"/>
      <c r="BC41" s="1426" t="s">
        <v>511</v>
      </c>
      <c r="BD41" s="1361"/>
      <c r="BE41" s="908"/>
      <c r="BF41" s="1437" t="e">
        <f>BF35/BF39</f>
        <v>#DIV/0!</v>
      </c>
      <c r="BG41" s="1360"/>
      <c r="BH41" s="1360"/>
      <c r="BI41" s="1360"/>
      <c r="BJ41" s="1360"/>
      <c r="BK41" s="1361"/>
      <c r="BL41" s="235"/>
      <c r="BM41" s="443"/>
      <c r="BN41" s="443"/>
      <c r="BO41" s="443"/>
      <c r="BP41" s="443"/>
      <c r="BQ41" s="850"/>
    </row>
    <row r="42" spans="1:69" ht="19.5" hidden="1" customHeight="1">
      <c r="A42" s="128"/>
      <c r="B42" s="128"/>
      <c r="C42" s="128"/>
      <c r="D42" s="128"/>
      <c r="E42" s="128"/>
      <c r="F42" s="947"/>
      <c r="G42" s="942"/>
      <c r="H42" s="942"/>
      <c r="I42" s="942"/>
      <c r="J42" s="869"/>
      <c r="K42" s="942"/>
      <c r="L42" s="945"/>
      <c r="M42" s="945"/>
      <c r="N42" s="945"/>
      <c r="O42" s="945"/>
      <c r="P42" s="945"/>
      <c r="Q42" s="945"/>
      <c r="R42" s="945"/>
      <c r="S42" s="945"/>
      <c r="T42" s="945"/>
      <c r="U42" s="945"/>
      <c r="V42" s="945"/>
      <c r="W42" s="128"/>
      <c r="X42" s="128"/>
      <c r="Y42" s="128"/>
      <c r="Z42" s="128"/>
      <c r="AA42" s="128"/>
      <c r="AB42" s="128"/>
      <c r="AC42" s="128"/>
      <c r="AD42" s="128"/>
      <c r="AE42" s="128"/>
      <c r="AF42" s="128"/>
      <c r="AG42" s="128"/>
      <c r="AH42" s="128"/>
      <c r="AI42" s="128"/>
      <c r="AJ42" s="128"/>
      <c r="AK42" s="128"/>
      <c r="AL42" s="128"/>
      <c r="AM42" s="128"/>
      <c r="AN42" s="128"/>
      <c r="AO42" s="128"/>
      <c r="AP42" s="128"/>
      <c r="AQ42" s="128"/>
      <c r="AR42" s="128"/>
      <c r="AS42" s="128"/>
      <c r="AT42" s="128"/>
      <c r="AU42" s="128"/>
      <c r="AV42" s="943"/>
      <c r="AW42" s="944"/>
      <c r="AX42" s="944"/>
      <c r="AY42" s="944"/>
      <c r="AZ42" s="944"/>
      <c r="BA42" s="944"/>
      <c r="BB42" s="945"/>
      <c r="BC42" s="942"/>
      <c r="BD42" s="942"/>
      <c r="BE42" s="942"/>
      <c r="BF42" s="942"/>
      <c r="BG42" s="942"/>
      <c r="BH42" s="942"/>
      <c r="BI42" s="942"/>
      <c r="BJ42" s="942"/>
      <c r="BK42" s="942"/>
      <c r="BL42" s="943"/>
      <c r="BM42" s="944"/>
      <c r="BN42" s="944"/>
      <c r="BO42" s="944"/>
      <c r="BP42" s="944"/>
      <c r="BQ42" s="858"/>
    </row>
    <row r="43" spans="1:69" ht="19.5" hidden="1" customHeight="1">
      <c r="A43" s="128"/>
      <c r="B43" s="128"/>
      <c r="C43" s="128"/>
      <c r="D43" s="128"/>
      <c r="E43" s="128"/>
      <c r="F43" s="128"/>
      <c r="G43" s="128"/>
      <c r="H43" s="128"/>
      <c r="I43" s="128"/>
      <c r="J43" s="128"/>
      <c r="K43" s="128"/>
      <c r="L43" s="128"/>
      <c r="M43" s="128"/>
      <c r="N43" s="128"/>
      <c r="O43" s="128"/>
      <c r="P43" s="128"/>
      <c r="Q43" s="128"/>
      <c r="R43" s="128"/>
      <c r="S43" s="128"/>
      <c r="T43" s="128"/>
      <c r="U43" s="128"/>
      <c r="V43" s="128"/>
      <c r="W43" s="128"/>
      <c r="X43" s="128"/>
      <c r="Y43" s="128"/>
      <c r="Z43" s="128"/>
      <c r="AA43" s="128"/>
      <c r="AB43" s="128"/>
      <c r="AC43" s="128"/>
      <c r="AD43" s="128"/>
      <c r="AE43" s="128"/>
      <c r="AF43" s="128"/>
      <c r="AG43" s="128"/>
      <c r="AH43" s="128"/>
      <c r="AI43" s="128"/>
      <c r="AJ43" s="128"/>
      <c r="AK43" s="128"/>
      <c r="AL43" s="128"/>
      <c r="AM43" s="128"/>
      <c r="AN43" s="128"/>
      <c r="AO43" s="128"/>
      <c r="AP43" s="128"/>
      <c r="AQ43" s="128"/>
      <c r="AR43" s="128"/>
      <c r="AS43" s="128"/>
      <c r="AT43" s="128"/>
      <c r="AU43" s="128"/>
      <c r="AV43" s="128"/>
      <c r="AW43" s="128"/>
      <c r="AX43" s="128"/>
      <c r="AY43" s="128"/>
      <c r="AZ43" s="128"/>
      <c r="BA43" s="128"/>
      <c r="BB43" s="128"/>
      <c r="BC43" s="128"/>
      <c r="BD43" s="128"/>
      <c r="BE43" s="128"/>
      <c r="BF43" s="128"/>
      <c r="BG43" s="128"/>
      <c r="BH43" s="128"/>
      <c r="BI43" s="128"/>
      <c r="BJ43" s="128"/>
      <c r="BK43" s="128"/>
      <c r="BL43" s="128"/>
      <c r="BM43" s="128"/>
      <c r="BN43" s="128"/>
      <c r="BO43" s="128"/>
      <c r="BP43" s="128"/>
      <c r="BQ43" s="128"/>
    </row>
    <row r="44" spans="1:69" ht="19.5" hidden="1" customHeight="1">
      <c r="A44" s="128"/>
      <c r="B44" s="128"/>
      <c r="C44" s="128"/>
      <c r="D44" s="128"/>
      <c r="E44" s="128"/>
      <c r="F44" s="128"/>
      <c r="G44" s="128"/>
      <c r="H44" s="128"/>
      <c r="I44" s="128"/>
      <c r="J44" s="128"/>
      <c r="K44" s="128"/>
      <c r="L44" s="128"/>
      <c r="M44" s="128"/>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row>
    <row r="45" spans="1:69" ht="19.5" hidden="1" customHeight="1">
      <c r="A45" s="128"/>
      <c r="B45" s="128"/>
      <c r="C45" s="128"/>
      <c r="D45" s="128"/>
      <c r="E45" s="128"/>
      <c r="F45" s="128"/>
      <c r="G45" s="128"/>
      <c r="H45" s="128"/>
      <c r="I45" s="630"/>
      <c r="J45" s="630"/>
      <c r="K45" s="630"/>
      <c r="L45" s="128"/>
      <c r="M45" s="128"/>
      <c r="N45" s="128"/>
      <c r="O45" s="128"/>
      <c r="P45" s="128"/>
      <c r="Q45" s="128"/>
      <c r="R45" s="128"/>
      <c r="S45" s="128"/>
      <c r="T45" s="128"/>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28"/>
      <c r="AX45" s="128"/>
      <c r="AY45" s="128"/>
      <c r="AZ45" s="128"/>
      <c r="BA45" s="128"/>
      <c r="BB45" s="128"/>
      <c r="BC45" s="128"/>
      <c r="BD45" s="128"/>
      <c r="BE45" s="128"/>
      <c r="BF45" s="128"/>
      <c r="BG45" s="128"/>
      <c r="BH45" s="128"/>
      <c r="BI45" s="128"/>
      <c r="BJ45" s="128"/>
      <c r="BK45" s="128"/>
      <c r="BL45" s="128"/>
      <c r="BM45" s="128"/>
      <c r="BN45" s="128"/>
      <c r="BO45" s="128"/>
      <c r="BP45" s="128"/>
      <c r="BQ45" s="128"/>
    </row>
    <row r="46" spans="1:69" ht="19.5" customHeight="1">
      <c r="A46" s="128"/>
      <c r="B46" s="128"/>
      <c r="C46" s="128"/>
      <c r="D46" s="128"/>
      <c r="E46" s="128"/>
      <c r="F46" s="128"/>
      <c r="G46" s="128"/>
      <c r="H46" s="128"/>
      <c r="I46" s="630"/>
      <c r="J46" s="630"/>
      <c r="K46" s="630"/>
      <c r="L46" s="128"/>
      <c r="M46" s="128"/>
      <c r="N46" s="128"/>
      <c r="O46" s="128"/>
      <c r="P46" s="128"/>
      <c r="Q46" s="128"/>
      <c r="R46" s="128"/>
      <c r="S46" s="128"/>
      <c r="T46" s="128"/>
      <c r="U46" s="128"/>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8"/>
      <c r="AR46" s="128"/>
      <c r="AS46" s="128"/>
      <c r="AT46" s="128"/>
      <c r="AU46" s="128"/>
      <c r="AV46" s="128"/>
      <c r="AW46" s="128"/>
      <c r="AX46" s="128"/>
      <c r="AY46" s="128"/>
      <c r="AZ46" s="128"/>
      <c r="BA46" s="128"/>
      <c r="BB46" s="128"/>
      <c r="BC46" s="128"/>
      <c r="BD46" s="128"/>
      <c r="BE46" s="128"/>
      <c r="BF46" s="128"/>
      <c r="BG46" s="128"/>
      <c r="BH46" s="128"/>
      <c r="BI46" s="128"/>
      <c r="BJ46" s="128"/>
      <c r="BK46" s="128"/>
      <c r="BL46" s="128"/>
      <c r="BM46" s="128"/>
      <c r="BN46" s="128"/>
      <c r="BO46" s="128"/>
      <c r="BP46" s="128"/>
      <c r="BQ46" s="128"/>
    </row>
    <row r="47" spans="1:69" ht="14.25" customHeight="1">
      <c r="A47" s="128"/>
      <c r="B47" s="128"/>
      <c r="C47" s="128"/>
      <c r="D47" s="128"/>
      <c r="E47" s="128"/>
      <c r="F47" s="128"/>
      <c r="G47" s="128"/>
      <c r="H47" s="128"/>
      <c r="I47" s="128"/>
      <c r="J47" s="128"/>
      <c r="K47" s="128"/>
      <c r="L47" s="128"/>
      <c r="M47" s="128"/>
      <c r="N47" s="128"/>
      <c r="O47" s="128"/>
      <c r="P47" s="128"/>
      <c r="Q47" s="128"/>
      <c r="R47" s="128"/>
      <c r="S47" s="128"/>
      <c r="T47" s="128"/>
      <c r="U47" s="128"/>
      <c r="V47" s="128"/>
      <c r="W47" s="128"/>
      <c r="X47" s="128"/>
      <c r="Y47" s="128"/>
      <c r="Z47" s="128"/>
      <c r="AA47" s="128"/>
      <c r="AB47" s="128"/>
      <c r="AC47" s="128"/>
      <c r="AD47" s="128"/>
      <c r="AE47" s="128"/>
      <c r="AF47" s="128"/>
      <c r="AG47" s="128"/>
      <c r="AH47" s="128"/>
      <c r="AI47" s="128"/>
      <c r="AJ47" s="128"/>
      <c r="AK47" s="128"/>
      <c r="AL47" s="128"/>
      <c r="AM47" s="128"/>
      <c r="AN47" s="128"/>
      <c r="AO47" s="128"/>
      <c r="AP47" s="128"/>
      <c r="AQ47" s="128"/>
      <c r="AR47" s="128"/>
      <c r="AS47" s="783"/>
      <c r="AT47" s="948"/>
      <c r="AU47" s="949"/>
      <c r="AV47" s="128"/>
      <c r="AW47" s="128"/>
      <c r="AX47" s="128"/>
      <c r="AY47" s="128"/>
      <c r="AZ47" s="128"/>
      <c r="BA47" s="128"/>
      <c r="BB47" s="128"/>
      <c r="BC47" s="128"/>
      <c r="BD47" s="128"/>
      <c r="BE47" s="128"/>
      <c r="BF47" s="128"/>
      <c r="BG47" s="128"/>
      <c r="BH47" s="128"/>
      <c r="BI47" s="128"/>
      <c r="BJ47" s="128"/>
      <c r="BK47" s="128"/>
      <c r="BL47" s="128"/>
      <c r="BM47" s="128"/>
      <c r="BN47" s="128"/>
      <c r="BO47" s="128"/>
      <c r="BP47" s="128"/>
      <c r="BQ47" s="128"/>
    </row>
    <row r="48" spans="1:69" ht="14.25" customHeight="1">
      <c r="A48" s="128"/>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c r="AL48" s="128"/>
      <c r="AM48" s="128"/>
      <c r="AN48" s="128"/>
      <c r="AO48" s="128"/>
      <c r="AP48" s="152" t="s">
        <v>512</v>
      </c>
      <c r="AQ48" s="950" t="e">
        <f>AP36</f>
        <v>#DIV/0!</v>
      </c>
      <c r="AR48" s="128"/>
      <c r="AS48" s="128"/>
      <c r="AT48" s="128"/>
      <c r="AU48" s="128"/>
      <c r="AV48" s="128"/>
      <c r="AW48" s="128"/>
      <c r="AX48" s="128"/>
      <c r="AY48" s="128"/>
      <c r="AZ48" s="128"/>
      <c r="BA48" s="128"/>
      <c r="BB48" s="128"/>
      <c r="BC48" s="128"/>
      <c r="BD48" s="128"/>
      <c r="BE48" s="128"/>
      <c r="BF48" s="128"/>
      <c r="BG48" s="128"/>
      <c r="BH48" s="128"/>
      <c r="BI48" s="128"/>
      <c r="BJ48" s="128"/>
      <c r="BK48" s="128"/>
      <c r="BL48" s="128"/>
      <c r="BM48" s="128"/>
      <c r="BN48" s="128"/>
      <c r="BO48" s="128"/>
      <c r="BP48" s="128"/>
      <c r="BQ48" s="128"/>
    </row>
    <row r="49" spans="1:69" ht="14.25" customHeight="1">
      <c r="A49" s="128"/>
      <c r="B49" s="128"/>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28"/>
      <c r="AA49" s="128"/>
      <c r="AB49" s="128"/>
      <c r="AC49" s="128"/>
      <c r="AD49" s="128"/>
      <c r="AE49" s="128"/>
      <c r="AF49" s="128"/>
      <c r="AG49" s="128"/>
      <c r="AH49" s="128"/>
      <c r="AI49" s="128"/>
      <c r="AJ49" s="128"/>
      <c r="AK49" s="128"/>
      <c r="AL49" s="128"/>
      <c r="AM49" s="128"/>
      <c r="AN49" s="128"/>
      <c r="AO49" s="128"/>
      <c r="AP49" s="152" t="s">
        <v>513</v>
      </c>
      <c r="AQ49" s="951"/>
      <c r="AR49" s="128"/>
      <c r="AS49" s="128"/>
      <c r="AT49" s="128"/>
      <c r="AU49" s="128"/>
      <c r="AV49" s="128"/>
      <c r="AW49" s="128"/>
      <c r="AX49" s="128"/>
      <c r="AY49" s="128"/>
      <c r="AZ49" s="128"/>
      <c r="BA49" s="128"/>
      <c r="BB49" s="128"/>
      <c r="BC49" s="128"/>
      <c r="BD49" s="128"/>
      <c r="BE49" s="128"/>
      <c r="BF49" s="128"/>
      <c r="BG49" s="128"/>
      <c r="BH49" s="128"/>
      <c r="BI49" s="128"/>
      <c r="BJ49" s="128"/>
      <c r="BK49" s="128"/>
      <c r="BL49" s="128"/>
      <c r="BM49" s="128"/>
      <c r="BN49" s="128"/>
      <c r="BO49" s="128"/>
      <c r="BP49" s="128"/>
      <c r="BQ49" s="128"/>
    </row>
    <row r="50" spans="1:69" ht="14.25" customHeight="1">
      <c r="A50" s="128"/>
      <c r="B50" s="128"/>
      <c r="C50" s="128"/>
      <c r="D50" s="128"/>
      <c r="E50" s="128"/>
      <c r="F50" s="128"/>
      <c r="G50" s="128"/>
      <c r="H50" s="128"/>
      <c r="I50" s="128"/>
      <c r="J50" s="128"/>
      <c r="K50" s="128"/>
      <c r="L50" s="128"/>
      <c r="M50" s="128"/>
      <c r="N50" s="128"/>
      <c r="O50" s="128"/>
      <c r="P50" s="128"/>
      <c r="Q50" s="128"/>
      <c r="R50" s="128"/>
      <c r="S50" s="128"/>
      <c r="T50" s="128"/>
      <c r="U50" s="128"/>
      <c r="V50" s="128"/>
      <c r="W50" s="128"/>
      <c r="X50" s="128"/>
      <c r="Y50" s="128"/>
      <c r="Z50" s="128"/>
      <c r="AA50" s="128"/>
      <c r="AB50" s="128"/>
      <c r="AC50" s="128"/>
      <c r="AD50" s="128"/>
      <c r="AE50" s="128"/>
      <c r="AF50" s="128"/>
      <c r="AG50" s="128"/>
      <c r="AH50" s="128"/>
      <c r="AI50" s="128"/>
      <c r="AJ50" s="128"/>
      <c r="AK50" s="128"/>
      <c r="AL50" s="128"/>
      <c r="AM50" s="128"/>
      <c r="AN50" s="128"/>
      <c r="AO50" s="128"/>
      <c r="AP50" s="128"/>
      <c r="AQ50" s="128"/>
      <c r="AR50" s="128"/>
      <c r="AS50" s="128"/>
      <c r="AT50" s="128"/>
      <c r="AU50" s="128"/>
      <c r="AV50" s="128"/>
      <c r="AW50" s="128"/>
      <c r="AX50" s="128"/>
      <c r="AY50" s="128"/>
      <c r="AZ50" s="128"/>
      <c r="BA50" s="128"/>
      <c r="BB50" s="128"/>
      <c r="BC50" s="128"/>
      <c r="BD50" s="128"/>
      <c r="BE50" s="128"/>
      <c r="BF50" s="128"/>
      <c r="BG50" s="128"/>
      <c r="BH50" s="128"/>
      <c r="BI50" s="128"/>
      <c r="BJ50" s="128"/>
      <c r="BK50" s="128"/>
      <c r="BL50" s="128"/>
      <c r="BM50" s="128"/>
      <c r="BN50" s="128"/>
      <c r="BO50" s="128"/>
      <c r="BP50" s="128"/>
      <c r="BQ50" s="128"/>
    </row>
    <row r="51" spans="1:69" ht="14.25" customHeight="1">
      <c r="A51" s="128"/>
      <c r="B51" s="128"/>
      <c r="C51" s="128"/>
      <c r="D51" s="128"/>
      <c r="E51" s="128"/>
      <c r="F51" s="128"/>
      <c r="G51" s="128"/>
      <c r="H51" s="128"/>
      <c r="I51" s="128"/>
      <c r="J51" s="128"/>
      <c r="K51" s="128"/>
      <c r="L51" s="128"/>
      <c r="M51" s="128"/>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952" t="s">
        <v>514</v>
      </c>
      <c r="AO51" s="128"/>
      <c r="AP51" s="152" t="s">
        <v>515</v>
      </c>
      <c r="AQ51" s="953"/>
      <c r="AR51" s="152"/>
      <c r="AS51" s="152"/>
      <c r="AT51" s="152"/>
      <c r="AU51" s="152"/>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row>
    <row r="52" spans="1:69" ht="14.25" customHeight="1">
      <c r="A52" s="128"/>
      <c r="B52" s="128"/>
      <c r="C52" s="128"/>
      <c r="D52" s="128"/>
      <c r="E52" s="128"/>
      <c r="F52" s="128"/>
      <c r="G52" s="128"/>
      <c r="H52" s="128"/>
      <c r="I52" s="128"/>
      <c r="J52" s="128"/>
      <c r="K52" s="128"/>
      <c r="L52" s="128"/>
      <c r="M52" s="128"/>
      <c r="N52" s="128"/>
      <c r="O52" s="128"/>
      <c r="P52" s="128"/>
      <c r="Q52" s="128"/>
      <c r="R52" s="128"/>
      <c r="S52" s="128"/>
      <c r="T52" s="128"/>
      <c r="U52" s="128"/>
      <c r="V52" s="128"/>
      <c r="W52" s="128"/>
      <c r="X52" s="128"/>
      <c r="Y52" s="128"/>
      <c r="Z52" s="128"/>
      <c r="AA52" s="128"/>
      <c r="AB52" s="128"/>
      <c r="AC52" s="128"/>
      <c r="AD52" s="128"/>
      <c r="AE52" s="128"/>
      <c r="AF52" s="128"/>
      <c r="AG52" s="128"/>
      <c r="AH52" s="128"/>
      <c r="AI52" s="128"/>
      <c r="AJ52" s="128"/>
      <c r="AK52" s="128"/>
      <c r="AL52" s="128"/>
      <c r="AM52" s="128"/>
      <c r="AN52" s="952">
        <f>+AS48*'EV SALES'!E46</f>
        <v>0</v>
      </c>
      <c r="AO52" s="128"/>
      <c r="AP52" s="128"/>
      <c r="AQ52" s="128"/>
      <c r="AR52" s="954"/>
      <c r="AS52" s="955" t="s">
        <v>516</v>
      </c>
      <c r="AT52" s="955" t="s">
        <v>66</v>
      </c>
      <c r="AU52" s="955" t="s">
        <v>517</v>
      </c>
      <c r="AV52" s="128"/>
      <c r="AW52" s="128"/>
      <c r="AX52" s="128"/>
      <c r="AY52" s="128"/>
      <c r="AZ52" s="128"/>
      <c r="BA52" s="128"/>
      <c r="BB52" s="128"/>
      <c r="BC52" s="128"/>
      <c r="BD52" s="128"/>
      <c r="BE52" s="128"/>
      <c r="BF52" s="128"/>
      <c r="BG52" s="128"/>
      <c r="BH52" s="128"/>
      <c r="BI52" s="128"/>
      <c r="BJ52" s="128"/>
      <c r="BK52" s="128"/>
      <c r="BL52" s="128"/>
      <c r="BM52" s="128"/>
      <c r="BN52" s="128"/>
      <c r="BO52" s="128"/>
      <c r="BP52" s="128"/>
      <c r="BQ52" s="128"/>
    </row>
    <row r="53" spans="1:69" ht="14.25" customHeight="1">
      <c r="A53" s="128"/>
      <c r="B53" s="128"/>
      <c r="C53" s="128"/>
      <c r="D53" s="128"/>
      <c r="E53" s="128"/>
      <c r="F53" s="128"/>
      <c r="G53" s="128"/>
      <c r="H53" s="128"/>
      <c r="I53" s="128"/>
      <c r="J53" s="128"/>
      <c r="K53" s="128"/>
      <c r="L53" s="128"/>
      <c r="M53" s="128"/>
      <c r="N53" s="128"/>
      <c r="O53" s="128"/>
      <c r="P53" s="128"/>
      <c r="Q53" s="128"/>
      <c r="R53" s="128"/>
      <c r="S53" s="128"/>
      <c r="T53" s="128"/>
      <c r="U53" s="128"/>
      <c r="V53" s="128"/>
      <c r="W53" s="128"/>
      <c r="X53" s="128"/>
      <c r="Y53" s="128"/>
      <c r="Z53" s="128"/>
      <c r="AA53" s="128"/>
      <c r="AB53" s="128"/>
      <c r="AC53" s="128"/>
      <c r="AD53" s="128"/>
      <c r="AE53" s="128"/>
      <c r="AF53" s="128"/>
      <c r="AG53" s="128"/>
      <c r="AH53" s="128"/>
      <c r="AI53" s="128"/>
      <c r="AJ53" s="128"/>
      <c r="AK53" s="128"/>
      <c r="AL53" s="128"/>
      <c r="AM53" s="128"/>
      <c r="AN53" s="128"/>
      <c r="AO53" s="128"/>
      <c r="AP53" s="1440" t="s">
        <v>518</v>
      </c>
      <c r="AQ53" s="1340"/>
      <c r="AR53" s="956">
        <v>0.8</v>
      </c>
      <c r="AS53" s="956" t="e">
        <f>'1. Datos'!L192</f>
        <v>#DIV/0!</v>
      </c>
      <c r="AT53" s="956">
        <f>'Expected Growth25'!E48</f>
        <v>9.6600000000000005E-2</v>
      </c>
      <c r="AU53" s="956">
        <v>0.8</v>
      </c>
      <c r="AV53" s="128"/>
      <c r="AW53" s="128"/>
      <c r="AX53" s="128"/>
      <c r="AY53" s="128"/>
      <c r="AZ53" s="128"/>
      <c r="BA53" s="128"/>
      <c r="BB53" s="128"/>
      <c r="BC53" s="128"/>
      <c r="BD53" s="128"/>
      <c r="BE53" s="128"/>
      <c r="BF53" s="128"/>
      <c r="BG53" s="128"/>
      <c r="BH53" s="128"/>
      <c r="BI53" s="128"/>
      <c r="BJ53" s="128"/>
      <c r="BK53" s="128"/>
      <c r="BL53" s="128"/>
      <c r="BM53" s="128"/>
      <c r="BN53" s="128"/>
      <c r="BO53" s="128"/>
      <c r="BP53" s="128"/>
      <c r="BQ53" s="128"/>
    </row>
    <row r="54" spans="1:69" ht="14.25" customHeight="1">
      <c r="A54" s="128"/>
      <c r="B54" s="128"/>
      <c r="C54" s="128"/>
      <c r="D54" s="128"/>
      <c r="E54" s="128"/>
      <c r="F54" s="128"/>
      <c r="G54" s="128"/>
      <c r="H54" s="128"/>
      <c r="I54" s="128"/>
      <c r="J54" s="128"/>
      <c r="K54" s="128"/>
      <c r="L54" s="128"/>
      <c r="M54" s="128"/>
      <c r="N54" s="128"/>
      <c r="O54" s="128"/>
      <c r="P54" s="128"/>
      <c r="Q54" s="128"/>
      <c r="R54" s="128"/>
      <c r="S54" s="128"/>
      <c r="T54" s="128"/>
      <c r="U54" s="128"/>
      <c r="V54" s="128"/>
      <c r="W54" s="128"/>
      <c r="X54" s="128"/>
      <c r="Y54" s="128"/>
      <c r="Z54" s="128"/>
      <c r="AA54" s="128"/>
      <c r="AB54" s="128"/>
      <c r="AC54" s="128"/>
      <c r="AD54" s="128"/>
      <c r="AE54" s="128"/>
      <c r="AF54" s="128"/>
      <c r="AG54" s="128"/>
      <c r="AH54" s="128"/>
      <c r="AI54" s="128"/>
      <c r="AJ54" s="128"/>
      <c r="AK54" s="128"/>
      <c r="AL54" s="128"/>
      <c r="AM54" s="128"/>
      <c r="AN54" s="128"/>
      <c r="AO54" s="128"/>
      <c r="AP54" s="1441" t="s">
        <v>519</v>
      </c>
      <c r="AQ54" s="1442"/>
      <c r="AR54" s="956">
        <v>0.2</v>
      </c>
      <c r="AS54" s="953" t="e">
        <f>'1. Datos'!G183</f>
        <v>#DIV/0!</v>
      </c>
      <c r="AT54" s="957">
        <f>'operating margin'!E49</f>
        <v>3.6514258952449453E-2</v>
      </c>
      <c r="AU54" s="956">
        <v>0.8</v>
      </c>
      <c r="AV54" s="128"/>
      <c r="AW54" s="128"/>
      <c r="AX54" s="128"/>
      <c r="AY54" s="128"/>
      <c r="AZ54" s="128"/>
      <c r="BA54" s="128"/>
      <c r="BB54" s="128"/>
      <c r="BC54" s="128"/>
      <c r="BD54" s="128"/>
      <c r="BE54" s="128"/>
      <c r="BF54" s="128"/>
      <c r="BG54" s="128"/>
      <c r="BH54" s="128"/>
      <c r="BI54" s="128"/>
      <c r="BJ54" s="128"/>
      <c r="BK54" s="128"/>
      <c r="BL54" s="128"/>
      <c r="BM54" s="128"/>
      <c r="BN54" s="128"/>
      <c r="BO54" s="128"/>
      <c r="BP54" s="128"/>
      <c r="BQ54" s="128"/>
    </row>
    <row r="55" spans="1:69" ht="14.25" customHeight="1">
      <c r="A55" s="128"/>
      <c r="B55" s="128"/>
      <c r="C55" s="128"/>
      <c r="D55" s="128"/>
      <c r="E55" s="128"/>
      <c r="F55" s="128"/>
      <c r="G55" s="128"/>
      <c r="H55" s="128"/>
      <c r="I55" s="128"/>
      <c r="J55" s="128"/>
      <c r="K55" s="128"/>
      <c r="L55" s="128"/>
      <c r="M55" s="128"/>
      <c r="N55" s="128"/>
      <c r="O55" s="128"/>
      <c r="P55" s="128"/>
      <c r="Q55" s="128"/>
      <c r="R55" s="128"/>
      <c r="S55" s="128"/>
      <c r="T55" s="128"/>
      <c r="U55" s="128"/>
      <c r="V55" s="128"/>
      <c r="W55" s="128"/>
      <c r="X55" s="128"/>
      <c r="Y55" s="128"/>
      <c r="Z55" s="128"/>
      <c r="AA55" s="128"/>
      <c r="AB55" s="128"/>
      <c r="AC55" s="128"/>
      <c r="AD55" s="128"/>
      <c r="AE55" s="128"/>
      <c r="AF55" s="128"/>
      <c r="AG55" s="128"/>
      <c r="AH55" s="128"/>
      <c r="AI55" s="128"/>
      <c r="AJ55" s="128"/>
      <c r="AK55" s="128"/>
      <c r="AL55" s="128"/>
      <c r="AM55" s="128"/>
      <c r="AN55" s="128"/>
      <c r="AO55" s="128"/>
      <c r="AP55" s="1"/>
      <c r="AQ55" s="1"/>
      <c r="AR55" s="63"/>
      <c r="AS55" s="63"/>
      <c r="AT55" s="63" t="s">
        <v>520</v>
      </c>
      <c r="AU55" s="953">
        <v>0.6</v>
      </c>
      <c r="AV55" s="128"/>
      <c r="AW55" s="128"/>
      <c r="AX55" s="128"/>
      <c r="AY55" s="128"/>
      <c r="AZ55" s="128"/>
      <c r="BA55" s="128"/>
      <c r="BB55" s="128"/>
      <c r="BC55" s="128"/>
      <c r="BD55" s="128"/>
      <c r="BE55" s="128"/>
      <c r="BF55" s="128"/>
      <c r="BG55" s="128"/>
      <c r="BH55" s="128"/>
      <c r="BI55" s="128"/>
      <c r="BJ55" s="128"/>
      <c r="BK55" s="128"/>
      <c r="BL55" s="128"/>
      <c r="BM55" s="128"/>
      <c r="BN55" s="128"/>
      <c r="BO55" s="128"/>
      <c r="BP55" s="128"/>
      <c r="BQ55" s="128"/>
    </row>
    <row r="56" spans="1:69" ht="14.25" customHeight="1">
      <c r="A56" s="128"/>
      <c r="B56" s="128"/>
      <c r="C56" s="128"/>
      <c r="D56" s="128"/>
      <c r="E56" s="128"/>
      <c r="F56" s="128"/>
      <c r="G56" s="128"/>
      <c r="H56" s="128"/>
      <c r="I56" s="128"/>
      <c r="J56" s="128"/>
      <c r="K56" s="128"/>
      <c r="L56" s="128"/>
      <c r="M56" s="128"/>
      <c r="N56" s="128"/>
      <c r="O56" s="128"/>
      <c r="P56" s="128"/>
      <c r="Q56" s="128"/>
      <c r="R56" s="128"/>
      <c r="S56" s="128"/>
      <c r="T56" s="128"/>
      <c r="U56" s="128"/>
      <c r="V56" s="128"/>
      <c r="W56" s="128"/>
      <c r="X56" s="128"/>
      <c r="Y56" s="128"/>
      <c r="Z56" s="128"/>
      <c r="AA56" s="128"/>
      <c r="AB56" s="128"/>
      <c r="AC56" s="128"/>
      <c r="AD56" s="128"/>
      <c r="AE56" s="128"/>
      <c r="AF56" s="128"/>
      <c r="AG56" s="128"/>
      <c r="AH56" s="128"/>
      <c r="AI56" s="128"/>
      <c r="AJ56" s="128"/>
      <c r="AK56" s="128"/>
      <c r="AL56" s="128"/>
      <c r="AM56" s="128"/>
      <c r="AN56" s="128"/>
      <c r="AO56" s="128"/>
      <c r="AP56" s="1"/>
      <c r="AQ56" s="1"/>
      <c r="AR56" s="1"/>
      <c r="AS56" s="1"/>
      <c r="AT56" s="1"/>
      <c r="AU56" s="1"/>
      <c r="AV56" s="128"/>
      <c r="AW56" s="128"/>
      <c r="AX56" s="128"/>
      <c r="AY56" s="128"/>
      <c r="AZ56" s="128"/>
      <c r="BA56" s="128"/>
      <c r="BB56" s="128"/>
      <c r="BC56" s="128"/>
      <c r="BD56" s="128"/>
      <c r="BE56" s="128"/>
      <c r="BF56" s="128"/>
      <c r="BG56" s="128"/>
      <c r="BH56" s="128"/>
      <c r="BI56" s="128"/>
      <c r="BJ56" s="128"/>
      <c r="BK56" s="128"/>
      <c r="BL56" s="128"/>
      <c r="BM56" s="128"/>
      <c r="BN56" s="128"/>
      <c r="BO56" s="128"/>
      <c r="BP56" s="128"/>
      <c r="BQ56" s="128"/>
    </row>
    <row r="57" spans="1:69" ht="14.25" customHeight="1">
      <c r="A57" s="128"/>
      <c r="B57" s="128"/>
      <c r="C57" s="128"/>
      <c r="D57" s="128"/>
      <c r="E57" s="128"/>
      <c r="F57" s="128"/>
      <c r="G57" s="128"/>
      <c r="H57" s="128"/>
      <c r="I57" s="128"/>
      <c r="J57" s="128"/>
      <c r="K57" s="128"/>
      <c r="L57" s="128"/>
      <c r="M57" s="128"/>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
      <c r="AQ57" s="1"/>
      <c r="AR57" s="1"/>
      <c r="AS57" s="1"/>
      <c r="AT57" s="1"/>
      <c r="AU57" s="1"/>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row>
    <row r="58" spans="1:69" ht="14.25" customHeight="1">
      <c r="A58" s="128"/>
      <c r="B58" s="128"/>
      <c r="C58" s="128"/>
      <c r="D58" s="128"/>
      <c r="E58" s="128"/>
      <c r="F58" s="128"/>
      <c r="G58" s="128"/>
      <c r="H58" s="128"/>
      <c r="I58" s="128"/>
      <c r="J58" s="128"/>
      <c r="K58" s="128"/>
      <c r="L58" s="128"/>
      <c r="M58" s="128"/>
      <c r="N58" s="128"/>
      <c r="O58" s="128"/>
      <c r="P58" s="128"/>
      <c r="Q58" s="128"/>
      <c r="R58" s="128"/>
      <c r="S58" s="128"/>
      <c r="T58" s="128"/>
      <c r="U58" s="128"/>
      <c r="V58" s="128"/>
      <c r="W58" s="128"/>
      <c r="X58" s="128"/>
      <c r="Y58" s="128"/>
      <c r="Z58" s="128"/>
      <c r="AA58" s="128"/>
      <c r="AB58" s="128"/>
      <c r="AC58" s="128"/>
      <c r="AD58" s="128"/>
      <c r="AE58" s="128"/>
      <c r="AF58" s="128"/>
      <c r="AG58" s="128"/>
      <c r="AH58" s="128"/>
      <c r="AI58" s="128"/>
      <c r="AJ58" s="128"/>
      <c r="AK58" s="128"/>
      <c r="AL58" s="128"/>
      <c r="AM58" s="128"/>
      <c r="AN58" s="128"/>
      <c r="AO58" s="128"/>
      <c r="AP58" s="958"/>
      <c r="AQ58" s="959" t="s">
        <v>521</v>
      </c>
      <c r="AR58" s="959" t="s">
        <v>522</v>
      </c>
      <c r="AS58" s="959" t="s">
        <v>523</v>
      </c>
      <c r="AT58" s="1"/>
      <c r="AU58" s="1"/>
      <c r="AV58" s="128"/>
      <c r="AW58" s="128"/>
      <c r="AX58" s="128"/>
      <c r="AY58" s="128"/>
      <c r="AZ58" s="128"/>
      <c r="BA58" s="128"/>
      <c r="BB58" s="128"/>
      <c r="BC58" s="128"/>
      <c r="BD58" s="128"/>
      <c r="BE58" s="128"/>
      <c r="BF58" s="128"/>
      <c r="BG58" s="128"/>
      <c r="BH58" s="128"/>
      <c r="BI58" s="128"/>
      <c r="BJ58" s="128"/>
      <c r="BK58" s="128"/>
      <c r="BL58" s="128"/>
      <c r="BM58" s="128"/>
      <c r="BN58" s="128"/>
      <c r="BO58" s="128"/>
      <c r="BP58" s="128"/>
      <c r="BQ58" s="128"/>
    </row>
    <row r="59" spans="1:69" ht="14.25" customHeight="1">
      <c r="A59" s="128"/>
      <c r="B59" s="128"/>
      <c r="C59" s="128"/>
      <c r="D59" s="128"/>
      <c r="E59" s="128"/>
      <c r="F59" s="128"/>
      <c r="G59" s="128"/>
      <c r="H59" s="128"/>
      <c r="I59" s="128"/>
      <c r="J59" s="128"/>
      <c r="K59" s="128"/>
      <c r="L59" s="128"/>
      <c r="M59" s="128"/>
      <c r="N59" s="128"/>
      <c r="O59" s="128"/>
      <c r="P59" s="128"/>
      <c r="Q59" s="128"/>
      <c r="R59" s="128"/>
      <c r="S59" s="128"/>
      <c r="T59" s="128"/>
      <c r="U59" s="128"/>
      <c r="V59" s="128"/>
      <c r="W59" s="128"/>
      <c r="X59" s="128"/>
      <c r="Y59" s="128"/>
      <c r="Z59" s="128"/>
      <c r="AA59" s="128"/>
      <c r="AB59" s="128"/>
      <c r="AC59" s="128"/>
      <c r="AD59" s="128"/>
      <c r="AE59" s="128"/>
      <c r="AF59" s="128"/>
      <c r="AG59" s="128"/>
      <c r="AH59" s="128"/>
      <c r="AI59" s="128"/>
      <c r="AJ59" s="128"/>
      <c r="AK59" s="128"/>
      <c r="AL59" s="128"/>
      <c r="AM59" s="128"/>
      <c r="AN59" s="128"/>
      <c r="AO59" s="128"/>
      <c r="AP59" s="608" t="s">
        <v>524</v>
      </c>
      <c r="AQ59" s="960" t="e">
        <f>AP36/U11</f>
        <v>#DIV/0!</v>
      </c>
      <c r="AR59" s="961">
        <f>'Industry Averages (3)'!E49</f>
        <v>15.603649398440352</v>
      </c>
      <c r="AS59" s="962">
        <f>AR59*AU55</f>
        <v>9.3621896390642103</v>
      </c>
      <c r="AT59" s="963"/>
      <c r="AU59" s="1"/>
      <c r="AV59" s="128"/>
      <c r="AW59" s="128"/>
      <c r="AX59" s="128"/>
      <c r="AY59" s="128"/>
      <c r="AZ59" s="128"/>
      <c r="BA59" s="128"/>
      <c r="BB59" s="128"/>
      <c r="BC59" s="128"/>
      <c r="BD59" s="128"/>
      <c r="BE59" s="128"/>
      <c r="BF59" s="128"/>
      <c r="BG59" s="128"/>
      <c r="BH59" s="128"/>
      <c r="BI59" s="128"/>
      <c r="BJ59" s="128"/>
      <c r="BK59" s="128"/>
      <c r="BL59" s="128"/>
      <c r="BM59" s="128"/>
      <c r="BN59" s="128"/>
      <c r="BO59" s="128"/>
      <c r="BP59" s="128"/>
      <c r="BQ59" s="128"/>
    </row>
    <row r="60" spans="1:69" ht="14.25" customHeight="1">
      <c r="A60" s="128"/>
      <c r="B60" s="128"/>
      <c r="C60" s="128"/>
      <c r="D60" s="128"/>
      <c r="E60" s="128"/>
      <c r="F60" s="128"/>
      <c r="G60" s="128"/>
      <c r="H60" s="128"/>
      <c r="I60" s="128"/>
      <c r="J60" s="128"/>
      <c r="K60" s="128"/>
      <c r="L60" s="128"/>
      <c r="M60" s="128"/>
      <c r="N60" s="128"/>
      <c r="O60" s="128"/>
      <c r="P60" s="128"/>
      <c r="Q60" s="128"/>
      <c r="R60" s="128"/>
      <c r="S60" s="128"/>
      <c r="T60" s="128"/>
      <c r="U60" s="128"/>
      <c r="V60" s="128"/>
      <c r="W60" s="128"/>
      <c r="X60" s="128"/>
      <c r="Y60" s="128"/>
      <c r="Z60" s="128"/>
      <c r="AA60" s="128"/>
      <c r="AB60" s="128"/>
      <c r="AC60" s="128"/>
      <c r="AD60" s="128"/>
      <c r="AE60" s="128"/>
      <c r="AF60" s="128"/>
      <c r="AG60" s="128"/>
      <c r="AH60" s="128"/>
      <c r="AI60" s="128"/>
      <c r="AJ60" s="128"/>
      <c r="AK60" s="128"/>
      <c r="AL60" s="128"/>
      <c r="AM60" s="128"/>
      <c r="AN60" s="128"/>
      <c r="AO60" s="128"/>
      <c r="AP60" s="608" t="s">
        <v>525</v>
      </c>
      <c r="AQ60" s="964" t="e">
        <f>AP36/'1. Datos'!G6</f>
        <v>#DIV/0!</v>
      </c>
      <c r="AR60" s="965">
        <f>'EV SALES'!E48</f>
        <v>0.53</v>
      </c>
      <c r="AS60" s="962">
        <f>AR60*AU55</f>
        <v>0.318</v>
      </c>
      <c r="AT60" s="1"/>
      <c r="AU60" s="1"/>
      <c r="AV60" s="128"/>
      <c r="AW60" s="128"/>
      <c r="AX60" s="128"/>
      <c r="AY60" s="128"/>
      <c r="AZ60" s="128"/>
      <c r="BA60" s="128"/>
      <c r="BB60" s="128"/>
      <c r="BC60" s="128"/>
      <c r="BD60" s="128"/>
      <c r="BE60" s="128"/>
      <c r="BF60" s="128"/>
      <c r="BG60" s="128"/>
      <c r="BH60" s="128"/>
      <c r="BI60" s="128"/>
      <c r="BJ60" s="128"/>
      <c r="BK60" s="128"/>
      <c r="BL60" s="128"/>
      <c r="BM60" s="128"/>
      <c r="BN60" s="128"/>
      <c r="BO60" s="128"/>
      <c r="BP60" s="128"/>
      <c r="BQ60" s="128"/>
    </row>
    <row r="61" spans="1:69" ht="14.25" customHeight="1">
      <c r="A61" s="128"/>
      <c r="B61" s="128"/>
      <c r="C61" s="128"/>
      <c r="D61" s="128"/>
      <c r="E61" s="128"/>
      <c r="F61" s="128"/>
      <c r="G61" s="128"/>
      <c r="H61" s="128"/>
      <c r="I61" s="128"/>
      <c r="J61" s="128"/>
      <c r="K61" s="128"/>
      <c r="L61" s="128"/>
      <c r="M61" s="128"/>
      <c r="N61" s="128"/>
      <c r="O61" s="128"/>
      <c r="P61" s="128"/>
      <c r="Q61" s="128"/>
      <c r="R61" s="128"/>
      <c r="S61" s="128"/>
      <c r="T61" s="128"/>
      <c r="U61" s="128"/>
      <c r="V61" s="128"/>
      <c r="W61" s="128"/>
      <c r="X61" s="128"/>
      <c r="Y61" s="128"/>
      <c r="Z61" s="128"/>
      <c r="AA61" s="128"/>
      <c r="AB61" s="128"/>
      <c r="AC61" s="128"/>
      <c r="AD61" s="128"/>
      <c r="AE61" s="128"/>
      <c r="AF61" s="128"/>
      <c r="AG61" s="128"/>
      <c r="AH61" s="128"/>
      <c r="AI61" s="128"/>
      <c r="AJ61" s="128"/>
      <c r="AK61" s="128"/>
      <c r="AL61" s="128"/>
      <c r="AM61" s="128"/>
      <c r="AN61" s="128"/>
      <c r="AO61" s="128"/>
      <c r="AP61" s="1"/>
      <c r="AQ61" s="1"/>
      <c r="AR61" s="1"/>
      <c r="AS61" s="1"/>
      <c r="AT61" s="1"/>
      <c r="AU61" s="1"/>
      <c r="AV61" s="128"/>
      <c r="AW61" s="128"/>
      <c r="AX61" s="128"/>
      <c r="AY61" s="128"/>
      <c r="AZ61" s="128"/>
      <c r="BA61" s="128"/>
      <c r="BB61" s="128"/>
      <c r="BC61" s="128"/>
      <c r="BD61" s="128"/>
      <c r="BE61" s="128"/>
      <c r="BF61" s="128"/>
      <c r="BG61" s="128"/>
      <c r="BH61" s="128"/>
      <c r="BI61" s="128"/>
      <c r="BJ61" s="128"/>
      <c r="BK61" s="128"/>
      <c r="BL61" s="128"/>
      <c r="BM61" s="128"/>
      <c r="BN61" s="128"/>
      <c r="BO61" s="128"/>
      <c r="BP61" s="128"/>
      <c r="BQ61" s="128"/>
    </row>
    <row r="62" spans="1:69" ht="14.25" customHeight="1">
      <c r="A62" s="128"/>
      <c r="B62" s="128"/>
      <c r="C62" s="128"/>
      <c r="D62" s="128"/>
      <c r="E62" s="128"/>
      <c r="F62" s="128"/>
      <c r="G62" s="128"/>
      <c r="H62" s="128"/>
      <c r="I62" s="128"/>
      <c r="J62" s="128"/>
      <c r="K62" s="128"/>
      <c r="L62" s="128"/>
      <c r="M62" s="128"/>
      <c r="N62" s="128"/>
      <c r="O62" s="128"/>
      <c r="P62" s="128"/>
      <c r="Q62" s="128"/>
      <c r="R62" s="128"/>
      <c r="S62" s="128"/>
      <c r="T62" s="128"/>
      <c r="U62" s="128"/>
      <c r="V62" s="128"/>
      <c r="W62" s="128"/>
      <c r="X62" s="128"/>
      <c r="Y62" s="128"/>
      <c r="Z62" s="128"/>
      <c r="AA62" s="128"/>
      <c r="AB62" s="128"/>
      <c r="AC62" s="128"/>
      <c r="AD62" s="128"/>
      <c r="AE62" s="128"/>
      <c r="AF62" s="128"/>
      <c r="AG62" s="128"/>
      <c r="AH62" s="128"/>
      <c r="AI62" s="128"/>
      <c r="AJ62" s="128"/>
      <c r="AK62" s="128"/>
      <c r="AL62" s="128"/>
      <c r="AM62" s="128"/>
      <c r="AN62" s="128"/>
      <c r="AO62" s="128"/>
      <c r="AP62" s="1"/>
      <c r="AQ62" s="1"/>
      <c r="AR62" s="958"/>
      <c r="AS62" s="958"/>
      <c r="AT62" s="1"/>
      <c r="AU62" s="1"/>
      <c r="AV62" s="128"/>
      <c r="AW62" s="128"/>
      <c r="AX62" s="128"/>
      <c r="AY62" s="128"/>
      <c r="AZ62" s="128"/>
      <c r="BA62" s="128"/>
      <c r="BB62" s="128"/>
      <c r="BC62" s="128"/>
      <c r="BD62" s="128"/>
      <c r="BE62" s="128"/>
      <c r="BF62" s="128"/>
      <c r="BG62" s="128"/>
      <c r="BH62" s="128"/>
      <c r="BI62" s="128"/>
      <c r="BJ62" s="128"/>
      <c r="BK62" s="128"/>
      <c r="BL62" s="128"/>
      <c r="BM62" s="128"/>
      <c r="BN62" s="128"/>
      <c r="BO62" s="128"/>
      <c r="BP62" s="128"/>
      <c r="BQ62" s="128"/>
    </row>
    <row r="63" spans="1:69" ht="14.25" customHeight="1">
      <c r="A63" s="128"/>
      <c r="B63" s="128"/>
      <c r="C63" s="128"/>
      <c r="D63" s="128"/>
      <c r="E63" s="128"/>
      <c r="F63" s="128"/>
      <c r="G63" s="128"/>
      <c r="H63" s="128"/>
      <c r="I63" s="128"/>
      <c r="J63" s="128"/>
      <c r="K63" s="128"/>
      <c r="L63" s="128"/>
      <c r="M63" s="128"/>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
      <c r="AQ63" s="966"/>
      <c r="AR63" s="967" t="s">
        <v>212</v>
      </c>
      <c r="AS63" s="968" t="e">
        <f>(U11*AQ59)</f>
        <v>#DIV/0!</v>
      </c>
      <c r="AT63" s="1"/>
      <c r="AU63" s="1"/>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row>
    <row r="64" spans="1:69" ht="14.25" customHeight="1">
      <c r="A64" s="128"/>
      <c r="B64" s="128"/>
      <c r="C64" s="128"/>
      <c r="D64" s="128"/>
      <c r="E64" s="128"/>
      <c r="F64" s="128"/>
      <c r="G64" s="128"/>
      <c r="H64" s="128"/>
      <c r="I64" s="128"/>
      <c r="J64" s="128"/>
      <c r="K64" s="128"/>
      <c r="L64" s="128"/>
      <c r="M64" s="128"/>
      <c r="N64" s="128"/>
      <c r="O64" s="128"/>
      <c r="P64" s="128"/>
      <c r="Q64" s="128"/>
      <c r="R64" s="128"/>
      <c r="S64" s="128"/>
      <c r="T64" s="128"/>
      <c r="U64" s="128"/>
      <c r="V64" s="128"/>
      <c r="W64" s="128"/>
      <c r="X64" s="128"/>
      <c r="Y64" s="128"/>
      <c r="Z64" s="128"/>
      <c r="AA64" s="128"/>
      <c r="AB64" s="128"/>
      <c r="AC64" s="128"/>
      <c r="AD64" s="128"/>
      <c r="AE64" s="128"/>
      <c r="AF64" s="128"/>
      <c r="AG64" s="128"/>
      <c r="AH64" s="128"/>
      <c r="AI64" s="128"/>
      <c r="AJ64" s="128"/>
      <c r="AK64" s="128"/>
      <c r="AL64" s="128"/>
      <c r="AM64" s="128"/>
      <c r="AN64" s="128"/>
      <c r="AO64" s="128"/>
      <c r="AP64" s="1"/>
      <c r="AQ64" s="966"/>
      <c r="AR64" s="967" t="s">
        <v>213</v>
      </c>
      <c r="AS64" s="968">
        <f>AS59*U11</f>
        <v>0</v>
      </c>
      <c r="AT64" s="1"/>
      <c r="AU64" s="1"/>
      <c r="AV64" s="128"/>
      <c r="AW64" s="128"/>
      <c r="AX64" s="128"/>
      <c r="AY64" s="128"/>
      <c r="AZ64" s="128"/>
      <c r="BA64" s="128"/>
      <c r="BB64" s="128"/>
      <c r="BC64" s="128"/>
      <c r="BD64" s="128"/>
      <c r="BE64" s="128"/>
      <c r="BF64" s="128"/>
      <c r="BG64" s="128"/>
      <c r="BH64" s="128"/>
      <c r="BI64" s="128"/>
      <c r="BJ64" s="128"/>
      <c r="BK64" s="128"/>
      <c r="BL64" s="128"/>
      <c r="BM64" s="128"/>
      <c r="BN64" s="128"/>
      <c r="BO64" s="128"/>
      <c r="BP64" s="128"/>
      <c r="BQ64" s="128"/>
    </row>
    <row r="65" spans="1:69" ht="14.25" customHeight="1">
      <c r="A65" s="128"/>
      <c r="B65" s="128"/>
      <c r="C65" s="128"/>
      <c r="D65" s="128"/>
      <c r="E65" s="128"/>
      <c r="F65" s="128"/>
      <c r="G65" s="128"/>
      <c r="H65" s="128"/>
      <c r="I65" s="128"/>
      <c r="J65" s="128"/>
      <c r="K65" s="128"/>
      <c r="L65" s="128"/>
      <c r="M65" s="128"/>
      <c r="N65" s="128"/>
      <c r="O65" s="128"/>
      <c r="P65" s="128"/>
      <c r="Q65" s="128"/>
      <c r="R65" s="128"/>
      <c r="S65" s="128"/>
      <c r="T65" s="128"/>
      <c r="U65" s="128"/>
      <c r="V65" s="128"/>
      <c r="W65" s="128"/>
      <c r="X65" s="128"/>
      <c r="Y65" s="128"/>
      <c r="Z65" s="128"/>
      <c r="AA65" s="128"/>
      <c r="AB65" s="128"/>
      <c r="AC65" s="128"/>
      <c r="AD65" s="128"/>
      <c r="AE65" s="128"/>
      <c r="AF65" s="128"/>
      <c r="AG65" s="128"/>
      <c r="AH65" s="128"/>
      <c r="AI65" s="128"/>
      <c r="AJ65" s="128"/>
      <c r="AK65" s="128"/>
      <c r="AL65" s="128"/>
      <c r="AM65" s="128"/>
      <c r="AN65" s="128"/>
      <c r="AO65" s="128"/>
      <c r="AP65" s="128"/>
      <c r="AQ65" s="128"/>
      <c r="AR65" s="128"/>
      <c r="AS65" s="128"/>
      <c r="AT65" s="128"/>
      <c r="AU65" s="128"/>
      <c r="AV65" s="128"/>
      <c r="AW65" s="128"/>
      <c r="AX65" s="128"/>
      <c r="AY65" s="128"/>
      <c r="AZ65" s="128"/>
      <c r="BA65" s="128"/>
      <c r="BB65" s="128"/>
      <c r="BC65" s="128"/>
      <c r="BD65" s="128"/>
      <c r="BE65" s="128"/>
      <c r="BF65" s="128"/>
      <c r="BG65" s="128"/>
      <c r="BH65" s="128"/>
      <c r="BI65" s="128"/>
      <c r="BJ65" s="128"/>
      <c r="BK65" s="128"/>
      <c r="BL65" s="128"/>
      <c r="BM65" s="128"/>
      <c r="BN65" s="128"/>
      <c r="BO65" s="128"/>
      <c r="BP65" s="128"/>
      <c r="BQ65" s="128"/>
    </row>
    <row r="66" spans="1:69" ht="14.25" customHeight="1">
      <c r="A66" s="128"/>
      <c r="B66" s="128"/>
      <c r="C66" s="128"/>
      <c r="D66" s="128"/>
      <c r="E66" s="128"/>
      <c r="F66" s="128"/>
      <c r="G66" s="128"/>
      <c r="H66" s="128"/>
      <c r="I66" s="128"/>
      <c r="J66" s="128"/>
      <c r="K66" s="128"/>
      <c r="L66" s="128"/>
      <c r="M66" s="128"/>
      <c r="N66" s="128"/>
      <c r="O66" s="128"/>
      <c r="P66" s="128"/>
      <c r="Q66" s="128"/>
      <c r="R66" s="128"/>
      <c r="S66" s="128"/>
      <c r="T66" s="128"/>
      <c r="U66" s="128"/>
      <c r="V66" s="128"/>
      <c r="W66" s="128"/>
      <c r="X66" s="128"/>
      <c r="Y66" s="128"/>
      <c r="Z66" s="128"/>
      <c r="AA66" s="128"/>
      <c r="AB66" s="128"/>
      <c r="AC66" s="128"/>
      <c r="AD66" s="128"/>
      <c r="AE66" s="128"/>
      <c r="AF66" s="128"/>
      <c r="AG66" s="128"/>
      <c r="AH66" s="128"/>
      <c r="AI66" s="128"/>
      <c r="AJ66" s="128"/>
      <c r="AK66" s="128"/>
      <c r="AL66" s="128"/>
      <c r="AM66" s="128"/>
      <c r="AN66" s="128"/>
      <c r="AO66" s="128"/>
      <c r="AP66" s="128"/>
      <c r="AQ66" s="128"/>
      <c r="AR66" s="128"/>
      <c r="AS66" s="128"/>
      <c r="AT66" s="128"/>
      <c r="AU66" s="128"/>
      <c r="AV66" s="128"/>
      <c r="AW66" s="128"/>
      <c r="AX66" s="128"/>
      <c r="AY66" s="128"/>
      <c r="AZ66" s="128"/>
      <c r="BA66" s="128"/>
      <c r="BB66" s="128"/>
      <c r="BC66" s="128"/>
      <c r="BD66" s="128"/>
      <c r="BE66" s="128"/>
      <c r="BF66" s="128"/>
      <c r="BG66" s="128"/>
      <c r="BH66" s="128"/>
      <c r="BI66" s="128"/>
      <c r="BJ66" s="128"/>
      <c r="BK66" s="128"/>
      <c r="BL66" s="128"/>
      <c r="BM66" s="128"/>
      <c r="BN66" s="128"/>
      <c r="BO66" s="128"/>
      <c r="BP66" s="128"/>
      <c r="BQ66" s="128"/>
    </row>
    <row r="67" spans="1:69" ht="14.25" customHeight="1">
      <c r="A67" s="128"/>
      <c r="B67" s="128"/>
      <c r="C67" s="128"/>
      <c r="D67" s="128"/>
      <c r="E67" s="128"/>
      <c r="F67" s="128"/>
      <c r="G67" s="128"/>
      <c r="H67" s="128"/>
      <c r="I67" s="128"/>
      <c r="J67" s="128"/>
      <c r="K67" s="128"/>
      <c r="L67" s="128"/>
      <c r="M67" s="128"/>
      <c r="N67" s="128"/>
      <c r="O67" s="128"/>
      <c r="P67" s="128"/>
      <c r="Q67" s="128"/>
      <c r="R67" s="128"/>
      <c r="S67" s="128"/>
      <c r="T67" s="128"/>
      <c r="U67" s="128"/>
      <c r="V67" s="128"/>
      <c r="W67" s="128"/>
      <c r="X67" s="128"/>
      <c r="Y67" s="128"/>
      <c r="Z67" s="128"/>
      <c r="AA67" s="128"/>
      <c r="AB67" s="128"/>
      <c r="AC67" s="128"/>
      <c r="AD67" s="128"/>
      <c r="AE67" s="128"/>
      <c r="AF67" s="128"/>
      <c r="AG67" s="128"/>
      <c r="AH67" s="128"/>
      <c r="AI67" s="128"/>
      <c r="AJ67" s="128"/>
      <c r="AK67" s="128"/>
      <c r="AL67" s="128"/>
      <c r="AM67" s="128"/>
      <c r="AN67" s="128"/>
      <c r="AO67" s="128"/>
      <c r="AP67" s="128"/>
      <c r="AQ67" s="128"/>
      <c r="AR67" s="128"/>
      <c r="AS67" s="128"/>
      <c r="AT67" s="128"/>
      <c r="AU67" s="128"/>
      <c r="AV67" s="128"/>
      <c r="AW67" s="128"/>
      <c r="AX67" s="128"/>
      <c r="AY67" s="128"/>
      <c r="AZ67" s="128"/>
      <c r="BA67" s="128"/>
      <c r="BB67" s="128"/>
      <c r="BC67" s="128"/>
      <c r="BD67" s="128"/>
      <c r="BE67" s="128"/>
      <c r="BF67" s="128"/>
      <c r="BG67" s="128"/>
      <c r="BH67" s="128"/>
      <c r="BI67" s="128"/>
      <c r="BJ67" s="128"/>
      <c r="BK67" s="128"/>
      <c r="BL67" s="128"/>
      <c r="BM67" s="128"/>
      <c r="BN67" s="128"/>
      <c r="BO67" s="128"/>
      <c r="BP67" s="128"/>
      <c r="BQ67" s="128"/>
    </row>
    <row r="68" spans="1:69" ht="14.25" customHeight="1">
      <c r="A68" s="128"/>
      <c r="B68" s="128"/>
      <c r="C68" s="128"/>
      <c r="D68" s="128"/>
      <c r="E68" s="128"/>
      <c r="F68" s="128"/>
      <c r="G68" s="128"/>
      <c r="H68" s="128"/>
      <c r="I68" s="128"/>
      <c r="J68" s="128"/>
      <c r="K68" s="969" t="s">
        <v>526</v>
      </c>
      <c r="L68" s="969"/>
      <c r="M68" s="969"/>
      <c r="N68" s="969"/>
      <c r="O68" s="969"/>
      <c r="P68" s="969"/>
      <c r="Q68" s="969" t="s">
        <v>527</v>
      </c>
      <c r="R68" s="128"/>
      <c r="S68" s="128"/>
      <c r="T68" s="128"/>
      <c r="U68" s="128"/>
      <c r="V68" s="128"/>
      <c r="W68" s="128"/>
      <c r="X68" s="128"/>
      <c r="Y68" s="128"/>
      <c r="Z68" s="128"/>
      <c r="AA68" s="128"/>
      <c r="AB68" s="128"/>
      <c r="AC68" s="128"/>
      <c r="AD68" s="128"/>
      <c r="AE68" s="128"/>
      <c r="AF68" s="128"/>
      <c r="AG68" s="128"/>
      <c r="AH68" s="128"/>
      <c r="AI68" s="128"/>
      <c r="AJ68" s="128"/>
      <c r="AK68" s="128"/>
      <c r="AL68" s="128"/>
      <c r="AM68" s="128"/>
      <c r="AN68" s="128"/>
      <c r="AO68" s="128"/>
      <c r="AP68" s="128"/>
      <c r="AQ68" s="128"/>
      <c r="AR68" s="128"/>
      <c r="AS68" s="128"/>
      <c r="AT68" s="128"/>
      <c r="AU68" s="128"/>
      <c r="AV68" s="128"/>
      <c r="AW68" s="128"/>
      <c r="AX68" s="128"/>
      <c r="AY68" s="128"/>
      <c r="AZ68" s="128"/>
      <c r="BA68" s="128"/>
      <c r="BB68" s="128"/>
      <c r="BC68" s="128"/>
      <c r="BD68" s="128"/>
      <c r="BE68" s="128"/>
      <c r="BF68" s="128"/>
      <c r="BG68" s="128"/>
      <c r="BH68" s="128"/>
      <c r="BI68" s="128"/>
      <c r="BJ68" s="128"/>
      <c r="BK68" s="128"/>
      <c r="BL68" s="128"/>
      <c r="BM68" s="128"/>
      <c r="BN68" s="128"/>
      <c r="BO68" s="128"/>
      <c r="BP68" s="128"/>
      <c r="BQ68" s="128"/>
    </row>
    <row r="69" spans="1:69" ht="39" customHeight="1">
      <c r="A69" s="128"/>
      <c r="B69" s="128"/>
      <c r="C69" s="128"/>
      <c r="D69" s="128"/>
      <c r="E69" s="128"/>
      <c r="F69" s="128"/>
      <c r="G69" s="128"/>
      <c r="H69" s="128"/>
      <c r="I69" s="128"/>
      <c r="J69" s="128"/>
      <c r="K69" s="969" t="s">
        <v>528</v>
      </c>
      <c r="L69" s="969"/>
      <c r="M69" s="969"/>
      <c r="N69" s="969"/>
      <c r="O69" s="969"/>
      <c r="P69" s="969"/>
      <c r="Q69" s="969" t="s">
        <v>529</v>
      </c>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970" t="s">
        <v>530</v>
      </c>
      <c r="AR69" s="970"/>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row>
    <row r="70" spans="1:69" ht="39" customHeight="1">
      <c r="A70" s="128"/>
      <c r="B70" s="128"/>
      <c r="C70" s="128"/>
      <c r="D70" s="128"/>
      <c r="E70" s="128"/>
      <c r="F70" s="128"/>
      <c r="G70" s="128"/>
      <c r="H70" s="128"/>
      <c r="I70" s="128"/>
      <c r="J70" s="128"/>
      <c r="K70" s="969" t="s">
        <v>531</v>
      </c>
      <c r="L70" s="969"/>
      <c r="M70" s="969"/>
      <c r="N70" s="969"/>
      <c r="O70" s="969"/>
      <c r="P70" s="969"/>
      <c r="Q70" s="969" t="s">
        <v>529</v>
      </c>
      <c r="R70" s="128"/>
      <c r="S70" s="128"/>
      <c r="T70" s="128"/>
      <c r="U70" s="128"/>
      <c r="V70" s="128"/>
      <c r="W70" s="128"/>
      <c r="X70" s="128"/>
      <c r="Y70" s="128"/>
      <c r="Z70" s="128"/>
      <c r="AA70" s="128"/>
      <c r="AB70" s="128"/>
      <c r="AC70" s="128"/>
      <c r="AD70" s="128"/>
      <c r="AE70" s="128"/>
      <c r="AF70" s="128"/>
      <c r="AG70" s="128"/>
      <c r="AH70" s="128"/>
      <c r="AI70" s="128"/>
      <c r="AJ70" s="128"/>
      <c r="AK70" s="128"/>
      <c r="AL70" s="128"/>
      <c r="AM70" s="128"/>
      <c r="AN70" s="128"/>
      <c r="AO70" s="128"/>
      <c r="AP70" s="128"/>
      <c r="AQ70" s="970" t="s">
        <v>532</v>
      </c>
      <c r="AR70" s="970"/>
      <c r="AS70" s="128"/>
      <c r="AT70" s="128"/>
      <c r="AU70" s="128"/>
      <c r="AV70" s="128"/>
      <c r="AW70" s="128"/>
      <c r="AX70" s="128"/>
      <c r="AY70" s="128"/>
      <c r="AZ70" s="128"/>
      <c r="BA70" s="128"/>
      <c r="BB70" s="128"/>
      <c r="BC70" s="128"/>
      <c r="BD70" s="128"/>
      <c r="BE70" s="128"/>
      <c r="BF70" s="128"/>
      <c r="BG70" s="128"/>
      <c r="BH70" s="128"/>
      <c r="BI70" s="128"/>
      <c r="BJ70" s="128"/>
      <c r="BK70" s="128"/>
      <c r="BL70" s="128"/>
      <c r="BM70" s="128"/>
      <c r="BN70" s="128"/>
      <c r="BO70" s="128"/>
      <c r="BP70" s="128"/>
      <c r="BQ70" s="128"/>
    </row>
    <row r="71" spans="1:69" ht="39" customHeight="1">
      <c r="A71" s="128"/>
      <c r="B71" s="128"/>
      <c r="C71" s="128"/>
      <c r="D71" s="128"/>
      <c r="E71" s="128"/>
      <c r="F71" s="128"/>
      <c r="G71" s="128"/>
      <c r="H71" s="128"/>
      <c r="I71" s="128"/>
      <c r="J71" s="128"/>
      <c r="K71" s="128"/>
      <c r="L71" s="128"/>
      <c r="M71" s="128"/>
      <c r="N71" s="128"/>
      <c r="O71" s="128"/>
      <c r="P71" s="128"/>
      <c r="Q71" s="128"/>
      <c r="R71" s="128"/>
      <c r="S71" s="128"/>
      <c r="T71" s="128"/>
      <c r="U71" s="128"/>
      <c r="V71" s="128"/>
      <c r="W71" s="128"/>
      <c r="X71" s="128"/>
      <c r="Y71" s="128"/>
      <c r="Z71" s="128"/>
      <c r="AA71" s="128"/>
      <c r="AB71" s="128"/>
      <c r="AC71" s="128"/>
      <c r="AD71" s="128"/>
      <c r="AE71" s="128"/>
      <c r="AF71" s="128"/>
      <c r="AG71" s="128"/>
      <c r="AH71" s="128"/>
      <c r="AI71" s="128"/>
      <c r="AJ71" s="128"/>
      <c r="AK71" s="128"/>
      <c r="AL71" s="128"/>
      <c r="AM71" s="128"/>
      <c r="AN71" s="128"/>
      <c r="AO71" s="128"/>
      <c r="AP71" s="128"/>
      <c r="AQ71" s="970" t="s">
        <v>533</v>
      </c>
      <c r="AR71" s="971"/>
      <c r="AS71" s="128"/>
      <c r="AT71" s="128"/>
      <c r="AU71" s="128"/>
      <c r="AV71" s="128"/>
      <c r="AW71" s="128"/>
      <c r="AX71" s="128"/>
      <c r="AY71" s="128"/>
      <c r="AZ71" s="128"/>
      <c r="BA71" s="128"/>
      <c r="BB71" s="128"/>
      <c r="BC71" s="128"/>
      <c r="BD71" s="128"/>
      <c r="BE71" s="128"/>
      <c r="BF71" s="128"/>
      <c r="BG71" s="128"/>
      <c r="BH71" s="128"/>
      <c r="BI71" s="128"/>
      <c r="BJ71" s="128"/>
      <c r="BK71" s="128"/>
      <c r="BL71" s="128"/>
      <c r="BM71" s="128"/>
      <c r="BN71" s="128"/>
      <c r="BO71" s="128"/>
      <c r="BP71" s="128"/>
      <c r="BQ71" s="128"/>
    </row>
    <row r="72" spans="1:69" ht="39" customHeight="1">
      <c r="A72" s="128"/>
      <c r="B72" s="128"/>
      <c r="C72" s="128"/>
      <c r="D72" s="128"/>
      <c r="E72" s="128"/>
      <c r="F72" s="128"/>
      <c r="G72" s="128"/>
      <c r="H72" s="128"/>
      <c r="I72" s="128"/>
      <c r="J72" s="128"/>
      <c r="K72" s="128"/>
      <c r="L72" s="128"/>
      <c r="M72" s="128"/>
      <c r="N72" s="128"/>
      <c r="O72" s="128"/>
      <c r="P72" s="128"/>
      <c r="Q72" s="128"/>
      <c r="R72" s="128"/>
      <c r="S72" s="128"/>
      <c r="T72" s="128"/>
      <c r="U72" s="128"/>
      <c r="V72" s="128"/>
      <c r="W72" s="128"/>
      <c r="X72" s="128"/>
      <c r="Y72" s="128"/>
      <c r="Z72" s="128"/>
      <c r="AA72" s="128"/>
      <c r="AB72" s="128"/>
      <c r="AC72" s="128"/>
      <c r="AD72" s="128"/>
      <c r="AE72" s="128"/>
      <c r="AF72" s="128"/>
      <c r="AG72" s="128"/>
      <c r="AH72" s="128"/>
      <c r="AI72" s="128"/>
      <c r="AJ72" s="128"/>
      <c r="AK72" s="128"/>
      <c r="AL72" s="128"/>
      <c r="AM72" s="128"/>
      <c r="AN72" s="128"/>
      <c r="AO72" s="128"/>
      <c r="AP72" s="128"/>
      <c r="AQ72" s="970" t="s">
        <v>534</v>
      </c>
      <c r="AR72" s="971"/>
      <c r="AS72" s="128"/>
      <c r="AT72" s="128"/>
      <c r="AU72" s="128"/>
      <c r="AV72" s="128"/>
      <c r="AW72" s="128"/>
      <c r="AX72" s="128"/>
      <c r="AY72" s="128"/>
      <c r="AZ72" s="128"/>
      <c r="BA72" s="128"/>
      <c r="BB72" s="128"/>
      <c r="BC72" s="128"/>
      <c r="BD72" s="128"/>
      <c r="BE72" s="128"/>
      <c r="BF72" s="128"/>
      <c r="BG72" s="128"/>
      <c r="BH72" s="128"/>
      <c r="BI72" s="128"/>
      <c r="BJ72" s="128"/>
      <c r="BK72" s="128"/>
      <c r="BL72" s="128"/>
      <c r="BM72" s="128"/>
      <c r="BN72" s="128"/>
      <c r="BO72" s="128"/>
      <c r="BP72" s="128"/>
      <c r="BQ72" s="128"/>
    </row>
    <row r="73" spans="1:69" ht="39" customHeight="1">
      <c r="A73" s="128"/>
      <c r="B73" s="128"/>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28"/>
      <c r="AA73" s="128"/>
      <c r="AB73" s="128"/>
      <c r="AC73" s="128"/>
      <c r="AD73" s="128"/>
      <c r="AE73" s="128"/>
      <c r="AF73" s="128"/>
      <c r="AG73" s="128"/>
      <c r="AH73" s="128"/>
      <c r="AI73" s="128"/>
      <c r="AJ73" s="128"/>
      <c r="AK73" s="128"/>
      <c r="AL73" s="128"/>
      <c r="AM73" s="128"/>
      <c r="AN73" s="128"/>
      <c r="AO73" s="128"/>
      <c r="AP73" s="128"/>
      <c r="AQ73" s="970" t="s">
        <v>535</v>
      </c>
      <c r="AR73" s="971"/>
      <c r="AS73" s="128"/>
      <c r="AT73" s="128"/>
      <c r="AU73" s="128"/>
      <c r="AV73" s="128"/>
      <c r="AW73" s="128"/>
      <c r="AX73" s="128"/>
      <c r="AY73" s="128"/>
      <c r="AZ73" s="128"/>
      <c r="BA73" s="128"/>
      <c r="BB73" s="128"/>
      <c r="BC73" s="128"/>
      <c r="BD73" s="128"/>
      <c r="BE73" s="128"/>
      <c r="BF73" s="128"/>
      <c r="BG73" s="128"/>
      <c r="BH73" s="128"/>
      <c r="BI73" s="128"/>
      <c r="BJ73" s="128"/>
      <c r="BK73" s="128"/>
      <c r="BL73" s="128"/>
      <c r="BM73" s="128"/>
      <c r="BN73" s="128"/>
      <c r="BO73" s="128"/>
      <c r="BP73" s="128"/>
      <c r="BQ73" s="128"/>
    </row>
    <row r="74" spans="1:69" ht="14.25" customHeight="1">
      <c r="A74" s="128"/>
      <c r="B74" s="128"/>
      <c r="C74" s="128"/>
      <c r="D74" s="128"/>
      <c r="E74" s="128"/>
      <c r="F74" s="128"/>
      <c r="G74" s="128"/>
      <c r="H74" s="128"/>
      <c r="I74" s="128"/>
      <c r="J74" s="128"/>
      <c r="K74" s="128"/>
      <c r="L74" s="128"/>
      <c r="M74" s="128"/>
      <c r="N74" s="128"/>
      <c r="O74" s="128"/>
      <c r="P74" s="128"/>
      <c r="Q74" s="128"/>
      <c r="R74" s="128"/>
      <c r="S74" s="128"/>
      <c r="T74" s="128"/>
      <c r="U74" s="128"/>
      <c r="V74" s="128"/>
      <c r="W74" s="128"/>
      <c r="X74" s="128"/>
      <c r="Y74" s="128"/>
      <c r="Z74" s="128"/>
      <c r="AA74" s="128"/>
      <c r="AB74" s="128"/>
      <c r="AC74" s="128"/>
      <c r="AD74" s="128"/>
      <c r="AE74" s="128"/>
      <c r="AF74" s="128"/>
      <c r="AG74" s="128"/>
      <c r="AH74" s="128"/>
      <c r="AI74" s="128"/>
      <c r="AJ74" s="128"/>
      <c r="AK74" s="128"/>
      <c r="AL74" s="128"/>
      <c r="AM74" s="128"/>
      <c r="AN74" s="128"/>
      <c r="AO74" s="128"/>
      <c r="AP74" s="128"/>
      <c r="AQ74" s="128"/>
      <c r="AR74" s="128"/>
      <c r="AS74" s="128"/>
      <c r="AT74" s="128"/>
      <c r="AU74" s="128"/>
      <c r="AV74" s="128"/>
      <c r="AW74" s="128"/>
      <c r="AX74" s="128"/>
      <c r="AY74" s="128"/>
      <c r="AZ74" s="128"/>
      <c r="BA74" s="128"/>
      <c r="BB74" s="128"/>
      <c r="BC74" s="128"/>
      <c r="BD74" s="128"/>
      <c r="BE74" s="128"/>
      <c r="BF74" s="128"/>
      <c r="BG74" s="128"/>
      <c r="BH74" s="128"/>
      <c r="BI74" s="128"/>
      <c r="BJ74" s="128"/>
      <c r="BK74" s="128"/>
      <c r="BL74" s="128"/>
      <c r="BM74" s="128"/>
      <c r="BN74" s="128"/>
      <c r="BO74" s="128"/>
      <c r="BP74" s="128"/>
      <c r="BQ74" s="128"/>
    </row>
    <row r="75" spans="1:69" ht="14.25" customHeight="1">
      <c r="A75" s="128"/>
      <c r="B75" s="128"/>
      <c r="C75" s="128"/>
      <c r="D75" s="128"/>
      <c r="E75" s="128"/>
      <c r="F75" s="128"/>
      <c r="G75" s="128"/>
      <c r="H75" s="128"/>
      <c r="I75" s="128"/>
      <c r="J75" s="128"/>
      <c r="K75" s="128"/>
      <c r="L75" s="128"/>
      <c r="M75" s="128"/>
      <c r="N75" s="128"/>
      <c r="O75" s="128"/>
      <c r="P75" s="128"/>
      <c r="Q75" s="128"/>
      <c r="R75" s="128"/>
      <c r="S75" s="128"/>
      <c r="T75" s="128"/>
      <c r="U75" s="128"/>
      <c r="V75" s="128"/>
      <c r="W75" s="128"/>
      <c r="X75" s="128"/>
      <c r="Y75" s="128"/>
      <c r="Z75" s="128"/>
      <c r="AA75" s="128"/>
      <c r="AB75" s="128"/>
      <c r="AC75" s="128"/>
      <c r="AD75" s="128"/>
      <c r="AE75" s="128"/>
      <c r="AF75" s="128"/>
      <c r="AG75" s="128"/>
      <c r="AH75" s="128"/>
      <c r="AI75" s="128"/>
      <c r="AJ75" s="128"/>
      <c r="AK75" s="128"/>
      <c r="AL75" s="128"/>
      <c r="AM75" s="128"/>
      <c r="AN75" s="128"/>
      <c r="AO75" s="128"/>
      <c r="AP75" s="128"/>
      <c r="AQ75" s="128"/>
      <c r="AR75" s="128"/>
      <c r="AS75" s="128"/>
      <c r="AT75" s="128"/>
      <c r="AU75" s="128"/>
      <c r="AV75" s="128"/>
      <c r="AW75" s="128"/>
      <c r="AX75" s="128"/>
      <c r="AY75" s="128"/>
      <c r="AZ75" s="128"/>
      <c r="BA75" s="128"/>
      <c r="BB75" s="128"/>
      <c r="BC75" s="128"/>
      <c r="BD75" s="128"/>
      <c r="BE75" s="128"/>
      <c r="BF75" s="128"/>
      <c r="BG75" s="128"/>
      <c r="BH75" s="128"/>
      <c r="BI75" s="128"/>
      <c r="BJ75" s="128"/>
      <c r="BK75" s="128"/>
      <c r="BL75" s="128"/>
      <c r="BM75" s="128"/>
      <c r="BN75" s="128"/>
      <c r="BO75" s="128"/>
      <c r="BP75" s="128"/>
      <c r="BQ75" s="128"/>
    </row>
    <row r="76" spans="1:69" ht="14.25" customHeight="1">
      <c r="A76" s="128"/>
      <c r="B76" s="128"/>
      <c r="C76" s="128"/>
      <c r="D76" s="128"/>
      <c r="E76" s="128"/>
      <c r="F76" s="128"/>
      <c r="G76" s="128"/>
      <c r="H76" s="128"/>
      <c r="I76" s="128"/>
      <c r="J76" s="128"/>
      <c r="K76" s="128"/>
      <c r="L76" s="128"/>
      <c r="M76" s="128"/>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row>
    <row r="77" spans="1:69" ht="14.25" customHeight="1">
      <c r="A77" s="128"/>
      <c r="B77" s="128"/>
      <c r="C77" s="128"/>
      <c r="D77" s="128"/>
      <c r="E77" s="128"/>
      <c r="F77" s="128"/>
      <c r="G77" s="128"/>
      <c r="H77" s="128"/>
      <c r="I77" s="128"/>
      <c r="J77" s="128"/>
      <c r="K77" s="128"/>
      <c r="L77" s="128"/>
      <c r="M77" s="128"/>
      <c r="N77" s="128"/>
      <c r="O77" s="128"/>
      <c r="P77" s="128"/>
      <c r="Q77" s="128"/>
      <c r="R77" s="128"/>
      <c r="S77" s="128"/>
      <c r="T77" s="128"/>
      <c r="U77" s="128"/>
      <c r="V77" s="128"/>
      <c r="W77" s="128"/>
      <c r="X77" s="128"/>
      <c r="Y77" s="128"/>
      <c r="Z77" s="128"/>
      <c r="AA77" s="128"/>
      <c r="AB77" s="128"/>
      <c r="AC77" s="128"/>
      <c r="AD77" s="128"/>
      <c r="AE77" s="128"/>
      <c r="AF77" s="128"/>
      <c r="AG77" s="128"/>
      <c r="AH77" s="128"/>
      <c r="AI77" s="128"/>
      <c r="AJ77" s="128"/>
      <c r="AK77" s="128"/>
      <c r="AL77" s="128"/>
      <c r="AM77" s="128"/>
      <c r="AN77" s="128"/>
      <c r="AO77" s="128"/>
      <c r="AP77" s="128"/>
      <c r="AQ77" s="128"/>
      <c r="AR77" s="128"/>
      <c r="AS77" s="128"/>
      <c r="AT77" s="128"/>
      <c r="AU77" s="128"/>
      <c r="AV77" s="128"/>
      <c r="AW77" s="128"/>
      <c r="AX77" s="128"/>
      <c r="AY77" s="128"/>
      <c r="AZ77" s="128"/>
      <c r="BA77" s="128"/>
      <c r="BB77" s="128"/>
      <c r="BC77" s="128"/>
      <c r="BD77" s="128"/>
      <c r="BE77" s="128"/>
      <c r="BF77" s="128"/>
      <c r="BG77" s="128"/>
      <c r="BH77" s="128"/>
      <c r="BI77" s="128"/>
      <c r="BJ77" s="128"/>
      <c r="BK77" s="128"/>
      <c r="BL77" s="128"/>
      <c r="BM77" s="128"/>
      <c r="BN77" s="128"/>
      <c r="BO77" s="128"/>
      <c r="BP77" s="128"/>
      <c r="BQ77" s="128"/>
    </row>
    <row r="78" spans="1:69" ht="14.25" customHeight="1">
      <c r="A78" s="128"/>
      <c r="B78" s="128"/>
      <c r="C78" s="128"/>
      <c r="D78" s="128"/>
      <c r="E78" s="128"/>
      <c r="F78" s="128"/>
      <c r="G78" s="128"/>
      <c r="H78" s="128"/>
      <c r="I78" s="128"/>
      <c r="J78" s="128"/>
      <c r="K78" s="128"/>
      <c r="L78" s="128"/>
      <c r="M78" s="128"/>
      <c r="N78" s="128"/>
      <c r="O78" s="128"/>
      <c r="P78" s="128"/>
      <c r="Q78" s="128"/>
      <c r="R78" s="128"/>
      <c r="S78" s="128"/>
      <c r="T78" s="128"/>
      <c r="U78" s="128"/>
      <c r="V78" s="128"/>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28"/>
      <c r="AS78" s="128"/>
      <c r="AT78" s="128"/>
      <c r="AU78" s="128"/>
      <c r="AV78" s="128"/>
      <c r="AW78" s="128"/>
      <c r="AX78" s="128"/>
      <c r="AY78" s="128"/>
      <c r="AZ78" s="128"/>
      <c r="BA78" s="128"/>
      <c r="BB78" s="128"/>
      <c r="BC78" s="128"/>
      <c r="BD78" s="128"/>
      <c r="BE78" s="128"/>
      <c r="BF78" s="128"/>
      <c r="BG78" s="128"/>
      <c r="BH78" s="128"/>
      <c r="BI78" s="128"/>
      <c r="BJ78" s="128"/>
      <c r="BK78" s="128"/>
      <c r="BL78" s="128"/>
      <c r="BM78" s="128"/>
      <c r="BN78" s="128"/>
      <c r="BO78" s="128"/>
      <c r="BP78" s="128"/>
      <c r="BQ78" s="128"/>
    </row>
    <row r="79" spans="1:69" ht="14.25" customHeight="1">
      <c r="A79" s="128"/>
      <c r="B79" s="128"/>
      <c r="C79" s="128"/>
      <c r="D79" s="128"/>
      <c r="E79" s="128"/>
      <c r="F79" s="128"/>
      <c r="G79" s="128"/>
      <c r="H79" s="128"/>
      <c r="I79" s="128"/>
      <c r="J79" s="128"/>
      <c r="K79" s="128"/>
      <c r="L79" s="128"/>
      <c r="M79" s="128"/>
      <c r="N79" s="128"/>
      <c r="O79" s="128"/>
      <c r="P79" s="128"/>
      <c r="Q79" s="128"/>
      <c r="R79" s="128"/>
      <c r="S79" s="128"/>
      <c r="T79" s="128"/>
      <c r="U79" s="128"/>
      <c r="V79" s="128"/>
      <c r="W79" s="128"/>
      <c r="X79" s="128"/>
      <c r="Y79" s="128"/>
      <c r="Z79" s="128"/>
      <c r="AA79" s="128"/>
      <c r="AB79" s="128"/>
      <c r="AC79" s="128"/>
      <c r="AD79" s="128"/>
      <c r="AE79" s="128"/>
      <c r="AF79" s="128"/>
      <c r="AG79" s="128"/>
      <c r="AH79" s="128"/>
      <c r="AI79" s="128"/>
      <c r="AJ79" s="128"/>
      <c r="AK79" s="128"/>
      <c r="AL79" s="128"/>
      <c r="AM79" s="128"/>
      <c r="AN79" s="128"/>
      <c r="AO79" s="128"/>
      <c r="AP79" s="128"/>
      <c r="AQ79" s="128"/>
      <c r="AR79" s="128"/>
      <c r="AS79" s="128"/>
      <c r="AT79" s="128"/>
      <c r="AU79" s="128"/>
      <c r="AV79" s="128"/>
      <c r="AW79" s="128"/>
      <c r="AX79" s="128"/>
      <c r="AY79" s="128"/>
      <c r="AZ79" s="128"/>
      <c r="BA79" s="128"/>
      <c r="BB79" s="128"/>
      <c r="BC79" s="128"/>
      <c r="BD79" s="128"/>
      <c r="BE79" s="128"/>
      <c r="BF79" s="128"/>
      <c r="BG79" s="128"/>
      <c r="BH79" s="128"/>
      <c r="BI79" s="128"/>
      <c r="BJ79" s="128"/>
      <c r="BK79" s="128"/>
      <c r="BL79" s="128"/>
      <c r="BM79" s="128"/>
      <c r="BN79" s="128"/>
      <c r="BO79" s="128"/>
      <c r="BP79" s="128"/>
      <c r="BQ79" s="128"/>
    </row>
    <row r="80" spans="1:69" ht="14.25" customHeight="1">
      <c r="A80" s="128"/>
      <c r="B80" s="128"/>
      <c r="C80" s="128"/>
      <c r="D80" s="128"/>
      <c r="E80" s="128"/>
      <c r="F80" s="128"/>
      <c r="G80" s="128"/>
      <c r="H80" s="128"/>
      <c r="I80" s="128"/>
      <c r="J80" s="128"/>
      <c r="K80" s="128"/>
      <c r="L80" s="128"/>
      <c r="M80" s="128"/>
      <c r="N80" s="128"/>
      <c r="O80" s="128"/>
      <c r="P80" s="128"/>
      <c r="Q80" s="128"/>
      <c r="R80" s="128"/>
      <c r="S80" s="128"/>
      <c r="T80" s="128"/>
      <c r="U80" s="128"/>
      <c r="V80" s="128"/>
      <c r="W80" s="128"/>
      <c r="X80" s="128"/>
      <c r="Y80" s="128"/>
      <c r="Z80" s="128"/>
      <c r="AA80" s="128"/>
      <c r="AB80" s="128"/>
      <c r="AC80" s="128"/>
      <c r="AD80" s="128"/>
      <c r="AE80" s="128"/>
      <c r="AF80" s="128"/>
      <c r="AG80" s="128"/>
      <c r="AH80" s="128"/>
      <c r="AI80" s="128"/>
      <c r="AJ80" s="128"/>
      <c r="AK80" s="128"/>
      <c r="AL80" s="128"/>
      <c r="AM80" s="128"/>
      <c r="AN80" s="128"/>
      <c r="AO80" s="128"/>
      <c r="AP80" s="128"/>
      <c r="AQ80" s="128"/>
      <c r="AR80" s="128"/>
      <c r="AS80" s="128"/>
      <c r="AT80" s="128"/>
      <c r="AU80" s="128"/>
      <c r="AV80" s="128"/>
      <c r="AW80" s="128"/>
      <c r="AX80" s="128"/>
      <c r="AY80" s="128"/>
      <c r="AZ80" s="128"/>
      <c r="BA80" s="128"/>
      <c r="BB80" s="128"/>
      <c r="BC80" s="128"/>
      <c r="BD80" s="128"/>
      <c r="BE80" s="128"/>
      <c r="BF80" s="128"/>
      <c r="BG80" s="128"/>
      <c r="BH80" s="128"/>
      <c r="BI80" s="128"/>
      <c r="BJ80" s="128"/>
      <c r="BK80" s="128"/>
      <c r="BL80" s="128"/>
      <c r="BM80" s="128"/>
      <c r="BN80" s="128"/>
      <c r="BO80" s="128"/>
      <c r="BP80" s="128"/>
      <c r="BQ80" s="128"/>
    </row>
    <row r="81" spans="1:69" ht="14.25" customHeight="1">
      <c r="A81" s="128"/>
      <c r="B81" s="128"/>
      <c r="C81" s="128"/>
      <c r="D81" s="128"/>
      <c r="E81" s="128"/>
      <c r="F81" s="128"/>
      <c r="G81" s="128"/>
      <c r="H81" s="128"/>
      <c r="I81" s="128"/>
      <c r="J81" s="128"/>
      <c r="K81" s="128"/>
      <c r="L81" s="128"/>
      <c r="M81" s="128"/>
      <c r="N81" s="128"/>
      <c r="O81" s="128"/>
      <c r="P81" s="128"/>
      <c r="Q81" s="128"/>
      <c r="R81" s="128"/>
      <c r="S81" s="128"/>
      <c r="T81" s="128"/>
      <c r="U81" s="128"/>
      <c r="V81" s="128"/>
      <c r="W81" s="128"/>
      <c r="X81" s="128"/>
      <c r="Y81" s="128"/>
      <c r="Z81" s="128"/>
      <c r="AA81" s="128"/>
      <c r="AB81" s="128"/>
      <c r="AC81" s="128"/>
      <c r="AD81" s="128"/>
      <c r="AE81" s="128"/>
      <c r="AF81" s="128"/>
      <c r="AG81" s="128"/>
      <c r="AH81" s="128"/>
      <c r="AI81" s="128"/>
      <c r="AJ81" s="128"/>
      <c r="AK81" s="128"/>
      <c r="AL81" s="128"/>
      <c r="AM81" s="128"/>
      <c r="AN81" s="128"/>
      <c r="AO81" s="128"/>
      <c r="AP81" s="128"/>
      <c r="AQ81" s="128"/>
      <c r="AR81" s="128"/>
      <c r="AS81" s="128"/>
      <c r="AT81" s="128"/>
      <c r="AU81" s="128"/>
      <c r="AV81" s="128"/>
      <c r="AW81" s="128"/>
      <c r="AX81" s="128"/>
      <c r="AY81" s="128"/>
      <c r="AZ81" s="128"/>
      <c r="BA81" s="128"/>
      <c r="BB81" s="128"/>
      <c r="BC81" s="128"/>
      <c r="BD81" s="128"/>
      <c r="BE81" s="128"/>
      <c r="BF81" s="128"/>
      <c r="BG81" s="128"/>
      <c r="BH81" s="128"/>
      <c r="BI81" s="128"/>
      <c r="BJ81" s="128"/>
      <c r="BK81" s="128"/>
      <c r="BL81" s="128"/>
      <c r="BM81" s="128"/>
      <c r="BN81" s="128"/>
      <c r="BO81" s="128"/>
      <c r="BP81" s="128"/>
      <c r="BQ81" s="128"/>
    </row>
    <row r="82" spans="1:69" ht="14.25" customHeight="1">
      <c r="A82" s="128"/>
      <c r="B82" s="128"/>
      <c r="C82" s="128"/>
      <c r="D82" s="128"/>
      <c r="E82" s="128"/>
      <c r="F82" s="128"/>
      <c r="G82" s="128"/>
      <c r="H82" s="128"/>
      <c r="I82" s="128"/>
      <c r="J82" s="128"/>
      <c r="K82" s="128"/>
      <c r="L82" s="128"/>
      <c r="M82" s="128"/>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row>
    <row r="83" spans="1:69" ht="14.25" customHeight="1">
      <c r="A83" s="128"/>
      <c r="B83" s="128"/>
      <c r="C83" s="128"/>
      <c r="D83" s="128"/>
      <c r="E83" s="128"/>
      <c r="F83" s="128"/>
      <c r="G83" s="128"/>
      <c r="H83" s="128"/>
      <c r="I83" s="128"/>
      <c r="J83" s="128"/>
      <c r="K83" s="128"/>
      <c r="L83" s="128"/>
      <c r="M83" s="128"/>
      <c r="N83" s="128"/>
      <c r="O83" s="128"/>
      <c r="P83" s="128"/>
      <c r="Q83" s="128"/>
      <c r="R83" s="128"/>
      <c r="S83" s="128"/>
      <c r="T83" s="128"/>
      <c r="U83" s="128"/>
      <c r="V83" s="128"/>
      <c r="W83" s="128"/>
      <c r="X83" s="128"/>
      <c r="Y83" s="128"/>
      <c r="Z83" s="128"/>
      <c r="AA83" s="128"/>
      <c r="AB83" s="128"/>
      <c r="AC83" s="128"/>
      <c r="AD83" s="128"/>
      <c r="AE83" s="128"/>
      <c r="AF83" s="128"/>
      <c r="AG83" s="128"/>
      <c r="AH83" s="128"/>
      <c r="AI83" s="128"/>
      <c r="AJ83" s="128"/>
      <c r="AK83" s="128"/>
      <c r="AL83" s="128"/>
      <c r="AM83" s="128"/>
      <c r="AN83" s="128"/>
      <c r="AO83" s="128"/>
      <c r="AP83" s="128"/>
      <c r="AQ83" s="128"/>
      <c r="AR83" s="128"/>
      <c r="AS83" s="128"/>
      <c r="AT83" s="128"/>
      <c r="AU83" s="128"/>
      <c r="AV83" s="128"/>
      <c r="AW83" s="128"/>
      <c r="AX83" s="128"/>
      <c r="AY83" s="128"/>
      <c r="AZ83" s="128"/>
      <c r="BA83" s="128"/>
      <c r="BB83" s="128"/>
      <c r="BC83" s="128"/>
      <c r="BD83" s="128"/>
      <c r="BE83" s="128"/>
      <c r="BF83" s="128"/>
      <c r="BG83" s="128"/>
      <c r="BH83" s="128"/>
      <c r="BI83" s="128"/>
      <c r="BJ83" s="128"/>
      <c r="BK83" s="128"/>
      <c r="BL83" s="128"/>
      <c r="BM83" s="128"/>
      <c r="BN83" s="128"/>
      <c r="BO83" s="128"/>
      <c r="BP83" s="128"/>
      <c r="BQ83" s="128"/>
    </row>
    <row r="84" spans="1:69" ht="14.25" customHeight="1">
      <c r="A84" s="128"/>
      <c r="B84" s="128"/>
      <c r="C84" s="128"/>
      <c r="D84" s="128"/>
      <c r="E84" s="128"/>
      <c r="F84" s="128"/>
      <c r="G84" s="128"/>
      <c r="H84" s="128"/>
      <c r="I84" s="128"/>
      <c r="J84" s="128"/>
      <c r="K84" s="128"/>
      <c r="L84" s="128"/>
      <c r="M84" s="128"/>
      <c r="N84" s="128"/>
      <c r="O84" s="128"/>
      <c r="P84" s="128"/>
      <c r="Q84" s="128"/>
      <c r="R84" s="128"/>
      <c r="S84" s="128"/>
      <c r="T84" s="128"/>
      <c r="U84" s="128"/>
      <c r="V84" s="128"/>
      <c r="W84" s="128"/>
      <c r="X84" s="128"/>
      <c r="Y84" s="128"/>
      <c r="Z84" s="128"/>
      <c r="AA84" s="128"/>
      <c r="AB84" s="128"/>
      <c r="AC84" s="128"/>
      <c r="AD84" s="128"/>
      <c r="AE84" s="128"/>
      <c r="AF84" s="128"/>
      <c r="AG84" s="128"/>
      <c r="AH84" s="128"/>
      <c r="AI84" s="128"/>
      <c r="AJ84" s="128"/>
      <c r="AK84" s="128"/>
      <c r="AL84" s="128"/>
      <c r="AM84" s="128"/>
      <c r="AN84" s="128"/>
      <c r="AO84" s="128"/>
      <c r="AP84" s="128"/>
      <c r="AQ84" s="128"/>
      <c r="AR84" s="128"/>
      <c r="AS84" s="128"/>
      <c r="AT84" s="128"/>
      <c r="AU84" s="128"/>
      <c r="AV84" s="128"/>
      <c r="AW84" s="128"/>
      <c r="AX84" s="128"/>
      <c r="AY84" s="128"/>
      <c r="AZ84" s="128"/>
      <c r="BA84" s="128"/>
      <c r="BB84" s="128"/>
      <c r="BC84" s="128"/>
      <c r="BD84" s="128"/>
      <c r="BE84" s="128"/>
      <c r="BF84" s="128"/>
      <c r="BG84" s="128"/>
      <c r="BH84" s="128"/>
      <c r="BI84" s="128"/>
      <c r="BJ84" s="128"/>
      <c r="BK84" s="128"/>
      <c r="BL84" s="128"/>
      <c r="BM84" s="128"/>
      <c r="BN84" s="128"/>
      <c r="BO84" s="128"/>
      <c r="BP84" s="128"/>
      <c r="BQ84" s="128"/>
    </row>
    <row r="85" spans="1:69" ht="14.25" customHeight="1">
      <c r="A85" s="128"/>
      <c r="B85" s="128"/>
      <c r="C85" s="128"/>
      <c r="D85" s="128"/>
      <c r="E85" s="128"/>
      <c r="F85" s="128"/>
      <c r="G85" s="128"/>
      <c r="H85" s="128"/>
      <c r="I85" s="128"/>
      <c r="J85" s="128"/>
      <c r="K85" s="128"/>
      <c r="L85" s="128"/>
      <c r="M85" s="128"/>
      <c r="N85" s="128"/>
      <c r="O85" s="128"/>
      <c r="P85" s="128"/>
      <c r="Q85" s="128"/>
      <c r="R85" s="128"/>
      <c r="S85" s="128"/>
      <c r="T85" s="128"/>
      <c r="U85" s="128"/>
      <c r="V85" s="128"/>
      <c r="W85" s="128"/>
      <c r="X85" s="128"/>
      <c r="Y85" s="128"/>
      <c r="Z85" s="128"/>
      <c r="AA85" s="128"/>
      <c r="AB85" s="128"/>
      <c r="AC85" s="128"/>
      <c r="AD85" s="128"/>
      <c r="AE85" s="128"/>
      <c r="AF85" s="128"/>
      <c r="AG85" s="128"/>
      <c r="AH85" s="128"/>
      <c r="AI85" s="128"/>
      <c r="AJ85" s="128"/>
      <c r="AK85" s="128"/>
      <c r="AL85" s="128"/>
      <c r="AM85" s="128"/>
      <c r="AN85" s="128"/>
      <c r="AO85" s="128"/>
      <c r="AP85" s="128"/>
      <c r="AQ85" s="128"/>
      <c r="AR85" s="128"/>
      <c r="AS85" s="128"/>
      <c r="AT85" s="128"/>
      <c r="AU85" s="128"/>
      <c r="AV85" s="128"/>
      <c r="AW85" s="128"/>
      <c r="AX85" s="128"/>
      <c r="AY85" s="128"/>
      <c r="AZ85" s="128"/>
      <c r="BA85" s="128"/>
      <c r="BB85" s="128"/>
      <c r="BC85" s="128"/>
      <c r="BD85" s="128"/>
      <c r="BE85" s="128"/>
      <c r="BF85" s="128"/>
      <c r="BG85" s="128"/>
      <c r="BH85" s="128"/>
      <c r="BI85" s="128"/>
      <c r="BJ85" s="128"/>
      <c r="BK85" s="128"/>
      <c r="BL85" s="128"/>
      <c r="BM85" s="128"/>
      <c r="BN85" s="128"/>
      <c r="BO85" s="128"/>
      <c r="BP85" s="128"/>
      <c r="BQ85" s="128"/>
    </row>
    <row r="86" spans="1:69" ht="14.25" customHeight="1">
      <c r="A86" s="128"/>
      <c r="B86" s="128"/>
      <c r="C86" s="128"/>
      <c r="D86" s="128"/>
      <c r="E86" s="128"/>
      <c r="F86" s="128"/>
      <c r="G86" s="128"/>
      <c r="H86" s="128"/>
      <c r="I86" s="128"/>
      <c r="J86" s="128"/>
      <c r="K86" s="128"/>
      <c r="L86" s="128"/>
      <c r="M86" s="128"/>
      <c r="N86" s="128"/>
      <c r="O86" s="128"/>
      <c r="P86" s="128"/>
      <c r="Q86" s="128"/>
      <c r="R86" s="128"/>
      <c r="S86" s="128"/>
      <c r="T86" s="128"/>
      <c r="U86" s="128"/>
      <c r="V86" s="128"/>
      <c r="W86" s="128"/>
      <c r="X86" s="128"/>
      <c r="Y86" s="128"/>
      <c r="Z86" s="128"/>
      <c r="AA86" s="128"/>
      <c r="AB86" s="128"/>
      <c r="AC86" s="128"/>
      <c r="AD86" s="128"/>
      <c r="AE86" s="128"/>
      <c r="AF86" s="128"/>
      <c r="AG86" s="128"/>
      <c r="AH86" s="128"/>
      <c r="AI86" s="128"/>
      <c r="AJ86" s="128"/>
      <c r="AK86" s="128"/>
      <c r="AL86" s="128"/>
      <c r="AM86" s="128"/>
      <c r="AN86" s="128"/>
      <c r="AO86" s="128"/>
      <c r="AP86" s="128"/>
      <c r="AQ86" s="128"/>
      <c r="AR86" s="128"/>
      <c r="AS86" s="128"/>
      <c r="AT86" s="128"/>
      <c r="AU86" s="128"/>
      <c r="AV86" s="128"/>
      <c r="AW86" s="128"/>
      <c r="AX86" s="128"/>
      <c r="AY86" s="128"/>
      <c r="AZ86" s="128"/>
      <c r="BA86" s="128"/>
      <c r="BB86" s="128"/>
      <c r="BC86" s="128"/>
      <c r="BD86" s="128"/>
      <c r="BE86" s="128"/>
      <c r="BF86" s="128"/>
      <c r="BG86" s="128"/>
      <c r="BH86" s="128"/>
      <c r="BI86" s="128"/>
      <c r="BJ86" s="128"/>
      <c r="BK86" s="128"/>
      <c r="BL86" s="128"/>
      <c r="BM86" s="128"/>
      <c r="BN86" s="128"/>
      <c r="BO86" s="128"/>
      <c r="BP86" s="128"/>
      <c r="BQ86" s="128"/>
    </row>
    <row r="87" spans="1:69" ht="14.25" customHeight="1">
      <c r="A87" s="128"/>
      <c r="B87" s="128"/>
      <c r="C87" s="128"/>
      <c r="D87" s="128"/>
      <c r="E87" s="128"/>
      <c r="F87" s="128"/>
      <c r="G87" s="128"/>
      <c r="H87" s="128"/>
      <c r="I87" s="128"/>
      <c r="J87" s="128"/>
      <c r="K87" s="128"/>
      <c r="L87" s="128"/>
      <c r="M87" s="128"/>
      <c r="N87" s="128"/>
      <c r="O87" s="128"/>
      <c r="P87" s="128"/>
      <c r="Q87" s="128"/>
      <c r="R87" s="128"/>
      <c r="S87" s="128"/>
      <c r="T87" s="128"/>
      <c r="U87" s="128"/>
      <c r="V87" s="128"/>
      <c r="W87" s="128"/>
      <c r="X87" s="128"/>
      <c r="Y87" s="128"/>
      <c r="Z87" s="128"/>
      <c r="AA87" s="128"/>
      <c r="AB87" s="128"/>
      <c r="AC87" s="128"/>
      <c r="AD87" s="128"/>
      <c r="AE87" s="128"/>
      <c r="AF87" s="128"/>
      <c r="AG87" s="128"/>
      <c r="AH87" s="128"/>
      <c r="AI87" s="128"/>
      <c r="AJ87" s="128"/>
      <c r="AK87" s="128"/>
      <c r="AL87" s="128"/>
      <c r="AM87" s="128"/>
      <c r="AN87" s="128"/>
      <c r="AO87" s="128"/>
      <c r="AP87" s="128"/>
      <c r="AQ87" s="128"/>
      <c r="AR87" s="128"/>
      <c r="AS87" s="128"/>
      <c r="AT87" s="128"/>
      <c r="AU87" s="128"/>
      <c r="AV87" s="128"/>
      <c r="AW87" s="128"/>
      <c r="AX87" s="128"/>
      <c r="AY87" s="128"/>
      <c r="AZ87" s="128"/>
      <c r="BA87" s="128"/>
      <c r="BB87" s="128"/>
      <c r="BC87" s="128"/>
      <c r="BD87" s="128"/>
      <c r="BE87" s="128"/>
      <c r="BF87" s="128"/>
      <c r="BG87" s="128"/>
      <c r="BH87" s="128"/>
      <c r="BI87" s="128"/>
      <c r="BJ87" s="128"/>
      <c r="BK87" s="128"/>
      <c r="BL87" s="128"/>
      <c r="BM87" s="128"/>
      <c r="BN87" s="128"/>
      <c r="BO87" s="128"/>
      <c r="BP87" s="128"/>
      <c r="BQ87" s="128"/>
    </row>
    <row r="88" spans="1:69" ht="14.25" customHeight="1">
      <c r="A88" s="128"/>
      <c r="B88" s="128"/>
      <c r="C88" s="128"/>
      <c r="D88" s="128"/>
      <c r="E88" s="128"/>
      <c r="F88" s="128"/>
      <c r="G88" s="128"/>
      <c r="H88" s="128"/>
      <c r="I88" s="128"/>
      <c r="J88" s="128"/>
      <c r="K88" s="128"/>
      <c r="L88" s="128"/>
      <c r="M88" s="128"/>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row>
    <row r="89" spans="1:69" ht="14.25" customHeight="1">
      <c r="A89" s="128"/>
      <c r="B89" s="128"/>
      <c r="C89" s="128"/>
      <c r="D89" s="128"/>
      <c r="E89" s="128"/>
      <c r="F89" s="128"/>
      <c r="G89" s="128"/>
      <c r="H89" s="128"/>
      <c r="I89" s="128"/>
      <c r="J89" s="128"/>
      <c r="K89" s="128"/>
      <c r="L89" s="128"/>
      <c r="M89" s="128"/>
      <c r="N89" s="128"/>
      <c r="O89" s="128"/>
      <c r="P89" s="128"/>
      <c r="Q89" s="128"/>
      <c r="R89" s="128"/>
      <c r="S89" s="128"/>
      <c r="T89" s="128"/>
      <c r="U89" s="128"/>
      <c r="V89" s="128"/>
      <c r="W89" s="128"/>
      <c r="X89" s="128"/>
      <c r="Y89" s="128"/>
      <c r="Z89" s="128"/>
      <c r="AA89" s="128"/>
      <c r="AB89" s="128"/>
      <c r="AC89" s="128"/>
      <c r="AD89" s="128"/>
      <c r="AE89" s="128"/>
      <c r="AF89" s="128"/>
      <c r="AG89" s="128"/>
      <c r="AH89" s="128"/>
      <c r="AI89" s="128"/>
      <c r="AJ89" s="128"/>
      <c r="AK89" s="128"/>
      <c r="AL89" s="128"/>
      <c r="AM89" s="128"/>
      <c r="AN89" s="128"/>
      <c r="AO89" s="128"/>
      <c r="AP89" s="128"/>
      <c r="AQ89" s="128"/>
      <c r="AR89" s="128"/>
      <c r="AS89" s="128"/>
      <c r="AT89" s="128"/>
      <c r="AU89" s="128"/>
      <c r="AV89" s="128"/>
      <c r="AW89" s="128"/>
      <c r="AX89" s="128"/>
      <c r="AY89" s="128"/>
      <c r="AZ89" s="128"/>
      <c r="BA89" s="128"/>
      <c r="BB89" s="128"/>
      <c r="BC89" s="128"/>
      <c r="BD89" s="128"/>
      <c r="BE89" s="128"/>
      <c r="BF89" s="128"/>
      <c r="BG89" s="128"/>
      <c r="BH89" s="128"/>
      <c r="BI89" s="128"/>
      <c r="BJ89" s="128"/>
      <c r="BK89" s="128"/>
      <c r="BL89" s="128"/>
      <c r="BM89" s="128"/>
      <c r="BN89" s="128"/>
      <c r="BO89" s="128"/>
      <c r="BP89" s="128"/>
      <c r="BQ89" s="128"/>
    </row>
    <row r="90" spans="1:69" ht="14.25" customHeight="1">
      <c r="A90" s="128"/>
      <c r="B90" s="128"/>
      <c r="C90" s="128"/>
      <c r="D90" s="128"/>
      <c r="E90" s="128"/>
      <c r="F90" s="128"/>
      <c r="G90" s="128"/>
      <c r="H90" s="128"/>
      <c r="I90" s="128"/>
      <c r="J90" s="128"/>
      <c r="K90" s="128"/>
      <c r="L90" s="128"/>
      <c r="M90" s="128"/>
      <c r="N90" s="128"/>
      <c r="O90" s="128"/>
      <c r="P90" s="128"/>
      <c r="Q90" s="128"/>
      <c r="R90" s="128"/>
      <c r="S90" s="128"/>
      <c r="T90" s="128"/>
      <c r="U90" s="128"/>
      <c r="V90" s="128"/>
      <c r="W90" s="128"/>
      <c r="X90" s="128"/>
      <c r="Y90" s="128"/>
      <c r="Z90" s="128"/>
      <c r="AA90" s="128"/>
      <c r="AB90" s="128"/>
      <c r="AC90" s="128"/>
      <c r="AD90" s="128"/>
      <c r="AE90" s="128"/>
      <c r="AF90" s="128"/>
      <c r="AG90" s="128"/>
      <c r="AH90" s="128"/>
      <c r="AI90" s="128"/>
      <c r="AJ90" s="128"/>
      <c r="AK90" s="128"/>
      <c r="AL90" s="128"/>
      <c r="AM90" s="128"/>
      <c r="AN90" s="128"/>
      <c r="AO90" s="128"/>
      <c r="AP90" s="128"/>
      <c r="AQ90" s="128"/>
      <c r="AR90" s="128"/>
      <c r="AS90" s="128"/>
      <c r="AT90" s="128"/>
      <c r="AU90" s="128"/>
      <c r="AV90" s="128"/>
      <c r="AW90" s="128"/>
      <c r="AX90" s="128"/>
      <c r="AY90" s="128"/>
      <c r="AZ90" s="128"/>
      <c r="BA90" s="128"/>
      <c r="BB90" s="128"/>
      <c r="BC90" s="128"/>
      <c r="BD90" s="128"/>
      <c r="BE90" s="128"/>
      <c r="BF90" s="128"/>
      <c r="BG90" s="128"/>
      <c r="BH90" s="128"/>
      <c r="BI90" s="128"/>
      <c r="BJ90" s="128"/>
      <c r="BK90" s="128"/>
      <c r="BL90" s="128"/>
      <c r="BM90" s="128"/>
      <c r="BN90" s="128"/>
      <c r="BO90" s="128"/>
      <c r="BP90" s="128"/>
      <c r="BQ90" s="128"/>
    </row>
    <row r="91" spans="1:69" ht="14.25" customHeight="1">
      <c r="A91" s="128"/>
      <c r="B91" s="128"/>
      <c r="C91" s="128"/>
      <c r="D91" s="128"/>
      <c r="E91" s="128"/>
      <c r="F91" s="128"/>
      <c r="G91" s="128"/>
      <c r="H91" s="128"/>
      <c r="I91" s="128"/>
      <c r="J91" s="128"/>
      <c r="K91" s="128"/>
      <c r="L91" s="128"/>
      <c r="M91" s="128"/>
      <c r="N91" s="128"/>
      <c r="O91" s="128"/>
      <c r="P91" s="128"/>
      <c r="Q91" s="128"/>
      <c r="R91" s="128"/>
      <c r="S91" s="128"/>
      <c r="T91" s="128"/>
      <c r="U91" s="128"/>
      <c r="V91" s="128"/>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28"/>
      <c r="AS91" s="128"/>
      <c r="AT91" s="128"/>
      <c r="AU91" s="128"/>
      <c r="AV91" s="128"/>
      <c r="AW91" s="128"/>
      <c r="AX91" s="128"/>
      <c r="AY91" s="128"/>
      <c r="AZ91" s="128"/>
      <c r="BA91" s="128"/>
      <c r="BB91" s="128"/>
      <c r="BC91" s="128"/>
      <c r="BD91" s="128"/>
      <c r="BE91" s="128"/>
      <c r="BF91" s="128"/>
      <c r="BG91" s="128"/>
      <c r="BH91" s="128"/>
      <c r="BI91" s="128"/>
      <c r="BJ91" s="128"/>
      <c r="BK91" s="128"/>
      <c r="BL91" s="128"/>
      <c r="BM91" s="128"/>
      <c r="BN91" s="128"/>
      <c r="BO91" s="128"/>
      <c r="BP91" s="128"/>
      <c r="BQ91" s="128"/>
    </row>
    <row r="92" spans="1:69" ht="14.25" customHeight="1">
      <c r="A92" s="128"/>
      <c r="B92" s="128"/>
      <c r="C92" s="128"/>
      <c r="D92" s="128"/>
      <c r="E92" s="128"/>
      <c r="F92" s="128"/>
      <c r="G92" s="128"/>
      <c r="H92" s="128"/>
      <c r="I92" s="128"/>
      <c r="J92" s="128"/>
      <c r="K92" s="128"/>
      <c r="L92" s="128"/>
      <c r="M92" s="128"/>
      <c r="N92" s="128"/>
      <c r="O92" s="128"/>
      <c r="P92" s="128"/>
      <c r="Q92" s="128"/>
      <c r="R92" s="128"/>
      <c r="S92" s="128"/>
      <c r="T92" s="128"/>
      <c r="U92" s="128"/>
      <c r="V92" s="128"/>
      <c r="W92" s="128"/>
      <c r="X92" s="128"/>
      <c r="Y92" s="128"/>
      <c r="Z92" s="128"/>
      <c r="AA92" s="128"/>
      <c r="AB92" s="128"/>
      <c r="AC92" s="128"/>
      <c r="AD92" s="128"/>
      <c r="AE92" s="128"/>
      <c r="AF92" s="128"/>
      <c r="AG92" s="128"/>
      <c r="AH92" s="128"/>
      <c r="AI92" s="128"/>
      <c r="AJ92" s="128"/>
      <c r="AK92" s="128"/>
      <c r="AL92" s="128"/>
      <c r="AM92" s="128"/>
      <c r="AN92" s="128"/>
      <c r="AO92" s="128"/>
      <c r="AP92" s="128"/>
      <c r="AQ92" s="128"/>
      <c r="AR92" s="128"/>
      <c r="AS92" s="128"/>
      <c r="AT92" s="128"/>
      <c r="AU92" s="128"/>
      <c r="AV92" s="128"/>
      <c r="AW92" s="128"/>
      <c r="AX92" s="128"/>
      <c r="AY92" s="128"/>
      <c r="AZ92" s="128"/>
      <c r="BA92" s="128"/>
      <c r="BB92" s="128"/>
      <c r="BC92" s="128"/>
      <c r="BD92" s="128"/>
      <c r="BE92" s="128"/>
      <c r="BF92" s="128"/>
      <c r="BG92" s="128"/>
      <c r="BH92" s="128"/>
      <c r="BI92" s="128"/>
      <c r="BJ92" s="128"/>
      <c r="BK92" s="128"/>
      <c r="BL92" s="128"/>
      <c r="BM92" s="128"/>
      <c r="BN92" s="128"/>
      <c r="BO92" s="128"/>
      <c r="BP92" s="128"/>
      <c r="BQ92" s="128"/>
    </row>
    <row r="93" spans="1:69" ht="14.25" customHeight="1">
      <c r="A93" s="128"/>
      <c r="B93" s="128"/>
      <c r="C93" s="128"/>
      <c r="D93" s="128"/>
      <c r="E93" s="128"/>
      <c r="F93" s="128"/>
      <c r="G93" s="128"/>
      <c r="H93" s="128"/>
      <c r="I93" s="128"/>
      <c r="J93" s="128"/>
      <c r="K93" s="128"/>
      <c r="L93" s="128"/>
      <c r="M93" s="128"/>
      <c r="N93" s="128"/>
      <c r="O93" s="128"/>
      <c r="P93" s="128"/>
      <c r="Q93" s="128"/>
      <c r="R93" s="128"/>
      <c r="S93" s="128"/>
      <c r="T93" s="128"/>
      <c r="U93" s="128"/>
      <c r="V93" s="128"/>
      <c r="W93" s="128"/>
      <c r="X93" s="128"/>
      <c r="Y93" s="128"/>
      <c r="Z93" s="128"/>
      <c r="AA93" s="128"/>
      <c r="AB93" s="128"/>
      <c r="AC93" s="128"/>
      <c r="AD93" s="128"/>
      <c r="AE93" s="128"/>
      <c r="AF93" s="128"/>
      <c r="AG93" s="128"/>
      <c r="AH93" s="128"/>
      <c r="AI93" s="128"/>
      <c r="AJ93" s="128"/>
      <c r="AK93" s="128"/>
      <c r="AL93" s="128"/>
      <c r="AM93" s="128"/>
      <c r="AN93" s="128"/>
      <c r="AO93" s="128"/>
      <c r="AP93" s="128"/>
      <c r="AQ93" s="128"/>
      <c r="AR93" s="128"/>
      <c r="AS93" s="128"/>
      <c r="AT93" s="128"/>
      <c r="AU93" s="128"/>
      <c r="AV93" s="128"/>
      <c r="AW93" s="128"/>
      <c r="AX93" s="128"/>
      <c r="AY93" s="128"/>
      <c r="AZ93" s="128"/>
      <c r="BA93" s="128"/>
      <c r="BB93" s="128"/>
      <c r="BC93" s="128"/>
      <c r="BD93" s="128"/>
      <c r="BE93" s="128"/>
      <c r="BF93" s="128"/>
      <c r="BG93" s="128"/>
      <c r="BH93" s="128"/>
      <c r="BI93" s="128"/>
      <c r="BJ93" s="128"/>
      <c r="BK93" s="128"/>
      <c r="BL93" s="128"/>
      <c r="BM93" s="128"/>
      <c r="BN93" s="128"/>
      <c r="BO93" s="128"/>
      <c r="BP93" s="128"/>
      <c r="BQ93" s="128"/>
    </row>
    <row r="94" spans="1:69" ht="14.25" customHeight="1">
      <c r="A94" s="128"/>
      <c r="B94" s="128"/>
      <c r="C94" s="128"/>
      <c r="D94" s="128"/>
      <c r="E94" s="128"/>
      <c r="F94" s="128"/>
      <c r="G94" s="128"/>
      <c r="H94" s="128"/>
      <c r="I94" s="128"/>
      <c r="J94" s="128"/>
      <c r="K94" s="128"/>
      <c r="L94" s="128"/>
      <c r="M94" s="128"/>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row>
    <row r="95" spans="1:69" ht="14.25" customHeight="1">
      <c r="A95" s="128"/>
      <c r="B95" s="128"/>
      <c r="C95" s="128"/>
      <c r="D95" s="128"/>
      <c r="E95" s="128"/>
      <c r="F95" s="128"/>
      <c r="G95" s="128"/>
      <c r="H95" s="128"/>
      <c r="I95" s="128"/>
      <c r="J95" s="128"/>
      <c r="K95" s="128"/>
      <c r="L95" s="128"/>
      <c r="M95" s="128"/>
      <c r="N95" s="128"/>
      <c r="O95" s="128"/>
      <c r="P95" s="128"/>
      <c r="Q95" s="128"/>
      <c r="R95" s="128"/>
      <c r="S95" s="128"/>
      <c r="T95" s="128"/>
      <c r="U95" s="128"/>
      <c r="V95" s="128"/>
      <c r="W95" s="128"/>
      <c r="X95" s="128"/>
      <c r="Y95" s="128"/>
      <c r="Z95" s="128"/>
      <c r="AA95" s="128"/>
      <c r="AB95" s="128"/>
      <c r="AC95" s="128"/>
      <c r="AD95" s="128"/>
      <c r="AE95" s="128"/>
      <c r="AF95" s="128"/>
      <c r="AG95" s="128"/>
      <c r="AH95" s="128"/>
      <c r="AI95" s="128"/>
      <c r="AJ95" s="128"/>
      <c r="AK95" s="128"/>
      <c r="AL95" s="128"/>
      <c r="AM95" s="128"/>
      <c r="AN95" s="128"/>
      <c r="AO95" s="128"/>
      <c r="AP95" s="128"/>
      <c r="AQ95" s="128"/>
      <c r="AR95" s="128"/>
      <c r="AS95" s="128"/>
      <c r="AT95" s="128"/>
      <c r="AU95" s="128"/>
      <c r="AV95" s="128"/>
      <c r="AW95" s="128"/>
      <c r="AX95" s="128"/>
      <c r="AY95" s="128"/>
      <c r="AZ95" s="128"/>
      <c r="BA95" s="128"/>
      <c r="BB95" s="128"/>
      <c r="BC95" s="128"/>
      <c r="BD95" s="128"/>
      <c r="BE95" s="128"/>
      <c r="BF95" s="128"/>
      <c r="BG95" s="128"/>
      <c r="BH95" s="128"/>
      <c r="BI95" s="128"/>
      <c r="BJ95" s="128"/>
      <c r="BK95" s="128"/>
      <c r="BL95" s="128"/>
      <c r="BM95" s="128"/>
      <c r="BN95" s="128"/>
      <c r="BO95" s="128"/>
      <c r="BP95" s="128"/>
      <c r="BQ95" s="128"/>
    </row>
    <row r="96" spans="1:69" ht="14.25" customHeight="1">
      <c r="A96" s="128"/>
      <c r="B96" s="128"/>
      <c r="C96" s="128"/>
      <c r="D96" s="128"/>
      <c r="E96" s="128"/>
      <c r="F96" s="128"/>
      <c r="G96" s="128"/>
      <c r="H96" s="128"/>
      <c r="I96" s="128"/>
      <c r="J96" s="128"/>
      <c r="K96" s="128"/>
      <c r="L96" s="128"/>
      <c r="M96" s="128"/>
      <c r="N96" s="128"/>
      <c r="O96" s="128"/>
      <c r="P96" s="128"/>
      <c r="Q96" s="128"/>
      <c r="R96" s="128"/>
      <c r="S96" s="128"/>
      <c r="T96" s="128"/>
      <c r="U96" s="128"/>
      <c r="V96" s="128"/>
      <c r="W96" s="128"/>
      <c r="X96" s="128"/>
      <c r="Y96" s="128"/>
      <c r="Z96" s="128"/>
      <c r="AA96" s="128"/>
      <c r="AB96" s="128"/>
      <c r="AC96" s="128"/>
      <c r="AD96" s="128"/>
      <c r="AE96" s="128"/>
      <c r="AF96" s="128"/>
      <c r="AG96" s="128"/>
      <c r="AH96" s="128"/>
      <c r="AI96" s="128"/>
      <c r="AJ96" s="128"/>
      <c r="AK96" s="128"/>
      <c r="AL96" s="128"/>
      <c r="AM96" s="128"/>
      <c r="AN96" s="128"/>
      <c r="AO96" s="128"/>
      <c r="AP96" s="128"/>
      <c r="AQ96" s="128"/>
      <c r="AR96" s="128"/>
      <c r="AS96" s="128"/>
      <c r="AT96" s="128"/>
      <c r="AU96" s="128"/>
      <c r="AV96" s="128"/>
      <c r="AW96" s="128"/>
      <c r="AX96" s="128"/>
      <c r="AY96" s="128"/>
      <c r="AZ96" s="128"/>
      <c r="BA96" s="128"/>
      <c r="BB96" s="128"/>
      <c r="BC96" s="128"/>
      <c r="BD96" s="128"/>
      <c r="BE96" s="128"/>
      <c r="BF96" s="128"/>
      <c r="BG96" s="128"/>
      <c r="BH96" s="128"/>
      <c r="BI96" s="128"/>
      <c r="BJ96" s="128"/>
      <c r="BK96" s="128"/>
      <c r="BL96" s="128"/>
      <c r="BM96" s="128"/>
      <c r="BN96" s="128"/>
      <c r="BO96" s="128"/>
      <c r="BP96" s="128"/>
      <c r="BQ96" s="128"/>
    </row>
    <row r="97" spans="1:69" ht="14.25" customHeight="1">
      <c r="A97" s="128"/>
      <c r="B97" s="128"/>
      <c r="C97" s="128"/>
      <c r="D97" s="128"/>
      <c r="E97" s="128"/>
      <c r="F97" s="128"/>
      <c r="G97" s="128"/>
      <c r="H97" s="128"/>
      <c r="I97" s="128"/>
      <c r="J97" s="128"/>
      <c r="K97" s="128"/>
      <c r="L97" s="128"/>
      <c r="M97" s="128"/>
      <c r="N97" s="128"/>
      <c r="O97" s="128"/>
      <c r="P97" s="128"/>
      <c r="Q97" s="128"/>
      <c r="R97" s="128"/>
      <c r="S97" s="128"/>
      <c r="T97" s="128"/>
      <c r="U97" s="128"/>
      <c r="V97" s="128"/>
      <c r="W97" s="128"/>
      <c r="X97" s="128"/>
      <c r="Y97" s="128"/>
      <c r="Z97" s="128"/>
      <c r="AA97" s="128"/>
      <c r="AB97" s="128"/>
      <c r="AC97" s="128"/>
      <c r="AD97" s="128"/>
      <c r="AE97" s="128"/>
      <c r="AF97" s="128"/>
      <c r="AG97" s="128"/>
      <c r="AH97" s="128"/>
      <c r="AI97" s="128"/>
      <c r="AJ97" s="128"/>
      <c r="AK97" s="128"/>
      <c r="AL97" s="128"/>
      <c r="AM97" s="128"/>
      <c r="AN97" s="128"/>
      <c r="AO97" s="128"/>
      <c r="AP97" s="128"/>
      <c r="AQ97" s="128"/>
      <c r="AR97" s="128"/>
      <c r="AS97" s="128"/>
      <c r="AT97" s="128"/>
      <c r="AU97" s="128"/>
      <c r="AV97" s="128"/>
      <c r="AW97" s="128"/>
      <c r="AX97" s="128"/>
      <c r="AY97" s="128"/>
      <c r="AZ97" s="128"/>
      <c r="BA97" s="128"/>
      <c r="BB97" s="128"/>
      <c r="BC97" s="128"/>
      <c r="BD97" s="128"/>
      <c r="BE97" s="128"/>
      <c r="BF97" s="128"/>
      <c r="BG97" s="128"/>
      <c r="BH97" s="128"/>
      <c r="BI97" s="128"/>
      <c r="BJ97" s="128"/>
      <c r="BK97" s="128"/>
      <c r="BL97" s="128"/>
      <c r="BM97" s="128"/>
      <c r="BN97" s="128"/>
      <c r="BO97" s="128"/>
      <c r="BP97" s="128"/>
      <c r="BQ97" s="128"/>
    </row>
    <row r="98" spans="1:69" ht="14.25" customHeight="1">
      <c r="A98" s="128"/>
      <c r="B98" s="128"/>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28"/>
      <c r="AS98" s="128"/>
      <c r="AT98" s="128"/>
      <c r="AU98" s="128"/>
      <c r="AV98" s="128"/>
      <c r="AW98" s="128"/>
      <c r="AX98" s="128"/>
      <c r="AY98" s="128"/>
      <c r="AZ98" s="128"/>
      <c r="BA98" s="128"/>
      <c r="BB98" s="128"/>
      <c r="BC98" s="128"/>
      <c r="BD98" s="128"/>
      <c r="BE98" s="128"/>
      <c r="BF98" s="128"/>
      <c r="BG98" s="128"/>
      <c r="BH98" s="128"/>
      <c r="BI98" s="128"/>
      <c r="BJ98" s="128"/>
      <c r="BK98" s="128"/>
      <c r="BL98" s="128"/>
      <c r="BM98" s="128"/>
      <c r="BN98" s="128"/>
      <c r="BO98" s="128"/>
      <c r="BP98" s="128"/>
      <c r="BQ98" s="128"/>
    </row>
    <row r="99" spans="1:69" ht="14.25" customHeight="1">
      <c r="A99" s="128"/>
      <c r="B99" s="128"/>
      <c r="C99" s="128"/>
      <c r="D99" s="128"/>
      <c r="E99" s="128"/>
      <c r="F99" s="128"/>
      <c r="G99" s="128"/>
      <c r="H99" s="128"/>
      <c r="I99" s="128"/>
      <c r="J99" s="128"/>
      <c r="K99" s="128"/>
      <c r="L99" s="128"/>
      <c r="M99" s="128"/>
      <c r="N99" s="128"/>
      <c r="O99" s="128"/>
      <c r="P99" s="128"/>
      <c r="Q99" s="128"/>
      <c r="R99" s="128"/>
      <c r="S99" s="128"/>
      <c r="T99" s="128"/>
      <c r="U99" s="128"/>
      <c r="V99" s="128"/>
      <c r="W99" s="128"/>
      <c r="X99" s="128"/>
      <c r="Y99" s="128"/>
      <c r="Z99" s="128"/>
      <c r="AA99" s="128"/>
      <c r="AB99" s="128"/>
      <c r="AC99" s="128"/>
      <c r="AD99" s="128"/>
      <c r="AE99" s="128"/>
      <c r="AF99" s="128"/>
      <c r="AG99" s="128"/>
      <c r="AH99" s="128"/>
      <c r="AI99" s="128"/>
      <c r="AJ99" s="128"/>
      <c r="AK99" s="128"/>
      <c r="AL99" s="128"/>
      <c r="AM99" s="128"/>
      <c r="AN99" s="128"/>
      <c r="AO99" s="128"/>
      <c r="AP99" s="128"/>
      <c r="AQ99" s="128"/>
      <c r="AR99" s="128"/>
      <c r="AS99" s="128"/>
      <c r="AT99" s="128"/>
      <c r="AU99" s="128"/>
      <c r="AV99" s="128"/>
      <c r="AW99" s="128"/>
      <c r="AX99" s="128"/>
      <c r="AY99" s="128"/>
      <c r="AZ99" s="128"/>
      <c r="BA99" s="128"/>
      <c r="BB99" s="128"/>
      <c r="BC99" s="128"/>
      <c r="BD99" s="128"/>
      <c r="BE99" s="128"/>
      <c r="BF99" s="128"/>
      <c r="BG99" s="128"/>
      <c r="BH99" s="128"/>
      <c r="BI99" s="128"/>
      <c r="BJ99" s="128"/>
      <c r="BK99" s="128"/>
      <c r="BL99" s="128"/>
      <c r="BM99" s="128"/>
      <c r="BN99" s="128"/>
      <c r="BO99" s="128"/>
      <c r="BP99" s="128"/>
      <c r="BQ99" s="128"/>
    </row>
    <row r="100" spans="1:69" ht="14.25" customHeight="1">
      <c r="A100" s="128"/>
      <c r="B100" s="128"/>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28"/>
      <c r="AS100" s="128"/>
      <c r="AT100" s="128"/>
      <c r="AU100" s="128"/>
      <c r="AV100" s="128"/>
      <c r="AW100" s="128"/>
      <c r="AX100" s="128"/>
      <c r="AY100" s="128"/>
      <c r="AZ100" s="128"/>
      <c r="BA100" s="128"/>
      <c r="BB100" s="128"/>
      <c r="BC100" s="128"/>
      <c r="BD100" s="128"/>
      <c r="BE100" s="128"/>
      <c r="BF100" s="128"/>
      <c r="BG100" s="128"/>
      <c r="BH100" s="128"/>
      <c r="BI100" s="128"/>
      <c r="BJ100" s="128"/>
      <c r="BK100" s="128"/>
      <c r="BL100" s="128"/>
      <c r="BM100" s="128"/>
      <c r="BN100" s="128"/>
      <c r="BO100" s="128"/>
      <c r="BP100" s="128"/>
      <c r="BQ100" s="128"/>
    </row>
    <row r="101" spans="1:69" ht="14.25" customHeight="1">
      <c r="A101" s="128"/>
      <c r="B101" s="128"/>
      <c r="C101" s="128"/>
      <c r="D101" s="128"/>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row>
    <row r="102" spans="1:69" ht="14.25" customHeight="1">
      <c r="A102" s="128"/>
      <c r="B102" s="128"/>
      <c r="C102" s="128"/>
      <c r="D102" s="128"/>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c r="AA102" s="128"/>
      <c r="AB102" s="128"/>
      <c r="AC102" s="128"/>
      <c r="AD102" s="128"/>
      <c r="AE102" s="128"/>
      <c r="AF102" s="128"/>
      <c r="AG102" s="128"/>
      <c r="AH102" s="128"/>
      <c r="AI102" s="128"/>
      <c r="AJ102" s="128"/>
      <c r="AK102" s="128"/>
      <c r="AL102" s="128"/>
      <c r="AM102" s="128"/>
      <c r="AN102" s="128"/>
      <c r="AO102" s="128"/>
      <c r="AP102" s="128"/>
      <c r="AQ102" s="128"/>
      <c r="AR102" s="128"/>
      <c r="AS102" s="128"/>
      <c r="AT102" s="128"/>
      <c r="AU102" s="128"/>
      <c r="AV102" s="128"/>
      <c r="AW102" s="128"/>
      <c r="AX102" s="128"/>
      <c r="AY102" s="128"/>
      <c r="AZ102" s="128"/>
      <c r="BA102" s="128"/>
      <c r="BB102" s="128"/>
      <c r="BC102" s="128"/>
      <c r="BD102" s="128"/>
      <c r="BE102" s="128"/>
      <c r="BF102" s="128"/>
      <c r="BG102" s="128"/>
      <c r="BH102" s="128"/>
      <c r="BI102" s="128"/>
      <c r="BJ102" s="128"/>
      <c r="BK102" s="128"/>
      <c r="BL102" s="128"/>
      <c r="BM102" s="128"/>
      <c r="BN102" s="128"/>
      <c r="BO102" s="128"/>
      <c r="BP102" s="128"/>
      <c r="BQ102" s="128"/>
    </row>
    <row r="103" spans="1:69" ht="14.25" customHeight="1">
      <c r="A103" s="128"/>
      <c r="B103" s="128"/>
      <c r="C103" s="128"/>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c r="AA103" s="128"/>
      <c r="AB103" s="128"/>
      <c r="AC103" s="128"/>
      <c r="AD103" s="128"/>
      <c r="AE103" s="128"/>
      <c r="AF103" s="128"/>
      <c r="AG103" s="128"/>
      <c r="AH103" s="128"/>
      <c r="AI103" s="128"/>
      <c r="AJ103" s="128"/>
      <c r="AK103" s="128"/>
      <c r="AL103" s="128"/>
      <c r="AM103" s="128"/>
      <c r="AN103" s="128"/>
      <c r="AO103" s="128"/>
      <c r="AP103" s="128"/>
      <c r="AQ103" s="128"/>
      <c r="AR103" s="128"/>
      <c r="AS103" s="128"/>
      <c r="AT103" s="128"/>
      <c r="AU103" s="128"/>
      <c r="AV103" s="128"/>
      <c r="AW103" s="128"/>
      <c r="AX103" s="128"/>
      <c r="AY103" s="128"/>
      <c r="AZ103" s="128"/>
      <c r="BA103" s="128"/>
      <c r="BB103" s="128"/>
      <c r="BC103" s="128"/>
      <c r="BD103" s="128"/>
      <c r="BE103" s="128"/>
      <c r="BF103" s="128"/>
      <c r="BG103" s="128"/>
      <c r="BH103" s="128"/>
      <c r="BI103" s="128"/>
      <c r="BJ103" s="128"/>
      <c r="BK103" s="128"/>
      <c r="BL103" s="128"/>
      <c r="BM103" s="128"/>
      <c r="BN103" s="128"/>
      <c r="BO103" s="128"/>
      <c r="BP103" s="128"/>
      <c r="BQ103" s="128"/>
    </row>
    <row r="104" spans="1:69" ht="14.25" customHeight="1">
      <c r="A104" s="128"/>
      <c r="B104" s="128"/>
      <c r="C104" s="128"/>
      <c r="D104" s="128"/>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c r="AA104" s="128"/>
      <c r="AB104" s="128"/>
      <c r="AC104" s="128"/>
      <c r="AD104" s="128"/>
      <c r="AE104" s="128"/>
      <c r="AF104" s="128"/>
      <c r="AG104" s="128"/>
      <c r="AH104" s="128"/>
      <c r="AI104" s="128"/>
      <c r="AJ104" s="128"/>
      <c r="AK104" s="128"/>
      <c r="AL104" s="128"/>
      <c r="AM104" s="128"/>
      <c r="AN104" s="128"/>
      <c r="AO104" s="128"/>
      <c r="AP104" s="128"/>
      <c r="AQ104" s="128"/>
      <c r="AR104" s="128"/>
      <c r="AS104" s="128"/>
      <c r="AT104" s="128"/>
      <c r="AU104" s="128"/>
      <c r="AV104" s="128"/>
      <c r="AW104" s="128"/>
      <c r="AX104" s="128"/>
      <c r="AY104" s="128"/>
      <c r="AZ104" s="128"/>
      <c r="BA104" s="128"/>
      <c r="BB104" s="128"/>
      <c r="BC104" s="128"/>
      <c r="BD104" s="128"/>
      <c r="BE104" s="128"/>
      <c r="BF104" s="128"/>
      <c r="BG104" s="128"/>
      <c r="BH104" s="128"/>
      <c r="BI104" s="128"/>
      <c r="BJ104" s="128"/>
      <c r="BK104" s="128"/>
      <c r="BL104" s="128"/>
      <c r="BM104" s="128"/>
      <c r="BN104" s="128"/>
      <c r="BO104" s="128"/>
      <c r="BP104" s="128"/>
      <c r="BQ104" s="128"/>
    </row>
    <row r="105" spans="1:69" ht="14.25" customHeight="1">
      <c r="A105" s="128"/>
      <c r="B105" s="128"/>
      <c r="C105" s="128"/>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c r="AA105" s="128"/>
      <c r="AB105" s="128"/>
      <c r="AC105" s="128"/>
      <c r="AD105" s="128"/>
      <c r="AE105" s="128"/>
      <c r="AF105" s="128"/>
      <c r="AG105" s="128"/>
      <c r="AH105" s="128"/>
      <c r="AI105" s="128"/>
      <c r="AJ105" s="128"/>
      <c r="AK105" s="128"/>
      <c r="AL105" s="128"/>
      <c r="AM105" s="128"/>
      <c r="AN105" s="128"/>
      <c r="AO105" s="128"/>
      <c r="AP105" s="128"/>
      <c r="AQ105" s="128"/>
      <c r="AR105" s="128"/>
      <c r="AS105" s="128"/>
      <c r="AT105" s="128"/>
      <c r="AU105" s="128"/>
      <c r="AV105" s="128"/>
      <c r="AW105" s="128"/>
      <c r="AX105" s="128"/>
      <c r="AY105" s="128"/>
      <c r="AZ105" s="128"/>
      <c r="BA105" s="128"/>
      <c r="BB105" s="128"/>
      <c r="BC105" s="128"/>
      <c r="BD105" s="128"/>
      <c r="BE105" s="128"/>
      <c r="BF105" s="128"/>
      <c r="BG105" s="128"/>
      <c r="BH105" s="128"/>
      <c r="BI105" s="128"/>
      <c r="BJ105" s="128"/>
      <c r="BK105" s="128"/>
      <c r="BL105" s="128"/>
      <c r="BM105" s="128"/>
      <c r="BN105" s="128"/>
      <c r="BO105" s="128"/>
      <c r="BP105" s="128"/>
      <c r="BQ105" s="128"/>
    </row>
    <row r="106" spans="1:69" ht="14.25" customHeight="1">
      <c r="A106" s="128"/>
      <c r="B106" s="128"/>
      <c r="C106" s="128"/>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c r="AA106" s="128"/>
      <c r="AB106" s="128"/>
      <c r="AC106" s="128"/>
      <c r="AD106" s="128"/>
      <c r="AE106" s="128"/>
      <c r="AF106" s="128"/>
      <c r="AG106" s="128"/>
      <c r="AH106" s="128"/>
      <c r="AI106" s="128"/>
      <c r="AJ106" s="128"/>
      <c r="AK106" s="128"/>
      <c r="AL106" s="128"/>
      <c r="AM106" s="128"/>
      <c r="AN106" s="128"/>
      <c r="AO106" s="128"/>
      <c r="AP106" s="128"/>
      <c r="AQ106" s="128"/>
      <c r="AR106" s="128"/>
      <c r="AS106" s="128"/>
      <c r="AT106" s="128"/>
      <c r="AU106" s="128"/>
      <c r="AV106" s="128"/>
      <c r="AW106" s="128"/>
      <c r="AX106" s="128"/>
      <c r="AY106" s="128"/>
      <c r="AZ106" s="128"/>
      <c r="BA106" s="128"/>
      <c r="BB106" s="128"/>
      <c r="BC106" s="128"/>
      <c r="BD106" s="128"/>
      <c r="BE106" s="128"/>
      <c r="BF106" s="128"/>
      <c r="BG106" s="128"/>
      <c r="BH106" s="128"/>
      <c r="BI106" s="128"/>
      <c r="BJ106" s="128"/>
      <c r="BK106" s="128"/>
      <c r="BL106" s="128"/>
      <c r="BM106" s="128"/>
      <c r="BN106" s="128"/>
      <c r="BO106" s="128"/>
      <c r="BP106" s="128"/>
      <c r="BQ106" s="128"/>
    </row>
    <row r="107" spans="1:69" ht="14.25" customHeight="1">
      <c r="A107" s="128"/>
      <c r="B107" s="128"/>
      <c r="C107" s="128"/>
      <c r="D107" s="128"/>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row>
    <row r="108" spans="1:69" ht="14.25" customHeight="1">
      <c r="A108" s="128"/>
      <c r="B108" s="128"/>
      <c r="C108" s="128"/>
      <c r="D108" s="128"/>
      <c r="E108" s="128"/>
      <c r="F108" s="128"/>
      <c r="G108" s="128"/>
      <c r="H108" s="128"/>
      <c r="I108" s="128"/>
      <c r="J108" s="128"/>
      <c r="K108" s="128"/>
      <c r="L108" s="128"/>
      <c r="M108" s="128"/>
      <c r="N108" s="128"/>
      <c r="O108" s="128"/>
      <c r="P108" s="128"/>
      <c r="Q108" s="128"/>
      <c r="R108" s="128"/>
      <c r="S108" s="128"/>
      <c r="T108" s="128"/>
      <c r="U108" s="128"/>
      <c r="V108" s="128"/>
      <c r="W108" s="128"/>
      <c r="X108" s="128"/>
      <c r="Y108" s="128"/>
      <c r="Z108" s="128"/>
      <c r="AA108" s="128"/>
      <c r="AB108" s="128"/>
      <c r="AC108" s="128"/>
      <c r="AD108" s="128"/>
      <c r="AE108" s="128"/>
      <c r="AF108" s="128"/>
      <c r="AG108" s="128"/>
      <c r="AH108" s="128"/>
      <c r="AI108" s="128"/>
      <c r="AJ108" s="128"/>
      <c r="AK108" s="128"/>
      <c r="AL108" s="128"/>
      <c r="AM108" s="128"/>
      <c r="AN108" s="128"/>
      <c r="AO108" s="128"/>
      <c r="AP108" s="128"/>
      <c r="AQ108" s="128"/>
      <c r="AR108" s="128"/>
      <c r="AS108" s="128"/>
      <c r="AT108" s="128"/>
      <c r="AU108" s="128"/>
      <c r="AV108" s="128"/>
      <c r="AW108" s="128"/>
      <c r="AX108" s="128"/>
      <c r="AY108" s="128"/>
      <c r="AZ108" s="128"/>
      <c r="BA108" s="128"/>
      <c r="BB108" s="128"/>
      <c r="BC108" s="128"/>
      <c r="BD108" s="128"/>
      <c r="BE108" s="128"/>
      <c r="BF108" s="128"/>
      <c r="BG108" s="128"/>
      <c r="BH108" s="128"/>
      <c r="BI108" s="128"/>
      <c r="BJ108" s="128"/>
      <c r="BK108" s="128"/>
      <c r="BL108" s="128"/>
      <c r="BM108" s="128"/>
      <c r="BN108" s="128"/>
      <c r="BO108" s="128"/>
      <c r="BP108" s="128"/>
      <c r="BQ108" s="128"/>
    </row>
    <row r="109" spans="1:69" ht="14.25" customHeight="1">
      <c r="A109" s="128"/>
      <c r="B109" s="128"/>
      <c r="C109" s="128"/>
      <c r="D109" s="128"/>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28"/>
      <c r="AA109" s="128"/>
      <c r="AB109" s="128"/>
      <c r="AC109" s="128"/>
      <c r="AD109" s="128"/>
      <c r="AE109" s="128"/>
      <c r="AF109" s="128"/>
      <c r="AG109" s="128"/>
      <c r="AH109" s="128"/>
      <c r="AI109" s="128"/>
      <c r="AJ109" s="128"/>
      <c r="AK109" s="128"/>
      <c r="AL109" s="128"/>
      <c r="AM109" s="128"/>
      <c r="AN109" s="128"/>
      <c r="AO109" s="128"/>
      <c r="AP109" s="128"/>
      <c r="AQ109" s="128"/>
      <c r="AR109" s="128"/>
      <c r="AS109" s="128"/>
      <c r="AT109" s="128"/>
      <c r="AU109" s="128"/>
      <c r="AV109" s="128"/>
      <c r="AW109" s="128"/>
      <c r="AX109" s="128"/>
      <c r="AY109" s="128"/>
      <c r="AZ109" s="128"/>
      <c r="BA109" s="128"/>
      <c r="BB109" s="128"/>
      <c r="BC109" s="128"/>
      <c r="BD109" s="128"/>
      <c r="BE109" s="128"/>
      <c r="BF109" s="128"/>
      <c r="BG109" s="128"/>
      <c r="BH109" s="128"/>
      <c r="BI109" s="128"/>
      <c r="BJ109" s="128"/>
      <c r="BK109" s="128"/>
      <c r="BL109" s="128"/>
      <c r="BM109" s="128"/>
      <c r="BN109" s="128"/>
      <c r="BO109" s="128"/>
      <c r="BP109" s="128"/>
      <c r="BQ109" s="128"/>
    </row>
    <row r="110" spans="1:69" ht="14.25" customHeight="1">
      <c r="A110" s="128"/>
      <c r="B110" s="128"/>
      <c r="C110" s="128"/>
      <c r="D110" s="128"/>
      <c r="E110" s="128"/>
      <c r="F110" s="128"/>
      <c r="G110" s="128"/>
      <c r="H110" s="128"/>
      <c r="I110" s="128"/>
      <c r="J110" s="128"/>
      <c r="K110" s="128"/>
      <c r="L110" s="128"/>
      <c r="M110" s="128"/>
      <c r="N110" s="128"/>
      <c r="O110" s="128"/>
      <c r="P110" s="128"/>
      <c r="Q110" s="128"/>
      <c r="R110" s="128"/>
      <c r="S110" s="128"/>
      <c r="T110" s="128"/>
      <c r="U110" s="128"/>
      <c r="V110" s="128"/>
      <c r="W110" s="128"/>
      <c r="X110" s="128"/>
      <c r="Y110" s="128"/>
      <c r="Z110" s="128"/>
      <c r="AA110" s="128"/>
      <c r="AB110" s="128"/>
      <c r="AC110" s="128"/>
      <c r="AD110" s="128"/>
      <c r="AE110" s="128"/>
      <c r="AF110" s="128"/>
      <c r="AG110" s="128"/>
      <c r="AH110" s="128"/>
      <c r="AI110" s="128"/>
      <c r="AJ110" s="128"/>
      <c r="AK110" s="128"/>
      <c r="AL110" s="128"/>
      <c r="AM110" s="128"/>
      <c r="AN110" s="128"/>
      <c r="AO110" s="128"/>
      <c r="AP110" s="128"/>
      <c r="AQ110" s="128"/>
      <c r="AR110" s="128"/>
      <c r="AS110" s="128"/>
      <c r="AT110" s="128"/>
      <c r="AU110" s="128"/>
      <c r="AV110" s="128"/>
      <c r="AW110" s="128"/>
      <c r="AX110" s="128"/>
      <c r="AY110" s="128"/>
      <c r="AZ110" s="128"/>
      <c r="BA110" s="128"/>
      <c r="BB110" s="128"/>
      <c r="BC110" s="128"/>
      <c r="BD110" s="128"/>
      <c r="BE110" s="128"/>
      <c r="BF110" s="128"/>
      <c r="BG110" s="128"/>
      <c r="BH110" s="128"/>
      <c r="BI110" s="128"/>
      <c r="BJ110" s="128"/>
      <c r="BK110" s="128"/>
      <c r="BL110" s="128"/>
      <c r="BM110" s="128"/>
      <c r="BN110" s="128"/>
      <c r="BO110" s="128"/>
      <c r="BP110" s="128"/>
      <c r="BQ110" s="128"/>
    </row>
    <row r="111" spans="1:69" ht="14.25" customHeight="1">
      <c r="A111" s="128"/>
      <c r="B111" s="128"/>
      <c r="C111" s="128"/>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c r="AA111" s="128"/>
      <c r="AB111" s="128"/>
      <c r="AC111" s="128"/>
      <c r="AD111" s="128"/>
      <c r="AE111" s="128"/>
      <c r="AF111" s="128"/>
      <c r="AG111" s="128"/>
      <c r="AH111" s="128"/>
      <c r="AI111" s="128"/>
      <c r="AJ111" s="128"/>
      <c r="AK111" s="128"/>
      <c r="AL111" s="128"/>
      <c r="AM111" s="128"/>
      <c r="AN111" s="128"/>
      <c r="AO111" s="128"/>
      <c r="AP111" s="128"/>
      <c r="AQ111" s="128"/>
      <c r="AR111" s="128"/>
      <c r="AS111" s="128"/>
      <c r="AT111" s="128"/>
      <c r="AU111" s="128"/>
      <c r="AV111" s="128"/>
      <c r="AW111" s="128"/>
      <c r="AX111" s="128"/>
      <c r="AY111" s="128"/>
      <c r="AZ111" s="128"/>
      <c r="BA111" s="128"/>
      <c r="BB111" s="128"/>
      <c r="BC111" s="128"/>
      <c r="BD111" s="128"/>
      <c r="BE111" s="128"/>
      <c r="BF111" s="128"/>
      <c r="BG111" s="128"/>
      <c r="BH111" s="128"/>
      <c r="BI111" s="128"/>
      <c r="BJ111" s="128"/>
      <c r="BK111" s="128"/>
      <c r="BL111" s="128"/>
      <c r="BM111" s="128"/>
      <c r="BN111" s="128"/>
      <c r="BO111" s="128"/>
      <c r="BP111" s="128"/>
      <c r="BQ111" s="128"/>
    </row>
    <row r="112" spans="1:69" ht="14.25" customHeight="1">
      <c r="A112" s="128"/>
      <c r="B112" s="128"/>
      <c r="C112" s="128"/>
      <c r="D112" s="128"/>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28"/>
      <c r="AS112" s="128"/>
      <c r="AT112" s="128"/>
      <c r="AU112" s="128"/>
      <c r="AV112" s="128"/>
      <c r="AW112" s="128"/>
      <c r="AX112" s="128"/>
      <c r="AY112" s="128"/>
      <c r="AZ112" s="128"/>
      <c r="BA112" s="128"/>
      <c r="BB112" s="128"/>
      <c r="BC112" s="128"/>
      <c r="BD112" s="128"/>
      <c r="BE112" s="128"/>
      <c r="BF112" s="128"/>
      <c r="BG112" s="128"/>
      <c r="BH112" s="128"/>
      <c r="BI112" s="128"/>
      <c r="BJ112" s="128"/>
      <c r="BK112" s="128"/>
      <c r="BL112" s="128"/>
      <c r="BM112" s="128"/>
      <c r="BN112" s="128"/>
      <c r="BO112" s="128"/>
      <c r="BP112" s="128"/>
      <c r="BQ112" s="128"/>
    </row>
    <row r="113" spans="1:69" ht="14.25" customHeight="1">
      <c r="A113" s="128"/>
      <c r="B113" s="128"/>
      <c r="C113" s="128"/>
      <c r="D113" s="128"/>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row>
    <row r="114" spans="1:69" ht="14.25" customHeight="1">
      <c r="A114" s="128"/>
      <c r="B114" s="128"/>
      <c r="C114" s="128"/>
      <c r="D114" s="128"/>
      <c r="E114" s="128"/>
      <c r="F114" s="128"/>
      <c r="G114" s="128"/>
      <c r="H114" s="128"/>
      <c r="I114" s="128"/>
      <c r="J114" s="128"/>
      <c r="K114" s="128"/>
      <c r="L114" s="128"/>
      <c r="M114" s="128"/>
      <c r="N114" s="128"/>
      <c r="O114" s="128"/>
      <c r="P114" s="128"/>
      <c r="Q114" s="128"/>
      <c r="R114" s="128"/>
      <c r="S114" s="128"/>
      <c r="T114" s="128"/>
      <c r="U114" s="128"/>
      <c r="V114" s="128"/>
      <c r="W114" s="128"/>
      <c r="X114" s="128"/>
      <c r="Y114" s="128"/>
      <c r="Z114" s="128"/>
      <c r="AA114" s="128"/>
      <c r="AB114" s="128"/>
      <c r="AC114" s="128"/>
      <c r="AD114" s="128"/>
      <c r="AE114" s="128"/>
      <c r="AF114" s="128"/>
      <c r="AG114" s="128"/>
      <c r="AH114" s="128"/>
      <c r="AI114" s="128"/>
      <c r="AJ114" s="128"/>
      <c r="AK114" s="128"/>
      <c r="AL114" s="128"/>
      <c r="AM114" s="128"/>
      <c r="AN114" s="128"/>
      <c r="AO114" s="128"/>
      <c r="AP114" s="128"/>
      <c r="AQ114" s="128"/>
      <c r="AR114" s="128"/>
      <c r="AS114" s="128"/>
      <c r="AT114" s="128"/>
      <c r="AU114" s="128"/>
      <c r="AV114" s="128"/>
      <c r="AW114" s="128"/>
      <c r="AX114" s="128"/>
      <c r="AY114" s="128"/>
      <c r="AZ114" s="128"/>
      <c r="BA114" s="128"/>
      <c r="BB114" s="128"/>
      <c r="BC114" s="128"/>
      <c r="BD114" s="128"/>
      <c r="BE114" s="128"/>
      <c r="BF114" s="128"/>
      <c r="BG114" s="128"/>
      <c r="BH114" s="128"/>
      <c r="BI114" s="128"/>
      <c r="BJ114" s="128"/>
      <c r="BK114" s="128"/>
      <c r="BL114" s="128"/>
      <c r="BM114" s="128"/>
      <c r="BN114" s="128"/>
      <c r="BO114" s="128"/>
      <c r="BP114" s="128"/>
      <c r="BQ114" s="128"/>
    </row>
    <row r="115" spans="1:69" ht="14.25" customHeight="1">
      <c r="A115" s="128"/>
      <c r="B115" s="128"/>
      <c r="C115" s="128"/>
      <c r="D115" s="128"/>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28"/>
      <c r="AA115" s="128"/>
      <c r="AB115" s="128"/>
      <c r="AC115" s="128"/>
      <c r="AD115" s="128"/>
      <c r="AE115" s="128"/>
      <c r="AF115" s="128"/>
      <c r="AG115" s="128"/>
      <c r="AH115" s="128"/>
      <c r="AI115" s="128"/>
      <c r="AJ115" s="128"/>
      <c r="AK115" s="128"/>
      <c r="AL115" s="128"/>
      <c r="AM115" s="128"/>
      <c r="AN115" s="128"/>
      <c r="AO115" s="128"/>
      <c r="AP115" s="128"/>
      <c r="AQ115" s="128"/>
      <c r="AR115" s="128"/>
      <c r="AS115" s="128"/>
      <c r="AT115" s="128"/>
      <c r="AU115" s="128"/>
      <c r="AV115" s="128"/>
      <c r="AW115" s="128"/>
      <c r="AX115" s="128"/>
      <c r="AY115" s="128"/>
      <c r="AZ115" s="128"/>
      <c r="BA115" s="128"/>
      <c r="BB115" s="128"/>
      <c r="BC115" s="128"/>
      <c r="BD115" s="128"/>
      <c r="BE115" s="128"/>
      <c r="BF115" s="128"/>
      <c r="BG115" s="128"/>
      <c r="BH115" s="128"/>
      <c r="BI115" s="128"/>
      <c r="BJ115" s="128"/>
      <c r="BK115" s="128"/>
      <c r="BL115" s="128"/>
      <c r="BM115" s="128"/>
      <c r="BN115" s="128"/>
      <c r="BO115" s="128"/>
      <c r="BP115" s="128"/>
      <c r="BQ115" s="128"/>
    </row>
    <row r="116" spans="1:69" ht="14.25" customHeight="1">
      <c r="A116" s="128"/>
      <c r="B116" s="128"/>
      <c r="C116" s="128"/>
      <c r="D116" s="128"/>
      <c r="E116" s="128"/>
      <c r="F116" s="128"/>
      <c r="G116" s="128"/>
      <c r="H116" s="128"/>
      <c r="I116" s="128"/>
      <c r="J116" s="128"/>
      <c r="K116" s="128"/>
      <c r="L116" s="128"/>
      <c r="M116" s="128"/>
      <c r="N116" s="128"/>
      <c r="O116" s="128"/>
      <c r="P116" s="128"/>
      <c r="Q116" s="128"/>
      <c r="R116" s="128"/>
      <c r="S116" s="128"/>
      <c r="T116" s="128"/>
      <c r="U116" s="128"/>
      <c r="V116" s="128"/>
      <c r="W116" s="128"/>
      <c r="X116" s="128"/>
      <c r="Y116" s="128"/>
      <c r="Z116" s="128"/>
      <c r="AA116" s="128"/>
      <c r="AB116" s="128"/>
      <c r="AC116" s="128"/>
      <c r="AD116" s="128"/>
      <c r="AE116" s="128"/>
      <c r="AF116" s="128"/>
      <c r="AG116" s="128"/>
      <c r="AH116" s="128"/>
      <c r="AI116" s="128"/>
      <c r="AJ116" s="128"/>
      <c r="AK116" s="128"/>
      <c r="AL116" s="128"/>
      <c r="AM116" s="128"/>
      <c r="AN116" s="128"/>
      <c r="AO116" s="128"/>
      <c r="AP116" s="128"/>
      <c r="AQ116" s="128"/>
      <c r="AR116" s="128"/>
      <c r="AS116" s="128"/>
      <c r="AT116" s="128"/>
      <c r="AU116" s="128"/>
      <c r="AV116" s="128"/>
      <c r="AW116" s="128"/>
      <c r="AX116" s="128"/>
      <c r="AY116" s="128"/>
      <c r="AZ116" s="128"/>
      <c r="BA116" s="128"/>
      <c r="BB116" s="128"/>
      <c r="BC116" s="128"/>
      <c r="BD116" s="128"/>
      <c r="BE116" s="128"/>
      <c r="BF116" s="128"/>
      <c r="BG116" s="128"/>
      <c r="BH116" s="128"/>
      <c r="BI116" s="128"/>
      <c r="BJ116" s="128"/>
      <c r="BK116" s="128"/>
      <c r="BL116" s="128"/>
      <c r="BM116" s="128"/>
      <c r="BN116" s="128"/>
      <c r="BO116" s="128"/>
      <c r="BP116" s="128"/>
      <c r="BQ116" s="128"/>
    </row>
    <row r="117" spans="1:69" ht="14.25" customHeight="1">
      <c r="A117" s="128"/>
      <c r="B117" s="128"/>
      <c r="C117" s="128"/>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c r="AA117" s="128"/>
      <c r="AB117" s="128"/>
      <c r="AC117" s="128"/>
      <c r="AD117" s="128"/>
      <c r="AE117" s="128"/>
      <c r="AF117" s="128"/>
      <c r="AG117" s="128"/>
      <c r="AH117" s="128"/>
      <c r="AI117" s="128"/>
      <c r="AJ117" s="128"/>
      <c r="AK117" s="128"/>
      <c r="AL117" s="128"/>
      <c r="AM117" s="128"/>
      <c r="AN117" s="128"/>
      <c r="AO117" s="128"/>
      <c r="AP117" s="128"/>
      <c r="AQ117" s="128"/>
      <c r="AR117" s="128"/>
      <c r="AS117" s="128"/>
      <c r="AT117" s="128"/>
      <c r="AU117" s="128"/>
      <c r="AV117" s="128"/>
      <c r="AW117" s="128"/>
      <c r="AX117" s="128"/>
      <c r="AY117" s="128"/>
      <c r="AZ117" s="128"/>
      <c r="BA117" s="128"/>
      <c r="BB117" s="128"/>
      <c r="BC117" s="128"/>
      <c r="BD117" s="128"/>
      <c r="BE117" s="128"/>
      <c r="BF117" s="128"/>
      <c r="BG117" s="128"/>
      <c r="BH117" s="128"/>
      <c r="BI117" s="128"/>
      <c r="BJ117" s="128"/>
      <c r="BK117" s="128"/>
      <c r="BL117" s="128"/>
      <c r="BM117" s="128"/>
      <c r="BN117" s="128"/>
      <c r="BO117" s="128"/>
      <c r="BP117" s="128"/>
      <c r="BQ117" s="128"/>
    </row>
    <row r="118" spans="1:69" ht="14.25" customHeight="1">
      <c r="A118" s="128"/>
      <c r="B118" s="128"/>
      <c r="C118" s="128"/>
      <c r="D118" s="128"/>
      <c r="E118" s="128"/>
      <c r="F118" s="128"/>
      <c r="G118" s="128"/>
      <c r="H118" s="128"/>
      <c r="I118" s="128"/>
      <c r="J118" s="128"/>
      <c r="K118" s="128"/>
      <c r="L118" s="128"/>
      <c r="M118" s="128"/>
      <c r="N118" s="128"/>
      <c r="O118" s="128"/>
      <c r="P118" s="128"/>
      <c r="Q118" s="128"/>
      <c r="R118" s="128"/>
      <c r="S118" s="128"/>
      <c r="T118" s="128"/>
      <c r="U118" s="128"/>
      <c r="V118" s="128"/>
      <c r="W118" s="128"/>
      <c r="X118" s="128"/>
      <c r="Y118" s="128"/>
      <c r="Z118" s="128"/>
      <c r="AA118" s="128"/>
      <c r="AB118" s="128"/>
      <c r="AC118" s="128"/>
      <c r="AD118" s="128"/>
      <c r="AE118" s="128"/>
      <c r="AF118" s="128"/>
      <c r="AG118" s="128"/>
      <c r="AH118" s="128"/>
      <c r="AI118" s="128"/>
      <c r="AJ118" s="128"/>
      <c r="AK118" s="128"/>
      <c r="AL118" s="128"/>
      <c r="AM118" s="128"/>
      <c r="AN118" s="128"/>
      <c r="AO118" s="128"/>
      <c r="AP118" s="128"/>
      <c r="AQ118" s="128"/>
      <c r="AR118" s="128"/>
      <c r="AS118" s="128"/>
      <c r="AT118" s="128"/>
      <c r="AU118" s="128"/>
      <c r="AV118" s="128"/>
      <c r="AW118" s="128"/>
      <c r="AX118" s="128"/>
      <c r="AY118" s="128"/>
      <c r="AZ118" s="128"/>
      <c r="BA118" s="128"/>
      <c r="BB118" s="128"/>
      <c r="BC118" s="128"/>
      <c r="BD118" s="128"/>
      <c r="BE118" s="128"/>
      <c r="BF118" s="128"/>
      <c r="BG118" s="128"/>
      <c r="BH118" s="128"/>
      <c r="BI118" s="128"/>
      <c r="BJ118" s="128"/>
      <c r="BK118" s="128"/>
      <c r="BL118" s="128"/>
      <c r="BM118" s="128"/>
      <c r="BN118" s="128"/>
      <c r="BO118" s="128"/>
      <c r="BP118" s="128"/>
      <c r="BQ118" s="128"/>
    </row>
    <row r="119" spans="1:69" ht="14.25" customHeight="1">
      <c r="A119" s="128"/>
      <c r="B119" s="128"/>
      <c r="C119" s="128"/>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c r="AA119" s="128"/>
      <c r="AB119" s="128"/>
      <c r="AC119" s="128"/>
      <c r="AD119" s="128"/>
      <c r="AE119" s="128"/>
      <c r="AF119" s="128"/>
      <c r="AG119" s="128"/>
      <c r="AH119" s="128"/>
      <c r="AI119" s="128"/>
      <c r="AJ119" s="128"/>
      <c r="AK119" s="128"/>
      <c r="AL119" s="128"/>
      <c r="AM119" s="128"/>
      <c r="AN119" s="128"/>
      <c r="AO119" s="128"/>
      <c r="AP119" s="128"/>
      <c r="AQ119" s="128"/>
      <c r="AR119" s="128"/>
      <c r="AS119" s="128"/>
      <c r="AT119" s="128"/>
      <c r="AU119" s="128"/>
      <c r="AV119" s="128"/>
      <c r="AW119" s="128"/>
      <c r="AX119" s="128"/>
      <c r="AY119" s="128"/>
      <c r="AZ119" s="128"/>
      <c r="BA119" s="128"/>
      <c r="BB119" s="128"/>
      <c r="BC119" s="128"/>
      <c r="BD119" s="128"/>
      <c r="BE119" s="128"/>
      <c r="BF119" s="128"/>
      <c r="BG119" s="128"/>
      <c r="BH119" s="128"/>
      <c r="BI119" s="128"/>
      <c r="BJ119" s="128"/>
      <c r="BK119" s="128"/>
      <c r="BL119" s="128"/>
      <c r="BM119" s="128"/>
      <c r="BN119" s="128"/>
      <c r="BO119" s="128"/>
      <c r="BP119" s="128"/>
      <c r="BQ119" s="128"/>
    </row>
    <row r="120" spans="1:69" ht="14.25" customHeight="1">
      <c r="A120" s="128"/>
      <c r="B120" s="128"/>
      <c r="C120" s="128"/>
      <c r="D120" s="128"/>
      <c r="E120" s="128"/>
      <c r="F120" s="128"/>
      <c r="G120" s="128"/>
      <c r="H120" s="128"/>
      <c r="I120" s="128"/>
      <c r="J120" s="128"/>
      <c r="K120" s="128"/>
      <c r="L120" s="128"/>
      <c r="M120" s="128"/>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row>
    <row r="121" spans="1:69" ht="14.25" customHeight="1">
      <c r="A121" s="128"/>
      <c r="B121" s="128"/>
      <c r="C121" s="128"/>
      <c r="D121" s="128"/>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28"/>
      <c r="AA121" s="128"/>
      <c r="AB121" s="128"/>
      <c r="AC121" s="128"/>
      <c r="AD121" s="128"/>
      <c r="AE121" s="128"/>
      <c r="AF121" s="128"/>
      <c r="AG121" s="128"/>
      <c r="AH121" s="128"/>
      <c r="AI121" s="128"/>
      <c r="AJ121" s="128"/>
      <c r="AK121" s="128"/>
      <c r="AL121" s="128"/>
      <c r="AM121" s="128"/>
      <c r="AN121" s="128"/>
      <c r="AO121" s="128"/>
      <c r="AP121" s="128"/>
      <c r="AQ121" s="128"/>
      <c r="AR121" s="128"/>
      <c r="AS121" s="128"/>
      <c r="AT121" s="128"/>
      <c r="AU121" s="128"/>
      <c r="AV121" s="128"/>
      <c r="AW121" s="128"/>
      <c r="AX121" s="128"/>
      <c r="AY121" s="128"/>
      <c r="AZ121" s="128"/>
      <c r="BA121" s="128"/>
      <c r="BB121" s="128"/>
      <c r="BC121" s="128"/>
      <c r="BD121" s="128"/>
      <c r="BE121" s="128"/>
      <c r="BF121" s="128"/>
      <c r="BG121" s="128"/>
      <c r="BH121" s="128"/>
      <c r="BI121" s="128"/>
      <c r="BJ121" s="128"/>
      <c r="BK121" s="128"/>
      <c r="BL121" s="128"/>
      <c r="BM121" s="128"/>
      <c r="BN121" s="128"/>
      <c r="BO121" s="128"/>
      <c r="BP121" s="128"/>
      <c r="BQ121" s="128"/>
    </row>
    <row r="122" spans="1:69" ht="14.25" customHeight="1">
      <c r="A122" s="128"/>
      <c r="B122" s="128"/>
      <c r="C122" s="128"/>
      <c r="D122" s="128"/>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c r="AA122" s="128"/>
      <c r="AB122" s="128"/>
      <c r="AC122" s="128"/>
      <c r="AD122" s="128"/>
      <c r="AE122" s="128"/>
      <c r="AF122" s="128"/>
      <c r="AG122" s="128"/>
      <c r="AH122" s="128"/>
      <c r="AI122" s="128"/>
      <c r="AJ122" s="128"/>
      <c r="AK122" s="128"/>
      <c r="AL122" s="128"/>
      <c r="AM122" s="128"/>
      <c r="AN122" s="128"/>
      <c r="AO122" s="128"/>
      <c r="AP122" s="128"/>
      <c r="AQ122" s="128"/>
      <c r="AR122" s="128"/>
      <c r="AS122" s="128"/>
      <c r="AT122" s="128"/>
      <c r="AU122" s="128"/>
      <c r="AV122" s="128"/>
      <c r="AW122" s="128"/>
      <c r="AX122" s="128"/>
      <c r="AY122" s="128"/>
      <c r="AZ122" s="128"/>
      <c r="BA122" s="128"/>
      <c r="BB122" s="128"/>
      <c r="BC122" s="128"/>
      <c r="BD122" s="128"/>
      <c r="BE122" s="128"/>
      <c r="BF122" s="128"/>
      <c r="BG122" s="128"/>
      <c r="BH122" s="128"/>
      <c r="BI122" s="128"/>
      <c r="BJ122" s="128"/>
      <c r="BK122" s="128"/>
      <c r="BL122" s="128"/>
      <c r="BM122" s="128"/>
      <c r="BN122" s="128"/>
      <c r="BO122" s="128"/>
      <c r="BP122" s="128"/>
      <c r="BQ122" s="128"/>
    </row>
    <row r="123" spans="1:69" ht="14.25" customHeight="1">
      <c r="A123" s="128"/>
      <c r="B123" s="128"/>
      <c r="C123" s="128"/>
      <c r="D123" s="128"/>
      <c r="E123" s="128"/>
      <c r="F123" s="128"/>
      <c r="G123" s="128"/>
      <c r="H123" s="128"/>
      <c r="I123" s="128"/>
      <c r="J123" s="128"/>
      <c r="K123" s="128"/>
      <c r="L123" s="128"/>
      <c r="M123" s="128"/>
      <c r="N123" s="128"/>
      <c r="O123" s="128"/>
      <c r="P123" s="128"/>
      <c r="Q123" s="128"/>
      <c r="R123" s="128"/>
      <c r="S123" s="128"/>
      <c r="T123" s="128"/>
      <c r="U123" s="128"/>
      <c r="V123" s="128"/>
      <c r="W123" s="128"/>
      <c r="X123" s="128"/>
      <c r="Y123" s="128"/>
      <c r="Z123" s="128"/>
      <c r="AA123" s="128"/>
      <c r="AB123" s="128"/>
      <c r="AC123" s="128"/>
      <c r="AD123" s="128"/>
      <c r="AE123" s="128"/>
      <c r="AF123" s="128"/>
      <c r="AG123" s="128"/>
      <c r="AH123" s="128"/>
      <c r="AI123" s="128"/>
      <c r="AJ123" s="128"/>
      <c r="AK123" s="128"/>
      <c r="AL123" s="128"/>
      <c r="AM123" s="128"/>
      <c r="AN123" s="128"/>
      <c r="AO123" s="128"/>
      <c r="AP123" s="128"/>
      <c r="AQ123" s="128"/>
      <c r="AR123" s="128"/>
      <c r="AS123" s="128"/>
      <c r="AT123" s="128"/>
      <c r="AU123" s="128"/>
      <c r="AV123" s="128"/>
      <c r="AW123" s="128"/>
      <c r="AX123" s="128"/>
      <c r="AY123" s="128"/>
      <c r="AZ123" s="128"/>
      <c r="BA123" s="128"/>
      <c r="BB123" s="128"/>
      <c r="BC123" s="128"/>
      <c r="BD123" s="128"/>
      <c r="BE123" s="128"/>
      <c r="BF123" s="128"/>
      <c r="BG123" s="128"/>
      <c r="BH123" s="128"/>
      <c r="BI123" s="128"/>
      <c r="BJ123" s="128"/>
      <c r="BK123" s="128"/>
      <c r="BL123" s="128"/>
      <c r="BM123" s="128"/>
      <c r="BN123" s="128"/>
      <c r="BO123" s="128"/>
      <c r="BP123" s="128"/>
      <c r="BQ123" s="128"/>
    </row>
    <row r="124" spans="1:69" ht="14.25" customHeight="1">
      <c r="A124" s="128"/>
      <c r="B124" s="128"/>
      <c r="C124" s="128"/>
      <c r="D124" s="128"/>
      <c r="E124" s="128"/>
      <c r="F124" s="128"/>
      <c r="G124" s="128"/>
      <c r="H124" s="128"/>
      <c r="I124" s="128"/>
      <c r="J124" s="128"/>
      <c r="K124" s="128"/>
      <c r="L124" s="128"/>
      <c r="M124" s="128"/>
      <c r="N124" s="128"/>
      <c r="O124" s="128"/>
      <c r="P124" s="128"/>
      <c r="Q124" s="128"/>
      <c r="R124" s="128"/>
      <c r="S124" s="128"/>
      <c r="T124" s="128"/>
      <c r="U124" s="128"/>
      <c r="V124" s="128"/>
      <c r="W124" s="128"/>
      <c r="X124" s="128"/>
      <c r="Y124" s="128"/>
      <c r="Z124" s="128"/>
      <c r="AA124" s="128"/>
      <c r="AB124" s="128"/>
      <c r="AC124" s="128"/>
      <c r="AD124" s="128"/>
      <c r="AE124" s="128"/>
      <c r="AF124" s="128"/>
      <c r="AG124" s="128"/>
      <c r="AH124" s="128"/>
      <c r="AI124" s="128"/>
      <c r="AJ124" s="128"/>
      <c r="AK124" s="128"/>
      <c r="AL124" s="128"/>
      <c r="AM124" s="128"/>
      <c r="AN124" s="128"/>
      <c r="AO124" s="128"/>
      <c r="AP124" s="128"/>
      <c r="AQ124" s="128"/>
      <c r="AR124" s="128"/>
      <c r="AS124" s="128"/>
      <c r="AT124" s="128"/>
      <c r="AU124" s="128"/>
      <c r="AV124" s="128"/>
      <c r="AW124" s="128"/>
      <c r="AX124" s="128"/>
      <c r="AY124" s="128"/>
      <c r="AZ124" s="128"/>
      <c r="BA124" s="128"/>
      <c r="BB124" s="128"/>
      <c r="BC124" s="128"/>
      <c r="BD124" s="128"/>
      <c r="BE124" s="128"/>
      <c r="BF124" s="128"/>
      <c r="BG124" s="128"/>
      <c r="BH124" s="128"/>
      <c r="BI124" s="128"/>
      <c r="BJ124" s="128"/>
      <c r="BK124" s="128"/>
      <c r="BL124" s="128"/>
      <c r="BM124" s="128"/>
      <c r="BN124" s="128"/>
      <c r="BO124" s="128"/>
      <c r="BP124" s="128"/>
      <c r="BQ124" s="128"/>
    </row>
    <row r="125" spans="1:69" ht="14.25" customHeight="1">
      <c r="A125" s="128"/>
      <c r="B125" s="128"/>
      <c r="C125" s="128"/>
      <c r="D125" s="128"/>
      <c r="E125" s="128"/>
      <c r="F125" s="128"/>
      <c r="G125" s="128"/>
      <c r="H125" s="128"/>
      <c r="I125" s="128"/>
      <c r="J125" s="128"/>
      <c r="K125" s="128"/>
      <c r="L125" s="128"/>
      <c r="M125" s="128"/>
      <c r="N125" s="128"/>
      <c r="O125" s="128"/>
      <c r="P125" s="128"/>
      <c r="Q125" s="128"/>
      <c r="R125" s="128"/>
      <c r="S125" s="128"/>
      <c r="T125" s="128"/>
      <c r="U125" s="128"/>
      <c r="V125" s="128"/>
      <c r="W125" s="128"/>
      <c r="X125" s="128"/>
      <c r="Y125" s="128"/>
      <c r="Z125" s="128"/>
      <c r="AA125" s="128"/>
      <c r="AB125" s="128"/>
      <c r="AC125" s="128"/>
      <c r="AD125" s="128"/>
      <c r="AE125" s="128"/>
      <c r="AF125" s="128"/>
      <c r="AG125" s="128"/>
      <c r="AH125" s="128"/>
      <c r="AI125" s="128"/>
      <c r="AJ125" s="128"/>
      <c r="AK125" s="128"/>
      <c r="AL125" s="128"/>
      <c r="AM125" s="128"/>
      <c r="AN125" s="128"/>
      <c r="AO125" s="128"/>
      <c r="AP125" s="128"/>
      <c r="AQ125" s="128"/>
      <c r="AR125" s="128"/>
      <c r="AS125" s="128"/>
      <c r="AT125" s="128"/>
      <c r="AU125" s="128"/>
      <c r="AV125" s="128"/>
      <c r="AW125" s="128"/>
      <c r="AX125" s="128"/>
      <c r="AY125" s="128"/>
      <c r="AZ125" s="128"/>
      <c r="BA125" s="128"/>
      <c r="BB125" s="128"/>
      <c r="BC125" s="128"/>
      <c r="BD125" s="128"/>
      <c r="BE125" s="128"/>
      <c r="BF125" s="128"/>
      <c r="BG125" s="128"/>
      <c r="BH125" s="128"/>
      <c r="BI125" s="128"/>
      <c r="BJ125" s="128"/>
      <c r="BK125" s="128"/>
      <c r="BL125" s="128"/>
      <c r="BM125" s="128"/>
      <c r="BN125" s="128"/>
      <c r="BO125" s="128"/>
      <c r="BP125" s="128"/>
      <c r="BQ125" s="128"/>
    </row>
    <row r="126" spans="1:69" ht="14.25" customHeight="1">
      <c r="A126" s="128"/>
      <c r="B126" s="128"/>
      <c r="C126" s="128"/>
      <c r="D126" s="128"/>
      <c r="E126" s="128"/>
      <c r="F126" s="128"/>
      <c r="G126" s="128"/>
      <c r="H126" s="128"/>
      <c r="I126" s="128"/>
      <c r="J126" s="128"/>
      <c r="K126" s="128"/>
      <c r="L126" s="128"/>
      <c r="M126" s="128"/>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row>
    <row r="127" spans="1:69" ht="14.25" customHeight="1">
      <c r="A127" s="128"/>
      <c r="B127" s="128"/>
      <c r="C127" s="128"/>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c r="AA127" s="128"/>
      <c r="AB127" s="128"/>
      <c r="AC127" s="128"/>
      <c r="AD127" s="128"/>
      <c r="AE127" s="128"/>
      <c r="AF127" s="128"/>
      <c r="AG127" s="128"/>
      <c r="AH127" s="128"/>
      <c r="AI127" s="128"/>
      <c r="AJ127" s="128"/>
      <c r="AK127" s="128"/>
      <c r="AL127" s="128"/>
      <c r="AM127" s="128"/>
      <c r="AN127" s="128"/>
      <c r="AO127" s="128"/>
      <c r="AP127" s="128"/>
      <c r="AQ127" s="128"/>
      <c r="AR127" s="128"/>
      <c r="AS127" s="128"/>
      <c r="AT127" s="128"/>
      <c r="AU127" s="128"/>
      <c r="AV127" s="128"/>
      <c r="AW127" s="128"/>
      <c r="AX127" s="128"/>
      <c r="AY127" s="128"/>
      <c r="AZ127" s="128"/>
      <c r="BA127" s="128"/>
      <c r="BB127" s="128"/>
      <c r="BC127" s="128"/>
      <c r="BD127" s="128"/>
      <c r="BE127" s="128"/>
      <c r="BF127" s="128"/>
      <c r="BG127" s="128"/>
      <c r="BH127" s="128"/>
      <c r="BI127" s="128"/>
      <c r="BJ127" s="128"/>
      <c r="BK127" s="128"/>
      <c r="BL127" s="128"/>
      <c r="BM127" s="128"/>
      <c r="BN127" s="128"/>
      <c r="BO127" s="128"/>
      <c r="BP127" s="128"/>
      <c r="BQ127" s="128"/>
    </row>
    <row r="128" spans="1:69" ht="14.25" customHeight="1">
      <c r="A128" s="128"/>
      <c r="B128" s="128"/>
      <c r="C128" s="128"/>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c r="AA128" s="128"/>
      <c r="AB128" s="128"/>
      <c r="AC128" s="128"/>
      <c r="AD128" s="128"/>
      <c r="AE128" s="128"/>
      <c r="AF128" s="128"/>
      <c r="AG128" s="128"/>
      <c r="AH128" s="128"/>
      <c r="AI128" s="128"/>
      <c r="AJ128" s="128"/>
      <c r="AK128" s="128"/>
      <c r="AL128" s="128"/>
      <c r="AM128" s="128"/>
      <c r="AN128" s="128"/>
      <c r="AO128" s="128"/>
      <c r="AP128" s="128"/>
      <c r="AQ128" s="128"/>
      <c r="AR128" s="128"/>
      <c r="AS128" s="128"/>
      <c r="AT128" s="128"/>
      <c r="AU128" s="128"/>
      <c r="AV128" s="128"/>
      <c r="AW128" s="128"/>
      <c r="AX128" s="128"/>
      <c r="AY128" s="128"/>
      <c r="AZ128" s="128"/>
      <c r="BA128" s="128"/>
      <c r="BB128" s="128"/>
      <c r="BC128" s="128"/>
      <c r="BD128" s="128"/>
      <c r="BE128" s="128"/>
      <c r="BF128" s="128"/>
      <c r="BG128" s="128"/>
      <c r="BH128" s="128"/>
      <c r="BI128" s="128"/>
      <c r="BJ128" s="128"/>
      <c r="BK128" s="128"/>
      <c r="BL128" s="128"/>
      <c r="BM128" s="128"/>
      <c r="BN128" s="128"/>
      <c r="BO128" s="128"/>
      <c r="BP128" s="128"/>
      <c r="BQ128" s="128"/>
    </row>
    <row r="129" spans="1:69" ht="14.25" customHeight="1">
      <c r="A129" s="128"/>
      <c r="B129" s="128"/>
      <c r="C129" s="128"/>
      <c r="D129" s="128"/>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28"/>
      <c r="AA129" s="128"/>
      <c r="AB129" s="128"/>
      <c r="AC129" s="128"/>
      <c r="AD129" s="128"/>
      <c r="AE129" s="128"/>
      <c r="AF129" s="128"/>
      <c r="AG129" s="128"/>
      <c r="AH129" s="128"/>
      <c r="AI129" s="128"/>
      <c r="AJ129" s="128"/>
      <c r="AK129" s="128"/>
      <c r="AL129" s="128"/>
      <c r="AM129" s="128"/>
      <c r="AN129" s="128"/>
      <c r="AO129" s="128"/>
      <c r="AP129" s="128"/>
      <c r="AQ129" s="128"/>
      <c r="AR129" s="128"/>
      <c r="AS129" s="128"/>
      <c r="AT129" s="128"/>
      <c r="AU129" s="128"/>
      <c r="AV129" s="128"/>
      <c r="AW129" s="128"/>
      <c r="AX129" s="128"/>
      <c r="AY129" s="128"/>
      <c r="AZ129" s="128"/>
      <c r="BA129" s="128"/>
      <c r="BB129" s="128"/>
      <c r="BC129" s="128"/>
      <c r="BD129" s="128"/>
      <c r="BE129" s="128"/>
      <c r="BF129" s="128"/>
      <c r="BG129" s="128"/>
      <c r="BH129" s="128"/>
      <c r="BI129" s="128"/>
      <c r="BJ129" s="128"/>
      <c r="BK129" s="128"/>
      <c r="BL129" s="128"/>
      <c r="BM129" s="128"/>
      <c r="BN129" s="128"/>
      <c r="BO129" s="128"/>
      <c r="BP129" s="128"/>
      <c r="BQ129" s="128"/>
    </row>
    <row r="130" spans="1:69" ht="14.25" customHeight="1">
      <c r="A130" s="128"/>
      <c r="B130" s="128"/>
      <c r="C130" s="128"/>
      <c r="D130" s="128"/>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c r="AA130" s="128"/>
      <c r="AB130" s="128"/>
      <c r="AC130" s="128"/>
      <c r="AD130" s="128"/>
      <c r="AE130" s="128"/>
      <c r="AF130" s="128"/>
      <c r="AG130" s="128"/>
      <c r="AH130" s="128"/>
      <c r="AI130" s="128"/>
      <c r="AJ130" s="128"/>
      <c r="AK130" s="128"/>
      <c r="AL130" s="128"/>
      <c r="AM130" s="128"/>
      <c r="AN130" s="128"/>
      <c r="AO130" s="128"/>
      <c r="AP130" s="128"/>
      <c r="AQ130" s="128"/>
      <c r="AR130" s="128"/>
      <c r="AS130" s="128"/>
      <c r="AT130" s="128"/>
      <c r="AU130" s="128"/>
      <c r="AV130" s="128"/>
      <c r="AW130" s="128"/>
      <c r="AX130" s="128"/>
      <c r="AY130" s="128"/>
      <c r="AZ130" s="128"/>
      <c r="BA130" s="128"/>
      <c r="BB130" s="128"/>
      <c r="BC130" s="128"/>
      <c r="BD130" s="128"/>
      <c r="BE130" s="128"/>
      <c r="BF130" s="128"/>
      <c r="BG130" s="128"/>
      <c r="BH130" s="128"/>
      <c r="BI130" s="128"/>
      <c r="BJ130" s="128"/>
      <c r="BK130" s="128"/>
      <c r="BL130" s="128"/>
      <c r="BM130" s="128"/>
      <c r="BN130" s="128"/>
      <c r="BO130" s="128"/>
      <c r="BP130" s="128"/>
      <c r="BQ130" s="128"/>
    </row>
    <row r="131" spans="1:69" ht="14.25" customHeight="1">
      <c r="A131" s="128"/>
      <c r="B131" s="128"/>
      <c r="C131" s="128"/>
      <c r="D131" s="128"/>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c r="AA131" s="128"/>
      <c r="AB131" s="128"/>
      <c r="AC131" s="128"/>
      <c r="AD131" s="128"/>
      <c r="AE131" s="128"/>
      <c r="AF131" s="128"/>
      <c r="AG131" s="128"/>
      <c r="AH131" s="128"/>
      <c r="AI131" s="128"/>
      <c r="AJ131" s="128"/>
      <c r="AK131" s="128"/>
      <c r="AL131" s="128"/>
      <c r="AM131" s="128"/>
      <c r="AN131" s="128"/>
      <c r="AO131" s="128"/>
      <c r="AP131" s="128"/>
      <c r="AQ131" s="128"/>
      <c r="AR131" s="128"/>
      <c r="AS131" s="128"/>
      <c r="AT131" s="128"/>
      <c r="AU131" s="128"/>
      <c r="AV131" s="128"/>
      <c r="AW131" s="128"/>
      <c r="AX131" s="128"/>
      <c r="AY131" s="128"/>
      <c r="AZ131" s="128"/>
      <c r="BA131" s="128"/>
      <c r="BB131" s="128"/>
      <c r="BC131" s="128"/>
      <c r="BD131" s="128"/>
      <c r="BE131" s="128"/>
      <c r="BF131" s="128"/>
      <c r="BG131" s="128"/>
      <c r="BH131" s="128"/>
      <c r="BI131" s="128"/>
      <c r="BJ131" s="128"/>
      <c r="BK131" s="128"/>
      <c r="BL131" s="128"/>
      <c r="BM131" s="128"/>
      <c r="BN131" s="128"/>
      <c r="BO131" s="128"/>
      <c r="BP131" s="128"/>
      <c r="BQ131" s="128"/>
    </row>
    <row r="132" spans="1:69" ht="14.25" customHeight="1">
      <c r="A132" s="128"/>
      <c r="B132" s="128"/>
      <c r="C132" s="128"/>
      <c r="D132" s="128"/>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row>
    <row r="133" spans="1:69" ht="14.25" customHeight="1">
      <c r="A133" s="128"/>
      <c r="B133" s="128"/>
      <c r="C133" s="128"/>
      <c r="D133" s="128"/>
      <c r="E133" s="128"/>
      <c r="F133" s="128"/>
      <c r="G133" s="128"/>
      <c r="H133" s="128"/>
      <c r="I133" s="128"/>
      <c r="J133" s="128"/>
      <c r="K133" s="128"/>
      <c r="L133" s="128"/>
      <c r="M133" s="128"/>
      <c r="N133" s="128"/>
      <c r="O133" s="128"/>
      <c r="P133" s="128"/>
      <c r="Q133" s="128"/>
      <c r="R133" s="128"/>
      <c r="S133" s="128"/>
      <c r="T133" s="128"/>
      <c r="U133" s="128"/>
      <c r="V133" s="128"/>
      <c r="W133" s="128"/>
      <c r="X133" s="128"/>
      <c r="Y133" s="128"/>
      <c r="Z133" s="128"/>
      <c r="AA133" s="128"/>
      <c r="AB133" s="128"/>
      <c r="AC133" s="128"/>
      <c r="AD133" s="128"/>
      <c r="AE133" s="128"/>
      <c r="AF133" s="128"/>
      <c r="AG133" s="128"/>
      <c r="AH133" s="128"/>
      <c r="AI133" s="128"/>
      <c r="AJ133" s="128"/>
      <c r="AK133" s="128"/>
      <c r="AL133" s="128"/>
      <c r="AM133" s="128"/>
      <c r="AN133" s="128"/>
      <c r="AO133" s="128"/>
      <c r="AP133" s="128"/>
      <c r="AQ133" s="128"/>
      <c r="AR133" s="128"/>
      <c r="AS133" s="128"/>
      <c r="AT133" s="128"/>
      <c r="AU133" s="128"/>
      <c r="AV133" s="128"/>
      <c r="AW133" s="128"/>
      <c r="AX133" s="128"/>
      <c r="AY133" s="128"/>
      <c r="AZ133" s="128"/>
      <c r="BA133" s="128"/>
      <c r="BB133" s="128"/>
      <c r="BC133" s="128"/>
      <c r="BD133" s="128"/>
      <c r="BE133" s="128"/>
      <c r="BF133" s="128"/>
      <c r="BG133" s="128"/>
      <c r="BH133" s="128"/>
      <c r="BI133" s="128"/>
      <c r="BJ133" s="128"/>
      <c r="BK133" s="128"/>
      <c r="BL133" s="128"/>
      <c r="BM133" s="128"/>
      <c r="BN133" s="128"/>
      <c r="BO133" s="128"/>
      <c r="BP133" s="128"/>
      <c r="BQ133" s="128"/>
    </row>
    <row r="134" spans="1:69" ht="14.25" customHeight="1">
      <c r="A134" s="128"/>
      <c r="B134" s="128"/>
      <c r="C134" s="128"/>
      <c r="D134" s="128"/>
      <c r="E134" s="128"/>
      <c r="F134" s="128"/>
      <c r="G134" s="128"/>
      <c r="H134" s="128"/>
      <c r="I134" s="128"/>
      <c r="J134" s="128"/>
      <c r="K134" s="128"/>
      <c r="L134" s="128"/>
      <c r="M134" s="128"/>
      <c r="N134" s="128"/>
      <c r="O134" s="128"/>
      <c r="P134" s="128"/>
      <c r="Q134" s="128"/>
      <c r="R134" s="128"/>
      <c r="S134" s="128"/>
      <c r="T134" s="128"/>
      <c r="U134" s="128"/>
      <c r="V134" s="128"/>
      <c r="W134" s="128"/>
      <c r="X134" s="128"/>
      <c r="Y134" s="128"/>
      <c r="Z134" s="128"/>
      <c r="AA134" s="128"/>
      <c r="AB134" s="128"/>
      <c r="AC134" s="128"/>
      <c r="AD134" s="128"/>
      <c r="AE134" s="128"/>
      <c r="AF134" s="128"/>
      <c r="AG134" s="128"/>
      <c r="AH134" s="128"/>
      <c r="AI134" s="128"/>
      <c r="AJ134" s="128"/>
      <c r="AK134" s="128"/>
      <c r="AL134" s="128"/>
      <c r="AM134" s="128"/>
      <c r="AN134" s="128"/>
      <c r="AO134" s="128"/>
      <c r="AP134" s="128"/>
      <c r="AQ134" s="128"/>
      <c r="AR134" s="128"/>
      <c r="AS134" s="128"/>
      <c r="AT134" s="128"/>
      <c r="AU134" s="128"/>
      <c r="AV134" s="128"/>
      <c r="AW134" s="128"/>
      <c r="AX134" s="128"/>
      <c r="AY134" s="128"/>
      <c r="AZ134" s="128"/>
      <c r="BA134" s="128"/>
      <c r="BB134" s="128"/>
      <c r="BC134" s="128"/>
      <c r="BD134" s="128"/>
      <c r="BE134" s="128"/>
      <c r="BF134" s="128"/>
      <c r="BG134" s="128"/>
      <c r="BH134" s="128"/>
      <c r="BI134" s="128"/>
      <c r="BJ134" s="128"/>
      <c r="BK134" s="128"/>
      <c r="BL134" s="128"/>
      <c r="BM134" s="128"/>
      <c r="BN134" s="128"/>
      <c r="BO134" s="128"/>
      <c r="BP134" s="128"/>
      <c r="BQ134" s="128"/>
    </row>
    <row r="135" spans="1:69" ht="14.25" customHeight="1">
      <c r="A135" s="128"/>
      <c r="B135" s="128"/>
      <c r="C135" s="128"/>
      <c r="D135" s="128"/>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28"/>
      <c r="AA135" s="128"/>
      <c r="AB135" s="128"/>
      <c r="AC135" s="128"/>
      <c r="AD135" s="128"/>
      <c r="AE135" s="128"/>
      <c r="AF135" s="128"/>
      <c r="AG135" s="128"/>
      <c r="AH135" s="128"/>
      <c r="AI135" s="128"/>
      <c r="AJ135" s="128"/>
      <c r="AK135" s="128"/>
      <c r="AL135" s="128"/>
      <c r="AM135" s="128"/>
      <c r="AN135" s="128"/>
      <c r="AO135" s="128"/>
      <c r="AP135" s="128"/>
      <c r="AQ135" s="128"/>
      <c r="AR135" s="128"/>
      <c r="AS135" s="128"/>
      <c r="AT135" s="128"/>
      <c r="AU135" s="128"/>
      <c r="AV135" s="128"/>
      <c r="AW135" s="128"/>
      <c r="AX135" s="128"/>
      <c r="AY135" s="128"/>
      <c r="AZ135" s="128"/>
      <c r="BA135" s="128"/>
      <c r="BB135" s="128"/>
      <c r="BC135" s="128"/>
      <c r="BD135" s="128"/>
      <c r="BE135" s="128"/>
      <c r="BF135" s="128"/>
      <c r="BG135" s="128"/>
      <c r="BH135" s="128"/>
      <c r="BI135" s="128"/>
      <c r="BJ135" s="128"/>
      <c r="BK135" s="128"/>
      <c r="BL135" s="128"/>
      <c r="BM135" s="128"/>
      <c r="BN135" s="128"/>
      <c r="BO135" s="128"/>
      <c r="BP135" s="128"/>
      <c r="BQ135" s="128"/>
    </row>
    <row r="136" spans="1:69" ht="14.25" customHeight="1">
      <c r="A136" s="128"/>
      <c r="B136" s="128"/>
      <c r="C136" s="128"/>
      <c r="D136" s="128"/>
      <c r="E136" s="128"/>
      <c r="F136" s="128"/>
      <c r="G136" s="128"/>
      <c r="H136" s="128"/>
      <c r="I136" s="128"/>
      <c r="J136" s="128"/>
      <c r="K136" s="128"/>
      <c r="L136" s="128"/>
      <c r="M136" s="128"/>
      <c r="N136" s="128"/>
      <c r="O136" s="128"/>
      <c r="P136" s="128"/>
      <c r="Q136" s="128"/>
      <c r="R136" s="128"/>
      <c r="S136" s="128"/>
      <c r="T136" s="128"/>
      <c r="U136" s="128"/>
      <c r="V136" s="128"/>
      <c r="W136" s="128"/>
      <c r="X136" s="128"/>
      <c r="Y136" s="128"/>
      <c r="Z136" s="128"/>
      <c r="AA136" s="128"/>
      <c r="AB136" s="128"/>
      <c r="AC136" s="128"/>
      <c r="AD136" s="128"/>
      <c r="AE136" s="128"/>
      <c r="AF136" s="128"/>
      <c r="AG136" s="128"/>
      <c r="AH136" s="128"/>
      <c r="AI136" s="128"/>
      <c r="AJ136" s="128"/>
      <c r="AK136" s="128"/>
      <c r="AL136" s="128"/>
      <c r="AM136" s="128"/>
      <c r="AN136" s="128"/>
      <c r="AO136" s="128"/>
      <c r="AP136" s="128"/>
      <c r="AQ136" s="128"/>
      <c r="AR136" s="128"/>
      <c r="AS136" s="128"/>
      <c r="AT136" s="128"/>
      <c r="AU136" s="128"/>
      <c r="AV136" s="128"/>
      <c r="AW136" s="128"/>
      <c r="AX136" s="128"/>
      <c r="AY136" s="128"/>
      <c r="AZ136" s="128"/>
      <c r="BA136" s="128"/>
      <c r="BB136" s="128"/>
      <c r="BC136" s="128"/>
      <c r="BD136" s="128"/>
      <c r="BE136" s="128"/>
      <c r="BF136" s="128"/>
      <c r="BG136" s="128"/>
      <c r="BH136" s="128"/>
      <c r="BI136" s="128"/>
      <c r="BJ136" s="128"/>
      <c r="BK136" s="128"/>
      <c r="BL136" s="128"/>
      <c r="BM136" s="128"/>
      <c r="BN136" s="128"/>
      <c r="BO136" s="128"/>
      <c r="BP136" s="128"/>
      <c r="BQ136" s="128"/>
    </row>
    <row r="137" spans="1:69" ht="14.25" customHeight="1">
      <c r="A137" s="128"/>
      <c r="B137" s="128"/>
      <c r="C137" s="128"/>
      <c r="D137" s="128"/>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28"/>
      <c r="AA137" s="128"/>
      <c r="AB137" s="128"/>
      <c r="AC137" s="128"/>
      <c r="AD137" s="128"/>
      <c r="AE137" s="128"/>
      <c r="AF137" s="128"/>
      <c r="AG137" s="128"/>
      <c r="AH137" s="128"/>
      <c r="AI137" s="128"/>
      <c r="AJ137" s="128"/>
      <c r="AK137" s="128"/>
      <c r="AL137" s="128"/>
      <c r="AM137" s="128"/>
      <c r="AN137" s="128"/>
      <c r="AO137" s="128"/>
      <c r="AP137" s="128"/>
      <c r="AQ137" s="128"/>
      <c r="AR137" s="128"/>
      <c r="AS137" s="128"/>
      <c r="AT137" s="128"/>
      <c r="AU137" s="128"/>
      <c r="AV137" s="128"/>
      <c r="AW137" s="128"/>
      <c r="AX137" s="128"/>
      <c r="AY137" s="128"/>
      <c r="AZ137" s="128"/>
      <c r="BA137" s="128"/>
      <c r="BB137" s="128"/>
      <c r="BC137" s="128"/>
      <c r="BD137" s="128"/>
      <c r="BE137" s="128"/>
      <c r="BF137" s="128"/>
      <c r="BG137" s="128"/>
      <c r="BH137" s="128"/>
      <c r="BI137" s="128"/>
      <c r="BJ137" s="128"/>
      <c r="BK137" s="128"/>
      <c r="BL137" s="128"/>
      <c r="BM137" s="128"/>
      <c r="BN137" s="128"/>
      <c r="BO137" s="128"/>
      <c r="BP137" s="128"/>
      <c r="BQ137" s="128"/>
    </row>
    <row r="138" spans="1:69" ht="14.25" customHeight="1">
      <c r="A138" s="128"/>
      <c r="B138" s="128"/>
      <c r="C138" s="128"/>
      <c r="D138" s="128"/>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row>
    <row r="139" spans="1:69" ht="14.25" customHeight="1">
      <c r="A139" s="128"/>
      <c r="B139" s="128"/>
      <c r="C139" s="128"/>
      <c r="D139" s="128"/>
      <c r="E139" s="128"/>
      <c r="F139" s="128"/>
      <c r="G139" s="128"/>
      <c r="H139" s="128"/>
      <c r="I139" s="128"/>
      <c r="J139" s="128"/>
      <c r="K139" s="128"/>
      <c r="L139" s="128"/>
      <c r="M139" s="128"/>
      <c r="N139" s="128"/>
      <c r="O139" s="128"/>
      <c r="P139" s="128"/>
      <c r="Q139" s="128"/>
      <c r="R139" s="128"/>
      <c r="S139" s="128"/>
      <c r="T139" s="128"/>
      <c r="U139" s="128"/>
      <c r="V139" s="128"/>
      <c r="W139" s="128"/>
      <c r="X139" s="128"/>
      <c r="Y139" s="128"/>
      <c r="Z139" s="128"/>
      <c r="AA139" s="128"/>
      <c r="AB139" s="128"/>
      <c r="AC139" s="128"/>
      <c r="AD139" s="128"/>
      <c r="AE139" s="128"/>
      <c r="AF139" s="128"/>
      <c r="AG139" s="128"/>
      <c r="AH139" s="128"/>
      <c r="AI139" s="128"/>
      <c r="AJ139" s="128"/>
      <c r="AK139" s="128"/>
      <c r="AL139" s="128"/>
      <c r="AM139" s="128"/>
      <c r="AN139" s="128"/>
      <c r="AO139" s="128"/>
      <c r="AP139" s="128"/>
      <c r="AQ139" s="128"/>
      <c r="AR139" s="128"/>
      <c r="AS139" s="128"/>
      <c r="AT139" s="128"/>
      <c r="AU139" s="128"/>
      <c r="AV139" s="128"/>
      <c r="AW139" s="128"/>
      <c r="AX139" s="128"/>
      <c r="AY139" s="128"/>
      <c r="AZ139" s="128"/>
      <c r="BA139" s="128"/>
      <c r="BB139" s="128"/>
      <c r="BC139" s="128"/>
      <c r="BD139" s="128"/>
      <c r="BE139" s="128"/>
      <c r="BF139" s="128"/>
      <c r="BG139" s="128"/>
      <c r="BH139" s="128"/>
      <c r="BI139" s="128"/>
      <c r="BJ139" s="128"/>
      <c r="BK139" s="128"/>
      <c r="BL139" s="128"/>
      <c r="BM139" s="128"/>
      <c r="BN139" s="128"/>
      <c r="BO139" s="128"/>
      <c r="BP139" s="128"/>
      <c r="BQ139" s="128"/>
    </row>
    <row r="140" spans="1:69" ht="14.25" customHeight="1">
      <c r="A140" s="128"/>
      <c r="B140" s="128"/>
      <c r="C140" s="128"/>
      <c r="D140" s="128"/>
      <c r="E140" s="128"/>
      <c r="F140" s="128"/>
      <c r="G140" s="128"/>
      <c r="H140" s="128"/>
      <c r="I140" s="128"/>
      <c r="J140" s="128"/>
      <c r="K140" s="128"/>
      <c r="L140" s="128"/>
      <c r="M140" s="128"/>
      <c r="N140" s="128"/>
      <c r="O140" s="128"/>
      <c r="P140" s="128"/>
      <c r="Q140" s="128"/>
      <c r="R140" s="128"/>
      <c r="S140" s="128"/>
      <c r="T140" s="128"/>
      <c r="U140" s="128"/>
      <c r="V140" s="128"/>
      <c r="W140" s="128"/>
      <c r="X140" s="128"/>
      <c r="Y140" s="128"/>
      <c r="Z140" s="128"/>
      <c r="AA140" s="128"/>
      <c r="AB140" s="128"/>
      <c r="AC140" s="128"/>
      <c r="AD140" s="128"/>
      <c r="AE140" s="128"/>
      <c r="AF140" s="128"/>
      <c r="AG140" s="128"/>
      <c r="AH140" s="128"/>
      <c r="AI140" s="128"/>
      <c r="AJ140" s="128"/>
      <c r="AK140" s="128"/>
      <c r="AL140" s="128"/>
      <c r="AM140" s="128"/>
      <c r="AN140" s="128"/>
      <c r="AO140" s="128"/>
      <c r="AP140" s="128"/>
      <c r="AQ140" s="128"/>
      <c r="AR140" s="128"/>
      <c r="AS140" s="128"/>
      <c r="AT140" s="128"/>
      <c r="AU140" s="128"/>
      <c r="AV140" s="128"/>
      <c r="AW140" s="128"/>
      <c r="AX140" s="128"/>
      <c r="AY140" s="128"/>
      <c r="AZ140" s="128"/>
      <c r="BA140" s="128"/>
      <c r="BB140" s="128"/>
      <c r="BC140" s="128"/>
      <c r="BD140" s="128"/>
      <c r="BE140" s="128"/>
      <c r="BF140" s="128"/>
      <c r="BG140" s="128"/>
      <c r="BH140" s="128"/>
      <c r="BI140" s="128"/>
      <c r="BJ140" s="128"/>
      <c r="BK140" s="128"/>
      <c r="BL140" s="128"/>
      <c r="BM140" s="128"/>
      <c r="BN140" s="128"/>
      <c r="BO140" s="128"/>
      <c r="BP140" s="128"/>
      <c r="BQ140" s="128"/>
    </row>
    <row r="141" spans="1:69" ht="14.25" customHeight="1">
      <c r="A141" s="128"/>
      <c r="B141" s="128"/>
      <c r="C141" s="128"/>
      <c r="D141" s="128"/>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28"/>
      <c r="AA141" s="128"/>
      <c r="AB141" s="128"/>
      <c r="AC141" s="128"/>
      <c r="AD141" s="128"/>
      <c r="AE141" s="128"/>
      <c r="AF141" s="128"/>
      <c r="AG141" s="128"/>
      <c r="AH141" s="128"/>
      <c r="AI141" s="128"/>
      <c r="AJ141" s="128"/>
      <c r="AK141" s="128"/>
      <c r="AL141" s="128"/>
      <c r="AM141" s="128"/>
      <c r="AN141" s="128"/>
      <c r="AO141" s="128"/>
      <c r="AP141" s="128"/>
      <c r="AQ141" s="128"/>
      <c r="AR141" s="128"/>
      <c r="AS141" s="128"/>
      <c r="AT141" s="128"/>
      <c r="AU141" s="128"/>
      <c r="AV141" s="128"/>
      <c r="AW141" s="128"/>
      <c r="AX141" s="128"/>
      <c r="AY141" s="128"/>
      <c r="AZ141" s="128"/>
      <c r="BA141" s="128"/>
      <c r="BB141" s="128"/>
      <c r="BC141" s="128"/>
      <c r="BD141" s="128"/>
      <c r="BE141" s="128"/>
      <c r="BF141" s="128"/>
      <c r="BG141" s="128"/>
      <c r="BH141" s="128"/>
      <c r="BI141" s="128"/>
      <c r="BJ141" s="128"/>
      <c r="BK141" s="128"/>
      <c r="BL141" s="128"/>
      <c r="BM141" s="128"/>
      <c r="BN141" s="128"/>
      <c r="BO141" s="128"/>
      <c r="BP141" s="128"/>
      <c r="BQ141" s="128"/>
    </row>
    <row r="142" spans="1:69" ht="14.25" customHeight="1">
      <c r="A142" s="128"/>
      <c r="B142" s="128"/>
      <c r="C142" s="128"/>
      <c r="D142" s="128"/>
      <c r="E142" s="128"/>
      <c r="F142" s="128"/>
      <c r="G142" s="128"/>
      <c r="H142" s="128"/>
      <c r="I142" s="128"/>
      <c r="J142" s="128"/>
      <c r="K142" s="128"/>
      <c r="L142" s="128"/>
      <c r="M142" s="128"/>
      <c r="N142" s="128"/>
      <c r="O142" s="128"/>
      <c r="P142" s="128"/>
      <c r="Q142" s="128"/>
      <c r="R142" s="128"/>
      <c r="S142" s="128"/>
      <c r="T142" s="128"/>
      <c r="U142" s="128"/>
      <c r="V142" s="128"/>
      <c r="W142" s="128"/>
      <c r="X142" s="128"/>
      <c r="Y142" s="128"/>
      <c r="Z142" s="128"/>
      <c r="AA142" s="128"/>
      <c r="AB142" s="128"/>
      <c r="AC142" s="128"/>
      <c r="AD142" s="128"/>
      <c r="AE142" s="128"/>
      <c r="AF142" s="128"/>
      <c r="AG142" s="128"/>
      <c r="AH142" s="128"/>
      <c r="AI142" s="128"/>
      <c r="AJ142" s="128"/>
      <c r="AK142" s="128"/>
      <c r="AL142" s="128"/>
      <c r="AM142" s="128"/>
      <c r="AN142" s="128"/>
      <c r="AO142" s="128"/>
      <c r="AP142" s="128"/>
      <c r="AQ142" s="128"/>
      <c r="AR142" s="128"/>
      <c r="AS142" s="128"/>
      <c r="AT142" s="128"/>
      <c r="AU142" s="128"/>
      <c r="AV142" s="128"/>
      <c r="AW142" s="128"/>
      <c r="AX142" s="128"/>
      <c r="AY142" s="128"/>
      <c r="AZ142" s="128"/>
      <c r="BA142" s="128"/>
      <c r="BB142" s="128"/>
      <c r="BC142" s="128"/>
      <c r="BD142" s="128"/>
      <c r="BE142" s="128"/>
      <c r="BF142" s="128"/>
      <c r="BG142" s="128"/>
      <c r="BH142" s="128"/>
      <c r="BI142" s="128"/>
      <c r="BJ142" s="128"/>
      <c r="BK142" s="128"/>
      <c r="BL142" s="128"/>
      <c r="BM142" s="128"/>
      <c r="BN142" s="128"/>
      <c r="BO142" s="128"/>
      <c r="BP142" s="128"/>
      <c r="BQ142" s="128"/>
    </row>
    <row r="143" spans="1:69" ht="14.25" customHeight="1">
      <c r="A143" s="128"/>
      <c r="B143" s="128"/>
      <c r="C143" s="128"/>
      <c r="D143" s="128"/>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28"/>
      <c r="AA143" s="128"/>
      <c r="AB143" s="128"/>
      <c r="AC143" s="128"/>
      <c r="AD143" s="128"/>
      <c r="AE143" s="128"/>
      <c r="AF143" s="128"/>
      <c r="AG143" s="128"/>
      <c r="AH143" s="128"/>
      <c r="AI143" s="128"/>
      <c r="AJ143" s="128"/>
      <c r="AK143" s="128"/>
      <c r="AL143" s="128"/>
      <c r="AM143" s="128"/>
      <c r="AN143" s="128"/>
      <c r="AO143" s="128"/>
      <c r="AP143" s="128"/>
      <c r="AQ143" s="128"/>
      <c r="AR143" s="128"/>
      <c r="AS143" s="128"/>
      <c r="AT143" s="128"/>
      <c r="AU143" s="128"/>
      <c r="AV143" s="128"/>
      <c r="AW143" s="128"/>
      <c r="AX143" s="128"/>
      <c r="AY143" s="128"/>
      <c r="AZ143" s="128"/>
      <c r="BA143" s="128"/>
      <c r="BB143" s="128"/>
      <c r="BC143" s="128"/>
      <c r="BD143" s="128"/>
      <c r="BE143" s="128"/>
      <c r="BF143" s="128"/>
      <c r="BG143" s="128"/>
      <c r="BH143" s="128"/>
      <c r="BI143" s="128"/>
      <c r="BJ143" s="128"/>
      <c r="BK143" s="128"/>
      <c r="BL143" s="128"/>
      <c r="BM143" s="128"/>
      <c r="BN143" s="128"/>
      <c r="BO143" s="128"/>
      <c r="BP143" s="128"/>
      <c r="BQ143" s="128"/>
    </row>
    <row r="144" spans="1:69" ht="14.25" customHeight="1">
      <c r="A144" s="128"/>
      <c r="B144" s="128"/>
      <c r="C144" s="128"/>
      <c r="D144" s="128"/>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c r="AA144" s="128"/>
      <c r="AB144" s="128"/>
      <c r="AC144" s="128"/>
      <c r="AD144" s="128"/>
      <c r="AE144" s="128"/>
      <c r="AF144" s="128"/>
      <c r="AG144" s="128"/>
      <c r="AH144" s="128"/>
      <c r="AI144" s="128"/>
      <c r="AJ144" s="128"/>
      <c r="AK144" s="128"/>
      <c r="AL144" s="128"/>
      <c r="AM144" s="128"/>
      <c r="AN144" s="128"/>
      <c r="AO144" s="128"/>
      <c r="AP144" s="128"/>
      <c r="AQ144" s="128"/>
      <c r="AR144" s="128"/>
      <c r="AS144" s="128"/>
      <c r="AT144" s="128"/>
      <c r="AU144" s="128"/>
      <c r="AV144" s="128"/>
      <c r="AW144" s="128"/>
      <c r="AX144" s="128"/>
      <c r="AY144" s="128"/>
      <c r="AZ144" s="128"/>
      <c r="BA144" s="128"/>
      <c r="BB144" s="128"/>
      <c r="BC144" s="128"/>
      <c r="BD144" s="128"/>
      <c r="BE144" s="128"/>
      <c r="BF144" s="128"/>
      <c r="BG144" s="128"/>
      <c r="BH144" s="128"/>
      <c r="BI144" s="128"/>
      <c r="BJ144" s="128"/>
      <c r="BK144" s="128"/>
      <c r="BL144" s="128"/>
      <c r="BM144" s="128"/>
      <c r="BN144" s="128"/>
      <c r="BO144" s="128"/>
      <c r="BP144" s="128"/>
      <c r="BQ144" s="128"/>
    </row>
    <row r="145" spans="1:69" ht="14.25" customHeight="1">
      <c r="A145" s="128"/>
      <c r="B145" s="128"/>
      <c r="C145" s="128"/>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row>
    <row r="146" spans="1:69" ht="14.25" customHeight="1">
      <c r="A146" s="128"/>
      <c r="B146" s="128"/>
      <c r="C146" s="128"/>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c r="AA146" s="128"/>
      <c r="AB146" s="128"/>
      <c r="AC146" s="128"/>
      <c r="AD146" s="128"/>
      <c r="AE146" s="128"/>
      <c r="AF146" s="128"/>
      <c r="AG146" s="128"/>
      <c r="AH146" s="128"/>
      <c r="AI146" s="128"/>
      <c r="AJ146" s="128"/>
      <c r="AK146" s="128"/>
      <c r="AL146" s="128"/>
      <c r="AM146" s="128"/>
      <c r="AN146" s="128"/>
      <c r="AO146" s="128"/>
      <c r="AP146" s="128"/>
      <c r="AQ146" s="128"/>
      <c r="AR146" s="128"/>
      <c r="AS146" s="128"/>
      <c r="AT146" s="128"/>
      <c r="AU146" s="128"/>
      <c r="AV146" s="128"/>
      <c r="AW146" s="128"/>
      <c r="AX146" s="128"/>
      <c r="AY146" s="128"/>
      <c r="AZ146" s="128"/>
      <c r="BA146" s="128"/>
      <c r="BB146" s="128"/>
      <c r="BC146" s="128"/>
      <c r="BD146" s="128"/>
      <c r="BE146" s="128"/>
      <c r="BF146" s="128"/>
      <c r="BG146" s="128"/>
      <c r="BH146" s="128"/>
      <c r="BI146" s="128"/>
      <c r="BJ146" s="128"/>
      <c r="BK146" s="128"/>
      <c r="BL146" s="128"/>
      <c r="BM146" s="128"/>
      <c r="BN146" s="128"/>
      <c r="BO146" s="128"/>
      <c r="BP146" s="128"/>
      <c r="BQ146" s="128"/>
    </row>
    <row r="147" spans="1:69" ht="14.25" customHeight="1">
      <c r="A147" s="128"/>
      <c r="B147" s="128"/>
      <c r="C147" s="128"/>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c r="AA147" s="128"/>
      <c r="AB147" s="128"/>
      <c r="AC147" s="128"/>
      <c r="AD147" s="128"/>
      <c r="AE147" s="128"/>
      <c r="AF147" s="128"/>
      <c r="AG147" s="128"/>
      <c r="AH147" s="128"/>
      <c r="AI147" s="128"/>
      <c r="AJ147" s="128"/>
      <c r="AK147" s="128"/>
      <c r="AL147" s="128"/>
      <c r="AM147" s="128"/>
      <c r="AN147" s="128"/>
      <c r="AO147" s="128"/>
      <c r="AP147" s="128"/>
      <c r="AQ147" s="128"/>
      <c r="AR147" s="128"/>
      <c r="AS147" s="128"/>
      <c r="AT147" s="128"/>
      <c r="AU147" s="128"/>
      <c r="AV147" s="128"/>
      <c r="AW147" s="128"/>
      <c r="AX147" s="128"/>
      <c r="AY147" s="128"/>
      <c r="AZ147" s="128"/>
      <c r="BA147" s="128"/>
      <c r="BB147" s="128"/>
      <c r="BC147" s="128"/>
      <c r="BD147" s="128"/>
      <c r="BE147" s="128"/>
      <c r="BF147" s="128"/>
      <c r="BG147" s="128"/>
      <c r="BH147" s="128"/>
      <c r="BI147" s="128"/>
      <c r="BJ147" s="128"/>
      <c r="BK147" s="128"/>
      <c r="BL147" s="128"/>
      <c r="BM147" s="128"/>
      <c r="BN147" s="128"/>
      <c r="BO147" s="128"/>
      <c r="BP147" s="128"/>
      <c r="BQ147" s="128"/>
    </row>
    <row r="148" spans="1:69" ht="14.25" customHeight="1">
      <c r="A148" s="128"/>
      <c r="B148" s="128"/>
      <c r="C148" s="128"/>
      <c r="D148" s="128"/>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c r="AA148" s="128"/>
      <c r="AB148" s="128"/>
      <c r="AC148" s="128"/>
      <c r="AD148" s="128"/>
      <c r="AE148" s="128"/>
      <c r="AF148" s="128"/>
      <c r="AG148" s="128"/>
      <c r="AH148" s="128"/>
      <c r="AI148" s="128"/>
      <c r="AJ148" s="128"/>
      <c r="AK148" s="128"/>
      <c r="AL148" s="128"/>
      <c r="AM148" s="128"/>
      <c r="AN148" s="128"/>
      <c r="AO148" s="128"/>
      <c r="AP148" s="128"/>
      <c r="AQ148" s="128"/>
      <c r="AR148" s="128"/>
      <c r="AS148" s="128"/>
      <c r="AT148" s="128"/>
      <c r="AU148" s="128"/>
      <c r="AV148" s="128"/>
      <c r="AW148" s="128"/>
      <c r="AX148" s="128"/>
      <c r="AY148" s="128"/>
      <c r="AZ148" s="128"/>
      <c r="BA148" s="128"/>
      <c r="BB148" s="128"/>
      <c r="BC148" s="128"/>
      <c r="BD148" s="128"/>
      <c r="BE148" s="128"/>
      <c r="BF148" s="128"/>
      <c r="BG148" s="128"/>
      <c r="BH148" s="128"/>
      <c r="BI148" s="128"/>
      <c r="BJ148" s="128"/>
      <c r="BK148" s="128"/>
      <c r="BL148" s="128"/>
      <c r="BM148" s="128"/>
      <c r="BN148" s="128"/>
      <c r="BO148" s="128"/>
      <c r="BP148" s="128"/>
      <c r="BQ148" s="128"/>
    </row>
    <row r="149" spans="1:69" ht="14.25" customHeight="1">
      <c r="A149" s="128"/>
      <c r="B149" s="128"/>
      <c r="C149" s="128"/>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c r="AA149" s="128"/>
      <c r="AB149" s="128"/>
      <c r="AC149" s="128"/>
      <c r="AD149" s="128"/>
      <c r="AE149" s="128"/>
      <c r="AF149" s="128"/>
      <c r="AG149" s="128"/>
      <c r="AH149" s="128"/>
      <c r="AI149" s="128"/>
      <c r="AJ149" s="128"/>
      <c r="AK149" s="128"/>
      <c r="AL149" s="128"/>
      <c r="AM149" s="128"/>
      <c r="AN149" s="128"/>
      <c r="AO149" s="128"/>
      <c r="AP149" s="128"/>
      <c r="AQ149" s="128"/>
      <c r="AR149" s="128"/>
      <c r="AS149" s="128"/>
      <c r="AT149" s="128"/>
      <c r="AU149" s="128"/>
      <c r="AV149" s="128"/>
      <c r="AW149" s="128"/>
      <c r="AX149" s="128"/>
      <c r="AY149" s="128"/>
      <c r="AZ149" s="128"/>
      <c r="BA149" s="128"/>
      <c r="BB149" s="128"/>
      <c r="BC149" s="128"/>
      <c r="BD149" s="128"/>
      <c r="BE149" s="128"/>
      <c r="BF149" s="128"/>
      <c r="BG149" s="128"/>
      <c r="BH149" s="128"/>
      <c r="BI149" s="128"/>
      <c r="BJ149" s="128"/>
      <c r="BK149" s="128"/>
      <c r="BL149" s="128"/>
      <c r="BM149" s="128"/>
      <c r="BN149" s="128"/>
      <c r="BO149" s="128"/>
      <c r="BP149" s="128"/>
      <c r="BQ149" s="128"/>
    </row>
    <row r="150" spans="1:69" ht="14.25" customHeight="1">
      <c r="A150" s="128"/>
      <c r="B150" s="128"/>
      <c r="C150" s="128"/>
      <c r="D150" s="128"/>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c r="AA150" s="128"/>
      <c r="AB150" s="128"/>
      <c r="AC150" s="128"/>
      <c r="AD150" s="128"/>
      <c r="AE150" s="128"/>
      <c r="AF150" s="128"/>
      <c r="AG150" s="128"/>
      <c r="AH150" s="128"/>
      <c r="AI150" s="128"/>
      <c r="AJ150" s="128"/>
      <c r="AK150" s="128"/>
      <c r="AL150" s="128"/>
      <c r="AM150" s="128"/>
      <c r="AN150" s="128"/>
      <c r="AO150" s="128"/>
      <c r="AP150" s="128"/>
      <c r="AQ150" s="128"/>
      <c r="AR150" s="128"/>
      <c r="AS150" s="128"/>
      <c r="AT150" s="128"/>
      <c r="AU150" s="128"/>
      <c r="AV150" s="128"/>
      <c r="AW150" s="128"/>
      <c r="AX150" s="128"/>
      <c r="AY150" s="128"/>
      <c r="AZ150" s="128"/>
      <c r="BA150" s="128"/>
      <c r="BB150" s="128"/>
      <c r="BC150" s="128"/>
      <c r="BD150" s="128"/>
      <c r="BE150" s="128"/>
      <c r="BF150" s="128"/>
      <c r="BG150" s="128"/>
      <c r="BH150" s="128"/>
      <c r="BI150" s="128"/>
      <c r="BJ150" s="128"/>
      <c r="BK150" s="128"/>
      <c r="BL150" s="128"/>
      <c r="BM150" s="128"/>
      <c r="BN150" s="128"/>
      <c r="BO150" s="128"/>
      <c r="BP150" s="128"/>
      <c r="BQ150" s="128"/>
    </row>
    <row r="151" spans="1:69" ht="14.25" customHeight="1">
      <c r="A151" s="128"/>
      <c r="B151" s="128"/>
      <c r="C151" s="128"/>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row>
    <row r="152" spans="1:69" ht="14.25" customHeight="1">
      <c r="A152" s="128"/>
      <c r="B152" s="128"/>
      <c r="C152" s="128"/>
      <c r="D152" s="128"/>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c r="AA152" s="128"/>
      <c r="AB152" s="128"/>
      <c r="AC152" s="128"/>
      <c r="AD152" s="128"/>
      <c r="AE152" s="128"/>
      <c r="AF152" s="128"/>
      <c r="AG152" s="128"/>
      <c r="AH152" s="128"/>
      <c r="AI152" s="128"/>
      <c r="AJ152" s="128"/>
      <c r="AK152" s="128"/>
      <c r="AL152" s="128"/>
      <c r="AM152" s="128"/>
      <c r="AN152" s="128"/>
      <c r="AO152" s="128"/>
      <c r="AP152" s="128"/>
      <c r="AQ152" s="128"/>
      <c r="AR152" s="128"/>
      <c r="AS152" s="128"/>
      <c r="AT152" s="128"/>
      <c r="AU152" s="128"/>
      <c r="AV152" s="128"/>
      <c r="AW152" s="128"/>
      <c r="AX152" s="128"/>
      <c r="AY152" s="128"/>
      <c r="AZ152" s="128"/>
      <c r="BA152" s="128"/>
      <c r="BB152" s="128"/>
      <c r="BC152" s="128"/>
      <c r="BD152" s="128"/>
      <c r="BE152" s="128"/>
      <c r="BF152" s="128"/>
      <c r="BG152" s="128"/>
      <c r="BH152" s="128"/>
      <c r="BI152" s="128"/>
      <c r="BJ152" s="128"/>
      <c r="BK152" s="128"/>
      <c r="BL152" s="128"/>
      <c r="BM152" s="128"/>
      <c r="BN152" s="128"/>
      <c r="BO152" s="128"/>
      <c r="BP152" s="128"/>
      <c r="BQ152" s="128"/>
    </row>
    <row r="153" spans="1:69" ht="14.25" customHeight="1">
      <c r="A153" s="128"/>
      <c r="B153" s="128"/>
      <c r="C153" s="128"/>
      <c r="D153" s="128"/>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28"/>
      <c r="AA153" s="128"/>
      <c r="AB153" s="128"/>
      <c r="AC153" s="128"/>
      <c r="AD153" s="128"/>
      <c r="AE153" s="128"/>
      <c r="AF153" s="128"/>
      <c r="AG153" s="128"/>
      <c r="AH153" s="128"/>
      <c r="AI153" s="128"/>
      <c r="AJ153" s="128"/>
      <c r="AK153" s="128"/>
      <c r="AL153" s="128"/>
      <c r="AM153" s="128"/>
      <c r="AN153" s="128"/>
      <c r="AO153" s="128"/>
      <c r="AP153" s="128"/>
      <c r="AQ153" s="128"/>
      <c r="AR153" s="128"/>
      <c r="AS153" s="128"/>
      <c r="AT153" s="128"/>
      <c r="AU153" s="128"/>
      <c r="AV153" s="128"/>
      <c r="AW153" s="128"/>
      <c r="AX153" s="128"/>
      <c r="AY153" s="128"/>
      <c r="AZ153" s="128"/>
      <c r="BA153" s="128"/>
      <c r="BB153" s="128"/>
      <c r="BC153" s="128"/>
      <c r="BD153" s="128"/>
      <c r="BE153" s="128"/>
      <c r="BF153" s="128"/>
      <c r="BG153" s="128"/>
      <c r="BH153" s="128"/>
      <c r="BI153" s="128"/>
      <c r="BJ153" s="128"/>
      <c r="BK153" s="128"/>
      <c r="BL153" s="128"/>
      <c r="BM153" s="128"/>
      <c r="BN153" s="128"/>
      <c r="BO153" s="128"/>
      <c r="BP153" s="128"/>
      <c r="BQ153" s="128"/>
    </row>
    <row r="154" spans="1:69" ht="14.25" customHeight="1">
      <c r="A154" s="128"/>
      <c r="B154" s="128"/>
      <c r="C154" s="128"/>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c r="AA154" s="128"/>
      <c r="AB154" s="128"/>
      <c r="AC154" s="128"/>
      <c r="AD154" s="128"/>
      <c r="AE154" s="128"/>
      <c r="AF154" s="128"/>
      <c r="AG154" s="128"/>
      <c r="AH154" s="128"/>
      <c r="AI154" s="128"/>
      <c r="AJ154" s="128"/>
      <c r="AK154" s="128"/>
      <c r="AL154" s="128"/>
      <c r="AM154" s="128"/>
      <c r="AN154" s="128"/>
      <c r="AO154" s="128"/>
      <c r="AP154" s="128"/>
      <c r="AQ154" s="128"/>
      <c r="AR154" s="128"/>
      <c r="AS154" s="128"/>
      <c r="AT154" s="128"/>
      <c r="AU154" s="128"/>
      <c r="AV154" s="128"/>
      <c r="AW154" s="128"/>
      <c r="AX154" s="128"/>
      <c r="AY154" s="128"/>
      <c r="AZ154" s="128"/>
      <c r="BA154" s="128"/>
      <c r="BB154" s="128"/>
      <c r="BC154" s="128"/>
      <c r="BD154" s="128"/>
      <c r="BE154" s="128"/>
      <c r="BF154" s="128"/>
      <c r="BG154" s="128"/>
      <c r="BH154" s="128"/>
      <c r="BI154" s="128"/>
      <c r="BJ154" s="128"/>
      <c r="BK154" s="128"/>
      <c r="BL154" s="128"/>
      <c r="BM154" s="128"/>
      <c r="BN154" s="128"/>
      <c r="BO154" s="128"/>
      <c r="BP154" s="128"/>
      <c r="BQ154" s="128"/>
    </row>
    <row r="155" spans="1:69" ht="14.25" customHeight="1">
      <c r="A155" s="128"/>
      <c r="B155" s="128"/>
      <c r="C155" s="128"/>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c r="AA155" s="128"/>
      <c r="AB155" s="128"/>
      <c r="AC155" s="128"/>
      <c r="AD155" s="128"/>
      <c r="AE155" s="128"/>
      <c r="AF155" s="128"/>
      <c r="AG155" s="128"/>
      <c r="AH155" s="128"/>
      <c r="AI155" s="128"/>
      <c r="AJ155" s="128"/>
      <c r="AK155" s="128"/>
      <c r="AL155" s="128"/>
      <c r="AM155" s="128"/>
      <c r="AN155" s="128"/>
      <c r="AO155" s="128"/>
      <c r="AP155" s="128"/>
      <c r="AQ155" s="128"/>
      <c r="AR155" s="128"/>
      <c r="AS155" s="128"/>
      <c r="AT155" s="128"/>
      <c r="AU155" s="128"/>
      <c r="AV155" s="128"/>
      <c r="AW155" s="128"/>
      <c r="AX155" s="128"/>
      <c r="AY155" s="128"/>
      <c r="AZ155" s="128"/>
      <c r="BA155" s="128"/>
      <c r="BB155" s="128"/>
      <c r="BC155" s="128"/>
      <c r="BD155" s="128"/>
      <c r="BE155" s="128"/>
      <c r="BF155" s="128"/>
      <c r="BG155" s="128"/>
      <c r="BH155" s="128"/>
      <c r="BI155" s="128"/>
      <c r="BJ155" s="128"/>
      <c r="BK155" s="128"/>
      <c r="BL155" s="128"/>
      <c r="BM155" s="128"/>
      <c r="BN155" s="128"/>
      <c r="BO155" s="128"/>
      <c r="BP155" s="128"/>
      <c r="BQ155" s="128"/>
    </row>
    <row r="156" spans="1:69" ht="14.25" customHeight="1">
      <c r="A156" s="128"/>
      <c r="B156" s="128"/>
      <c r="C156" s="128"/>
      <c r="D156" s="128"/>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c r="AA156" s="128"/>
      <c r="AB156" s="128"/>
      <c r="AC156" s="128"/>
      <c r="AD156" s="128"/>
      <c r="AE156" s="128"/>
      <c r="AF156" s="128"/>
      <c r="AG156" s="128"/>
      <c r="AH156" s="128"/>
      <c r="AI156" s="128"/>
      <c r="AJ156" s="128"/>
      <c r="AK156" s="128"/>
      <c r="AL156" s="128"/>
      <c r="AM156" s="128"/>
      <c r="AN156" s="128"/>
      <c r="AO156" s="128"/>
      <c r="AP156" s="128"/>
      <c r="AQ156" s="128"/>
      <c r="AR156" s="128"/>
      <c r="AS156" s="128"/>
      <c r="AT156" s="128"/>
      <c r="AU156" s="128"/>
      <c r="AV156" s="128"/>
      <c r="AW156" s="128"/>
      <c r="AX156" s="128"/>
      <c r="AY156" s="128"/>
      <c r="AZ156" s="128"/>
      <c r="BA156" s="128"/>
      <c r="BB156" s="128"/>
      <c r="BC156" s="128"/>
      <c r="BD156" s="128"/>
      <c r="BE156" s="128"/>
      <c r="BF156" s="128"/>
      <c r="BG156" s="128"/>
      <c r="BH156" s="128"/>
      <c r="BI156" s="128"/>
      <c r="BJ156" s="128"/>
      <c r="BK156" s="128"/>
      <c r="BL156" s="128"/>
      <c r="BM156" s="128"/>
      <c r="BN156" s="128"/>
      <c r="BO156" s="128"/>
      <c r="BP156" s="128"/>
      <c r="BQ156" s="128"/>
    </row>
    <row r="157" spans="1:69" ht="14.25" customHeight="1">
      <c r="A157" s="128"/>
      <c r="B157" s="128"/>
      <c r="C157" s="128"/>
      <c r="D157" s="128"/>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row>
    <row r="158" spans="1:69" ht="14.25" customHeight="1">
      <c r="A158" s="128"/>
      <c r="B158" s="128"/>
      <c r="C158" s="128"/>
      <c r="D158" s="128"/>
      <c r="E158" s="128"/>
      <c r="F158" s="128"/>
      <c r="G158" s="128"/>
      <c r="H158" s="128"/>
      <c r="I158" s="128"/>
      <c r="J158" s="128"/>
      <c r="K158" s="128"/>
      <c r="L158" s="128"/>
      <c r="M158" s="128"/>
      <c r="N158" s="128"/>
      <c r="O158" s="128"/>
      <c r="P158" s="128"/>
      <c r="Q158" s="128"/>
      <c r="R158" s="128"/>
      <c r="S158" s="128"/>
      <c r="T158" s="128"/>
      <c r="U158" s="128"/>
      <c r="V158" s="128"/>
      <c r="W158" s="128"/>
      <c r="X158" s="128"/>
      <c r="Y158" s="128"/>
      <c r="Z158" s="128"/>
      <c r="AA158" s="128"/>
      <c r="AB158" s="128"/>
      <c r="AC158" s="128"/>
      <c r="AD158" s="128"/>
      <c r="AE158" s="128"/>
      <c r="AF158" s="128"/>
      <c r="AG158" s="128"/>
      <c r="AH158" s="128"/>
      <c r="AI158" s="128"/>
      <c r="AJ158" s="128"/>
      <c r="AK158" s="128"/>
      <c r="AL158" s="128"/>
      <c r="AM158" s="128"/>
      <c r="AN158" s="128"/>
      <c r="AO158" s="128"/>
      <c r="AP158" s="128"/>
      <c r="AQ158" s="128"/>
      <c r="AR158" s="128"/>
      <c r="AS158" s="128"/>
      <c r="AT158" s="128"/>
      <c r="AU158" s="128"/>
      <c r="AV158" s="128"/>
      <c r="AW158" s="128"/>
      <c r="AX158" s="128"/>
      <c r="AY158" s="128"/>
      <c r="AZ158" s="128"/>
      <c r="BA158" s="128"/>
      <c r="BB158" s="128"/>
      <c r="BC158" s="128"/>
      <c r="BD158" s="128"/>
      <c r="BE158" s="128"/>
      <c r="BF158" s="128"/>
      <c r="BG158" s="128"/>
      <c r="BH158" s="128"/>
      <c r="BI158" s="128"/>
      <c r="BJ158" s="128"/>
      <c r="BK158" s="128"/>
      <c r="BL158" s="128"/>
      <c r="BM158" s="128"/>
      <c r="BN158" s="128"/>
      <c r="BO158" s="128"/>
      <c r="BP158" s="128"/>
      <c r="BQ158" s="128"/>
    </row>
    <row r="159" spans="1:69" ht="14.25" customHeight="1">
      <c r="A159" s="128"/>
      <c r="B159" s="128"/>
      <c r="C159" s="128"/>
      <c r="D159" s="128"/>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28"/>
      <c r="AA159" s="128"/>
      <c r="AB159" s="128"/>
      <c r="AC159" s="128"/>
      <c r="AD159" s="128"/>
      <c r="AE159" s="128"/>
      <c r="AF159" s="128"/>
      <c r="AG159" s="128"/>
      <c r="AH159" s="128"/>
      <c r="AI159" s="128"/>
      <c r="AJ159" s="128"/>
      <c r="AK159" s="128"/>
      <c r="AL159" s="128"/>
      <c r="AM159" s="128"/>
      <c r="AN159" s="128"/>
      <c r="AO159" s="128"/>
      <c r="AP159" s="128"/>
      <c r="AQ159" s="128"/>
      <c r="AR159" s="128"/>
      <c r="AS159" s="128"/>
      <c r="AT159" s="128"/>
      <c r="AU159" s="128"/>
      <c r="AV159" s="128"/>
      <c r="AW159" s="128"/>
      <c r="AX159" s="128"/>
      <c r="AY159" s="128"/>
      <c r="AZ159" s="128"/>
      <c r="BA159" s="128"/>
      <c r="BB159" s="128"/>
      <c r="BC159" s="128"/>
      <c r="BD159" s="128"/>
      <c r="BE159" s="128"/>
      <c r="BF159" s="128"/>
      <c r="BG159" s="128"/>
      <c r="BH159" s="128"/>
      <c r="BI159" s="128"/>
      <c r="BJ159" s="128"/>
      <c r="BK159" s="128"/>
      <c r="BL159" s="128"/>
      <c r="BM159" s="128"/>
      <c r="BN159" s="128"/>
      <c r="BO159" s="128"/>
      <c r="BP159" s="128"/>
      <c r="BQ159" s="128"/>
    </row>
    <row r="160" spans="1:69" ht="14.25" customHeight="1">
      <c r="A160" s="128"/>
      <c r="B160" s="128"/>
      <c r="C160" s="128"/>
      <c r="D160" s="128"/>
      <c r="E160" s="128"/>
      <c r="F160" s="128"/>
      <c r="G160" s="128"/>
      <c r="H160" s="128"/>
      <c r="I160" s="128"/>
      <c r="J160" s="128"/>
      <c r="K160" s="128"/>
      <c r="L160" s="128"/>
      <c r="M160" s="128"/>
      <c r="N160" s="128"/>
      <c r="O160" s="128"/>
      <c r="P160" s="128"/>
      <c r="Q160" s="128"/>
      <c r="R160" s="128"/>
      <c r="S160" s="128"/>
      <c r="T160" s="128"/>
      <c r="U160" s="128"/>
      <c r="V160" s="128"/>
      <c r="W160" s="128"/>
      <c r="X160" s="128"/>
      <c r="Y160" s="128"/>
      <c r="Z160" s="128"/>
      <c r="AA160" s="128"/>
      <c r="AB160" s="128"/>
      <c r="AC160" s="128"/>
      <c r="AD160" s="128"/>
      <c r="AE160" s="128"/>
      <c r="AF160" s="128"/>
      <c r="AG160" s="128"/>
      <c r="AH160" s="128"/>
      <c r="AI160" s="128"/>
      <c r="AJ160" s="128"/>
      <c r="AK160" s="128"/>
      <c r="AL160" s="128"/>
      <c r="AM160" s="128"/>
      <c r="AN160" s="128"/>
      <c r="AO160" s="128"/>
      <c r="AP160" s="128"/>
      <c r="AQ160" s="128"/>
      <c r="AR160" s="128"/>
      <c r="AS160" s="128"/>
      <c r="AT160" s="128"/>
      <c r="AU160" s="128"/>
      <c r="AV160" s="128"/>
      <c r="AW160" s="128"/>
      <c r="AX160" s="128"/>
      <c r="AY160" s="128"/>
      <c r="AZ160" s="128"/>
      <c r="BA160" s="128"/>
      <c r="BB160" s="128"/>
      <c r="BC160" s="128"/>
      <c r="BD160" s="128"/>
      <c r="BE160" s="128"/>
      <c r="BF160" s="128"/>
      <c r="BG160" s="128"/>
      <c r="BH160" s="128"/>
      <c r="BI160" s="128"/>
      <c r="BJ160" s="128"/>
      <c r="BK160" s="128"/>
      <c r="BL160" s="128"/>
      <c r="BM160" s="128"/>
      <c r="BN160" s="128"/>
      <c r="BO160" s="128"/>
      <c r="BP160" s="128"/>
      <c r="BQ160" s="128"/>
    </row>
    <row r="161" spans="1:69" ht="14.25" customHeight="1">
      <c r="A161" s="128"/>
      <c r="B161" s="128"/>
      <c r="C161" s="128"/>
      <c r="D161" s="128"/>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28"/>
      <c r="AA161" s="128"/>
      <c r="AB161" s="128"/>
      <c r="AC161" s="128"/>
      <c r="AD161" s="128"/>
      <c r="AE161" s="128"/>
      <c r="AF161" s="128"/>
      <c r="AG161" s="128"/>
      <c r="AH161" s="128"/>
      <c r="AI161" s="128"/>
      <c r="AJ161" s="128"/>
      <c r="AK161" s="128"/>
      <c r="AL161" s="128"/>
      <c r="AM161" s="128"/>
      <c r="AN161" s="128"/>
      <c r="AO161" s="128"/>
      <c r="AP161" s="128"/>
      <c r="AQ161" s="128"/>
      <c r="AR161" s="128"/>
      <c r="AS161" s="128"/>
      <c r="AT161" s="128"/>
      <c r="AU161" s="128"/>
      <c r="AV161" s="128"/>
      <c r="AW161" s="128"/>
      <c r="AX161" s="128"/>
      <c r="AY161" s="128"/>
      <c r="AZ161" s="128"/>
      <c r="BA161" s="128"/>
      <c r="BB161" s="128"/>
      <c r="BC161" s="128"/>
      <c r="BD161" s="128"/>
      <c r="BE161" s="128"/>
      <c r="BF161" s="128"/>
      <c r="BG161" s="128"/>
      <c r="BH161" s="128"/>
      <c r="BI161" s="128"/>
      <c r="BJ161" s="128"/>
      <c r="BK161" s="128"/>
      <c r="BL161" s="128"/>
      <c r="BM161" s="128"/>
      <c r="BN161" s="128"/>
      <c r="BO161" s="128"/>
      <c r="BP161" s="128"/>
      <c r="BQ161" s="128"/>
    </row>
    <row r="162" spans="1:69" ht="14.25" customHeight="1">
      <c r="A162" s="128"/>
      <c r="B162" s="128"/>
      <c r="C162" s="128"/>
      <c r="D162" s="128"/>
      <c r="E162" s="128"/>
      <c r="F162" s="128"/>
      <c r="G162" s="128"/>
      <c r="H162" s="128"/>
      <c r="I162" s="128"/>
      <c r="J162" s="128"/>
      <c r="K162" s="128"/>
      <c r="L162" s="128"/>
      <c r="M162" s="128"/>
      <c r="N162" s="128"/>
      <c r="O162" s="128"/>
      <c r="P162" s="128"/>
      <c r="Q162" s="128"/>
      <c r="R162" s="128"/>
      <c r="S162" s="128"/>
      <c r="T162" s="128"/>
      <c r="U162" s="128"/>
      <c r="V162" s="128"/>
      <c r="W162" s="128"/>
      <c r="X162" s="128"/>
      <c r="Y162" s="128"/>
      <c r="Z162" s="128"/>
      <c r="AA162" s="128"/>
      <c r="AB162" s="128"/>
      <c r="AC162" s="128"/>
      <c r="AD162" s="128"/>
      <c r="AE162" s="128"/>
      <c r="AF162" s="128"/>
      <c r="AG162" s="128"/>
      <c r="AH162" s="128"/>
      <c r="AI162" s="128"/>
      <c r="AJ162" s="128"/>
      <c r="AK162" s="128"/>
      <c r="AL162" s="128"/>
      <c r="AM162" s="128"/>
      <c r="AN162" s="128"/>
      <c r="AO162" s="128"/>
      <c r="AP162" s="128"/>
      <c r="AQ162" s="128"/>
      <c r="AR162" s="128"/>
      <c r="AS162" s="128"/>
      <c r="AT162" s="128"/>
      <c r="AU162" s="128"/>
      <c r="AV162" s="128"/>
      <c r="AW162" s="128"/>
      <c r="AX162" s="128"/>
      <c r="AY162" s="128"/>
      <c r="AZ162" s="128"/>
      <c r="BA162" s="128"/>
      <c r="BB162" s="128"/>
      <c r="BC162" s="128"/>
      <c r="BD162" s="128"/>
      <c r="BE162" s="128"/>
      <c r="BF162" s="128"/>
      <c r="BG162" s="128"/>
      <c r="BH162" s="128"/>
      <c r="BI162" s="128"/>
      <c r="BJ162" s="128"/>
      <c r="BK162" s="128"/>
      <c r="BL162" s="128"/>
      <c r="BM162" s="128"/>
      <c r="BN162" s="128"/>
      <c r="BO162" s="128"/>
      <c r="BP162" s="128"/>
      <c r="BQ162" s="128"/>
    </row>
    <row r="163" spans="1:69" ht="14.25" customHeight="1">
      <c r="A163" s="128"/>
      <c r="B163" s="128"/>
      <c r="C163" s="128"/>
      <c r="D163" s="128"/>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28"/>
      <c r="AA163" s="128"/>
      <c r="AB163" s="128"/>
      <c r="AC163" s="128"/>
      <c r="AD163" s="128"/>
      <c r="AE163" s="128"/>
      <c r="AF163" s="128"/>
      <c r="AG163" s="128"/>
      <c r="AH163" s="128"/>
      <c r="AI163" s="128"/>
      <c r="AJ163" s="128"/>
      <c r="AK163" s="128"/>
      <c r="AL163" s="128"/>
      <c r="AM163" s="128"/>
      <c r="AN163" s="128"/>
      <c r="AO163" s="128"/>
      <c r="AP163" s="128"/>
      <c r="AQ163" s="128"/>
      <c r="AR163" s="128"/>
      <c r="AS163" s="128"/>
      <c r="AT163" s="128"/>
      <c r="AU163" s="128"/>
      <c r="AV163" s="128"/>
      <c r="AW163" s="128"/>
      <c r="AX163" s="128"/>
      <c r="AY163" s="128"/>
      <c r="AZ163" s="128"/>
      <c r="BA163" s="128"/>
      <c r="BB163" s="128"/>
      <c r="BC163" s="128"/>
      <c r="BD163" s="128"/>
      <c r="BE163" s="128"/>
      <c r="BF163" s="128"/>
      <c r="BG163" s="128"/>
      <c r="BH163" s="128"/>
      <c r="BI163" s="128"/>
      <c r="BJ163" s="128"/>
      <c r="BK163" s="128"/>
      <c r="BL163" s="128"/>
      <c r="BM163" s="128"/>
      <c r="BN163" s="128"/>
      <c r="BO163" s="128"/>
      <c r="BP163" s="128"/>
      <c r="BQ163" s="128"/>
    </row>
    <row r="164" spans="1:69" ht="14.25" customHeight="1">
      <c r="A164" s="128"/>
      <c r="B164" s="128"/>
      <c r="C164" s="128"/>
      <c r="D164" s="128"/>
      <c r="E164" s="128"/>
      <c r="F164" s="128"/>
      <c r="G164" s="128"/>
      <c r="H164" s="128"/>
      <c r="I164" s="128"/>
      <c r="J164" s="128"/>
      <c r="K164" s="128"/>
      <c r="L164" s="128"/>
      <c r="M164" s="128"/>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row>
    <row r="165" spans="1:69" ht="14.25" customHeight="1">
      <c r="A165" s="128"/>
      <c r="B165" s="128"/>
      <c r="C165" s="128"/>
      <c r="D165" s="128"/>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28"/>
      <c r="AA165" s="128"/>
      <c r="AB165" s="128"/>
      <c r="AC165" s="128"/>
      <c r="AD165" s="128"/>
      <c r="AE165" s="128"/>
      <c r="AF165" s="128"/>
      <c r="AG165" s="128"/>
      <c r="AH165" s="128"/>
      <c r="AI165" s="128"/>
      <c r="AJ165" s="128"/>
      <c r="AK165" s="128"/>
      <c r="AL165" s="128"/>
      <c r="AM165" s="128"/>
      <c r="AN165" s="128"/>
      <c r="AO165" s="128"/>
      <c r="AP165" s="128"/>
      <c r="AQ165" s="128"/>
      <c r="AR165" s="128"/>
      <c r="AS165" s="128"/>
      <c r="AT165" s="128"/>
      <c r="AU165" s="128"/>
      <c r="AV165" s="128"/>
      <c r="AW165" s="128"/>
      <c r="AX165" s="128"/>
      <c r="AY165" s="128"/>
      <c r="AZ165" s="128"/>
      <c r="BA165" s="128"/>
      <c r="BB165" s="128"/>
      <c r="BC165" s="128"/>
      <c r="BD165" s="128"/>
      <c r="BE165" s="128"/>
      <c r="BF165" s="128"/>
      <c r="BG165" s="128"/>
      <c r="BH165" s="128"/>
      <c r="BI165" s="128"/>
      <c r="BJ165" s="128"/>
      <c r="BK165" s="128"/>
      <c r="BL165" s="128"/>
      <c r="BM165" s="128"/>
      <c r="BN165" s="128"/>
      <c r="BO165" s="128"/>
      <c r="BP165" s="128"/>
      <c r="BQ165" s="128"/>
    </row>
    <row r="166" spans="1:69" ht="14.25" customHeight="1">
      <c r="A166" s="128"/>
      <c r="B166" s="128"/>
      <c r="C166" s="128"/>
      <c r="D166" s="128"/>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c r="AA166" s="128"/>
      <c r="AB166" s="128"/>
      <c r="AC166" s="128"/>
      <c r="AD166" s="128"/>
      <c r="AE166" s="128"/>
      <c r="AF166" s="128"/>
      <c r="AG166" s="128"/>
      <c r="AH166" s="128"/>
      <c r="AI166" s="128"/>
      <c r="AJ166" s="128"/>
      <c r="AK166" s="128"/>
      <c r="AL166" s="128"/>
      <c r="AM166" s="128"/>
      <c r="AN166" s="128"/>
      <c r="AO166" s="128"/>
      <c r="AP166" s="128"/>
      <c r="AQ166" s="128"/>
      <c r="AR166" s="128"/>
      <c r="AS166" s="128"/>
      <c r="AT166" s="128"/>
      <c r="AU166" s="128"/>
      <c r="AV166" s="128"/>
      <c r="AW166" s="128"/>
      <c r="AX166" s="128"/>
      <c r="AY166" s="128"/>
      <c r="AZ166" s="128"/>
      <c r="BA166" s="128"/>
      <c r="BB166" s="128"/>
      <c r="BC166" s="128"/>
      <c r="BD166" s="128"/>
      <c r="BE166" s="128"/>
      <c r="BF166" s="128"/>
      <c r="BG166" s="128"/>
      <c r="BH166" s="128"/>
      <c r="BI166" s="128"/>
      <c r="BJ166" s="128"/>
      <c r="BK166" s="128"/>
      <c r="BL166" s="128"/>
      <c r="BM166" s="128"/>
      <c r="BN166" s="128"/>
      <c r="BO166" s="128"/>
      <c r="BP166" s="128"/>
      <c r="BQ166" s="128"/>
    </row>
    <row r="167" spans="1:69" ht="14.25" customHeight="1">
      <c r="A167" s="128"/>
      <c r="B167" s="128"/>
      <c r="C167" s="128"/>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c r="AA167" s="128"/>
      <c r="AB167" s="128"/>
      <c r="AC167" s="128"/>
      <c r="AD167" s="128"/>
      <c r="AE167" s="128"/>
      <c r="AF167" s="128"/>
      <c r="AG167" s="128"/>
      <c r="AH167" s="128"/>
      <c r="AI167" s="128"/>
      <c r="AJ167" s="128"/>
      <c r="AK167" s="128"/>
      <c r="AL167" s="128"/>
      <c r="AM167" s="128"/>
      <c r="AN167" s="128"/>
      <c r="AO167" s="128"/>
      <c r="AP167" s="128"/>
      <c r="AQ167" s="128"/>
      <c r="AR167" s="128"/>
      <c r="AS167" s="128"/>
      <c r="AT167" s="128"/>
      <c r="AU167" s="128"/>
      <c r="AV167" s="128"/>
      <c r="AW167" s="128"/>
      <c r="AX167" s="128"/>
      <c r="AY167" s="128"/>
      <c r="AZ167" s="128"/>
      <c r="BA167" s="128"/>
      <c r="BB167" s="128"/>
      <c r="BC167" s="128"/>
      <c r="BD167" s="128"/>
      <c r="BE167" s="128"/>
      <c r="BF167" s="128"/>
      <c r="BG167" s="128"/>
      <c r="BH167" s="128"/>
      <c r="BI167" s="128"/>
      <c r="BJ167" s="128"/>
      <c r="BK167" s="128"/>
      <c r="BL167" s="128"/>
      <c r="BM167" s="128"/>
      <c r="BN167" s="128"/>
      <c r="BO167" s="128"/>
      <c r="BP167" s="128"/>
      <c r="BQ167" s="128"/>
    </row>
    <row r="168" spans="1:69" ht="14.25" customHeight="1">
      <c r="A168" s="128"/>
      <c r="B168" s="128"/>
      <c r="C168" s="128"/>
      <c r="D168" s="128"/>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c r="AA168" s="128"/>
      <c r="AB168" s="128"/>
      <c r="AC168" s="128"/>
      <c r="AD168" s="128"/>
      <c r="AE168" s="128"/>
      <c r="AF168" s="128"/>
      <c r="AG168" s="128"/>
      <c r="AH168" s="128"/>
      <c r="AI168" s="128"/>
      <c r="AJ168" s="128"/>
      <c r="AK168" s="128"/>
      <c r="AL168" s="128"/>
      <c r="AM168" s="128"/>
      <c r="AN168" s="128"/>
      <c r="AO168" s="128"/>
      <c r="AP168" s="128"/>
      <c r="AQ168" s="128"/>
      <c r="AR168" s="128"/>
      <c r="AS168" s="128"/>
      <c r="AT168" s="128"/>
      <c r="AU168" s="128"/>
      <c r="AV168" s="128"/>
      <c r="AW168" s="128"/>
      <c r="AX168" s="128"/>
      <c r="AY168" s="128"/>
      <c r="AZ168" s="128"/>
      <c r="BA168" s="128"/>
      <c r="BB168" s="128"/>
      <c r="BC168" s="128"/>
      <c r="BD168" s="128"/>
      <c r="BE168" s="128"/>
      <c r="BF168" s="128"/>
      <c r="BG168" s="128"/>
      <c r="BH168" s="128"/>
      <c r="BI168" s="128"/>
      <c r="BJ168" s="128"/>
      <c r="BK168" s="128"/>
      <c r="BL168" s="128"/>
      <c r="BM168" s="128"/>
      <c r="BN168" s="128"/>
      <c r="BO168" s="128"/>
      <c r="BP168" s="128"/>
      <c r="BQ168" s="128"/>
    </row>
    <row r="169" spans="1:69" ht="14.25" customHeight="1">
      <c r="A169" s="128"/>
      <c r="B169" s="128"/>
      <c r="C169" s="128"/>
      <c r="D169" s="128"/>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28"/>
      <c r="AA169" s="128"/>
      <c r="AB169" s="128"/>
      <c r="AC169" s="128"/>
      <c r="AD169" s="128"/>
      <c r="AE169" s="128"/>
      <c r="AF169" s="128"/>
      <c r="AG169" s="128"/>
      <c r="AH169" s="128"/>
      <c r="AI169" s="128"/>
      <c r="AJ169" s="128"/>
      <c r="AK169" s="128"/>
      <c r="AL169" s="128"/>
      <c r="AM169" s="128"/>
      <c r="AN169" s="128"/>
      <c r="AO169" s="128"/>
      <c r="AP169" s="128"/>
      <c r="AQ169" s="128"/>
      <c r="AR169" s="128"/>
      <c r="AS169" s="128"/>
      <c r="AT169" s="128"/>
      <c r="AU169" s="128"/>
      <c r="AV169" s="128"/>
      <c r="AW169" s="128"/>
      <c r="AX169" s="128"/>
      <c r="AY169" s="128"/>
      <c r="AZ169" s="128"/>
      <c r="BA169" s="128"/>
      <c r="BB169" s="128"/>
      <c r="BC169" s="128"/>
      <c r="BD169" s="128"/>
      <c r="BE169" s="128"/>
      <c r="BF169" s="128"/>
      <c r="BG169" s="128"/>
      <c r="BH169" s="128"/>
      <c r="BI169" s="128"/>
      <c r="BJ169" s="128"/>
      <c r="BK169" s="128"/>
      <c r="BL169" s="128"/>
      <c r="BM169" s="128"/>
      <c r="BN169" s="128"/>
      <c r="BO169" s="128"/>
      <c r="BP169" s="128"/>
      <c r="BQ169" s="128"/>
    </row>
    <row r="170" spans="1:69" ht="14.25" customHeight="1">
      <c r="A170" s="128"/>
      <c r="B170" s="128"/>
      <c r="C170" s="128"/>
      <c r="D170" s="128"/>
      <c r="E170" s="128"/>
      <c r="F170" s="128"/>
      <c r="G170" s="128"/>
      <c r="H170" s="128"/>
      <c r="I170" s="128"/>
      <c r="J170" s="128"/>
      <c r="K170" s="128"/>
      <c r="L170" s="128"/>
      <c r="M170" s="128"/>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row>
    <row r="171" spans="1:69" ht="14.25" customHeight="1">
      <c r="A171" s="128"/>
      <c r="B171" s="128"/>
      <c r="C171" s="128"/>
      <c r="D171" s="128"/>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28"/>
      <c r="AA171" s="128"/>
      <c r="AB171" s="128"/>
      <c r="AC171" s="128"/>
      <c r="AD171" s="128"/>
      <c r="AE171" s="128"/>
      <c r="AF171" s="128"/>
      <c r="AG171" s="128"/>
      <c r="AH171" s="128"/>
      <c r="AI171" s="128"/>
      <c r="AJ171" s="128"/>
      <c r="AK171" s="128"/>
      <c r="AL171" s="128"/>
      <c r="AM171" s="128"/>
      <c r="AN171" s="128"/>
      <c r="AO171" s="128"/>
      <c r="AP171" s="128"/>
      <c r="AQ171" s="128"/>
      <c r="AR171" s="128"/>
      <c r="AS171" s="128"/>
      <c r="AT171" s="128"/>
      <c r="AU171" s="128"/>
      <c r="AV171" s="128"/>
      <c r="AW171" s="128"/>
      <c r="AX171" s="128"/>
      <c r="AY171" s="128"/>
      <c r="AZ171" s="128"/>
      <c r="BA171" s="128"/>
      <c r="BB171" s="128"/>
      <c r="BC171" s="128"/>
      <c r="BD171" s="128"/>
      <c r="BE171" s="128"/>
      <c r="BF171" s="128"/>
      <c r="BG171" s="128"/>
      <c r="BH171" s="128"/>
      <c r="BI171" s="128"/>
      <c r="BJ171" s="128"/>
      <c r="BK171" s="128"/>
      <c r="BL171" s="128"/>
      <c r="BM171" s="128"/>
      <c r="BN171" s="128"/>
      <c r="BO171" s="128"/>
      <c r="BP171" s="128"/>
      <c r="BQ171" s="128"/>
    </row>
    <row r="172" spans="1:69" ht="14.25" customHeight="1">
      <c r="A172" s="128"/>
      <c r="B172" s="128"/>
      <c r="C172" s="128"/>
      <c r="D172" s="128"/>
      <c r="E172" s="128"/>
      <c r="F172" s="128"/>
      <c r="G172" s="128"/>
      <c r="H172" s="128"/>
      <c r="I172" s="128"/>
      <c r="J172" s="128"/>
      <c r="K172" s="128"/>
      <c r="L172" s="128"/>
      <c r="M172" s="128"/>
      <c r="N172" s="128"/>
      <c r="O172" s="128"/>
      <c r="P172" s="128"/>
      <c r="Q172" s="128"/>
      <c r="R172" s="128"/>
      <c r="S172" s="128"/>
      <c r="T172" s="128"/>
      <c r="U172" s="128"/>
      <c r="V172" s="128"/>
      <c r="W172" s="128"/>
      <c r="X172" s="128"/>
      <c r="Y172" s="128"/>
      <c r="Z172" s="128"/>
      <c r="AA172" s="128"/>
      <c r="AB172" s="128"/>
      <c r="AC172" s="128"/>
      <c r="AD172" s="128"/>
      <c r="AE172" s="128"/>
      <c r="AF172" s="128"/>
      <c r="AG172" s="128"/>
      <c r="AH172" s="128"/>
      <c r="AI172" s="128"/>
      <c r="AJ172" s="128"/>
      <c r="AK172" s="128"/>
      <c r="AL172" s="128"/>
      <c r="AM172" s="128"/>
      <c r="AN172" s="128"/>
      <c r="AO172" s="128"/>
      <c r="AP172" s="128"/>
      <c r="AQ172" s="128"/>
      <c r="AR172" s="128"/>
      <c r="AS172" s="128"/>
      <c r="AT172" s="128"/>
      <c r="AU172" s="128"/>
      <c r="AV172" s="128"/>
      <c r="AW172" s="128"/>
      <c r="AX172" s="128"/>
      <c r="AY172" s="128"/>
      <c r="AZ172" s="128"/>
      <c r="BA172" s="128"/>
      <c r="BB172" s="128"/>
      <c r="BC172" s="128"/>
      <c r="BD172" s="128"/>
      <c r="BE172" s="128"/>
      <c r="BF172" s="128"/>
      <c r="BG172" s="128"/>
      <c r="BH172" s="128"/>
      <c r="BI172" s="128"/>
      <c r="BJ172" s="128"/>
      <c r="BK172" s="128"/>
      <c r="BL172" s="128"/>
      <c r="BM172" s="128"/>
      <c r="BN172" s="128"/>
      <c r="BO172" s="128"/>
      <c r="BP172" s="128"/>
      <c r="BQ172" s="128"/>
    </row>
    <row r="173" spans="1:69" ht="14.25" customHeight="1">
      <c r="A173" s="128"/>
      <c r="B173" s="128"/>
      <c r="C173" s="128"/>
      <c r="D173" s="128"/>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28"/>
      <c r="AA173" s="128"/>
      <c r="AB173" s="128"/>
      <c r="AC173" s="128"/>
      <c r="AD173" s="128"/>
      <c r="AE173" s="128"/>
      <c r="AF173" s="128"/>
      <c r="AG173" s="128"/>
      <c r="AH173" s="128"/>
      <c r="AI173" s="128"/>
      <c r="AJ173" s="128"/>
      <c r="AK173" s="128"/>
      <c r="AL173" s="128"/>
      <c r="AM173" s="128"/>
      <c r="AN173" s="128"/>
      <c r="AO173" s="128"/>
      <c r="AP173" s="128"/>
      <c r="AQ173" s="128"/>
      <c r="AR173" s="128"/>
      <c r="AS173" s="128"/>
      <c r="AT173" s="128"/>
      <c r="AU173" s="128"/>
      <c r="AV173" s="128"/>
      <c r="AW173" s="128"/>
      <c r="AX173" s="128"/>
      <c r="AY173" s="128"/>
      <c r="AZ173" s="128"/>
      <c r="BA173" s="128"/>
      <c r="BB173" s="128"/>
      <c r="BC173" s="128"/>
      <c r="BD173" s="128"/>
      <c r="BE173" s="128"/>
      <c r="BF173" s="128"/>
      <c r="BG173" s="128"/>
      <c r="BH173" s="128"/>
      <c r="BI173" s="128"/>
      <c r="BJ173" s="128"/>
      <c r="BK173" s="128"/>
      <c r="BL173" s="128"/>
      <c r="BM173" s="128"/>
      <c r="BN173" s="128"/>
      <c r="BO173" s="128"/>
      <c r="BP173" s="128"/>
      <c r="BQ173" s="128"/>
    </row>
    <row r="174" spans="1:69" ht="14.25" customHeight="1">
      <c r="A174" s="128"/>
      <c r="B174" s="128"/>
      <c r="C174" s="128"/>
      <c r="D174" s="128"/>
      <c r="E174" s="128"/>
      <c r="F174" s="128"/>
      <c r="G174" s="128"/>
      <c r="H174" s="128"/>
      <c r="I174" s="128"/>
      <c r="J174" s="128"/>
      <c r="K174" s="128"/>
      <c r="L174" s="128"/>
      <c r="M174" s="128"/>
      <c r="N174" s="128"/>
      <c r="O174" s="128"/>
      <c r="P174" s="128"/>
      <c r="Q174" s="128"/>
      <c r="R174" s="128"/>
      <c r="S174" s="128"/>
      <c r="T174" s="128"/>
      <c r="U174" s="128"/>
      <c r="V174" s="128"/>
      <c r="W174" s="128"/>
      <c r="X174" s="128"/>
      <c r="Y174" s="128"/>
      <c r="Z174" s="128"/>
      <c r="AA174" s="128"/>
      <c r="AB174" s="128"/>
      <c r="AC174" s="128"/>
      <c r="AD174" s="128"/>
      <c r="AE174" s="128"/>
      <c r="AF174" s="128"/>
      <c r="AG174" s="128"/>
      <c r="AH174" s="128"/>
      <c r="AI174" s="128"/>
      <c r="AJ174" s="128"/>
      <c r="AK174" s="128"/>
      <c r="AL174" s="128"/>
      <c r="AM174" s="128"/>
      <c r="AN174" s="128"/>
      <c r="AO174" s="128"/>
      <c r="AP174" s="128"/>
      <c r="AQ174" s="128"/>
      <c r="AR174" s="128"/>
      <c r="AS174" s="128"/>
      <c r="AT174" s="128"/>
      <c r="AU174" s="128"/>
      <c r="AV174" s="128"/>
      <c r="AW174" s="128"/>
      <c r="AX174" s="128"/>
      <c r="AY174" s="128"/>
      <c r="AZ174" s="128"/>
      <c r="BA174" s="128"/>
      <c r="BB174" s="128"/>
      <c r="BC174" s="128"/>
      <c r="BD174" s="128"/>
      <c r="BE174" s="128"/>
      <c r="BF174" s="128"/>
      <c r="BG174" s="128"/>
      <c r="BH174" s="128"/>
      <c r="BI174" s="128"/>
      <c r="BJ174" s="128"/>
      <c r="BK174" s="128"/>
      <c r="BL174" s="128"/>
      <c r="BM174" s="128"/>
      <c r="BN174" s="128"/>
      <c r="BO174" s="128"/>
      <c r="BP174" s="128"/>
      <c r="BQ174" s="128"/>
    </row>
    <row r="175" spans="1:69" ht="14.25" customHeight="1">
      <c r="A175" s="128"/>
      <c r="B175" s="128"/>
      <c r="C175" s="128"/>
      <c r="D175" s="128"/>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28"/>
      <c r="AA175" s="128"/>
      <c r="AB175" s="128"/>
      <c r="AC175" s="128"/>
      <c r="AD175" s="128"/>
      <c r="AE175" s="128"/>
      <c r="AF175" s="128"/>
      <c r="AG175" s="128"/>
      <c r="AH175" s="128"/>
      <c r="AI175" s="128"/>
      <c r="AJ175" s="128"/>
      <c r="AK175" s="128"/>
      <c r="AL175" s="128"/>
      <c r="AM175" s="128"/>
      <c r="AN175" s="128"/>
      <c r="AO175" s="128"/>
      <c r="AP175" s="128"/>
      <c r="AQ175" s="128"/>
      <c r="AR175" s="128"/>
      <c r="AS175" s="128"/>
      <c r="AT175" s="128"/>
      <c r="AU175" s="128"/>
      <c r="AV175" s="128"/>
      <c r="AW175" s="128"/>
      <c r="AX175" s="128"/>
      <c r="AY175" s="128"/>
      <c r="AZ175" s="128"/>
      <c r="BA175" s="128"/>
      <c r="BB175" s="128"/>
      <c r="BC175" s="128"/>
      <c r="BD175" s="128"/>
      <c r="BE175" s="128"/>
      <c r="BF175" s="128"/>
      <c r="BG175" s="128"/>
      <c r="BH175" s="128"/>
      <c r="BI175" s="128"/>
      <c r="BJ175" s="128"/>
      <c r="BK175" s="128"/>
      <c r="BL175" s="128"/>
      <c r="BM175" s="128"/>
      <c r="BN175" s="128"/>
      <c r="BO175" s="128"/>
      <c r="BP175" s="128"/>
      <c r="BQ175" s="128"/>
    </row>
    <row r="176" spans="1:69" ht="14.25" customHeight="1">
      <c r="A176" s="128"/>
      <c r="B176" s="128"/>
      <c r="C176" s="128"/>
      <c r="D176" s="128"/>
      <c r="E176" s="128"/>
      <c r="F176" s="128"/>
      <c r="G176" s="128"/>
      <c r="H176" s="128"/>
      <c r="I176" s="128"/>
      <c r="J176" s="128"/>
      <c r="K176" s="128"/>
      <c r="L176" s="128"/>
      <c r="M176" s="128"/>
      <c r="N176" s="128"/>
      <c r="O176" s="128"/>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row>
    <row r="177" spans="1:69" ht="14.25" customHeight="1">
      <c r="A177" s="128"/>
      <c r="B177" s="128"/>
      <c r="C177" s="12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c r="AA177" s="128"/>
      <c r="AB177" s="128"/>
      <c r="AC177" s="128"/>
      <c r="AD177" s="128"/>
      <c r="AE177" s="128"/>
      <c r="AF177" s="128"/>
      <c r="AG177" s="128"/>
      <c r="AH177" s="128"/>
      <c r="AI177" s="128"/>
      <c r="AJ177" s="128"/>
      <c r="AK177" s="128"/>
      <c r="AL177" s="128"/>
      <c r="AM177" s="128"/>
      <c r="AN177" s="128"/>
      <c r="AO177" s="128"/>
      <c r="AP177" s="128"/>
      <c r="AQ177" s="128"/>
      <c r="AR177" s="128"/>
      <c r="AS177" s="128"/>
      <c r="AT177" s="128"/>
      <c r="AU177" s="128"/>
      <c r="AV177" s="128"/>
      <c r="AW177" s="128"/>
      <c r="AX177" s="128"/>
      <c r="AY177" s="128"/>
      <c r="AZ177" s="128"/>
      <c r="BA177" s="128"/>
      <c r="BB177" s="128"/>
      <c r="BC177" s="128"/>
      <c r="BD177" s="128"/>
      <c r="BE177" s="128"/>
      <c r="BF177" s="128"/>
      <c r="BG177" s="128"/>
      <c r="BH177" s="128"/>
      <c r="BI177" s="128"/>
      <c r="BJ177" s="128"/>
      <c r="BK177" s="128"/>
      <c r="BL177" s="128"/>
      <c r="BM177" s="128"/>
      <c r="BN177" s="128"/>
      <c r="BO177" s="128"/>
      <c r="BP177" s="128"/>
      <c r="BQ177" s="128"/>
    </row>
    <row r="178" spans="1:69" ht="14.25" customHeight="1">
      <c r="A178" s="128"/>
      <c r="B178" s="128"/>
      <c r="C178" s="128"/>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c r="AA178" s="128"/>
      <c r="AB178" s="128"/>
      <c r="AC178" s="128"/>
      <c r="AD178" s="128"/>
      <c r="AE178" s="128"/>
      <c r="AF178" s="128"/>
      <c r="AG178" s="128"/>
      <c r="AH178" s="128"/>
      <c r="AI178" s="128"/>
      <c r="AJ178" s="128"/>
      <c r="AK178" s="128"/>
      <c r="AL178" s="128"/>
      <c r="AM178" s="128"/>
      <c r="AN178" s="128"/>
      <c r="AO178" s="128"/>
      <c r="AP178" s="128"/>
      <c r="AQ178" s="128"/>
      <c r="AR178" s="128"/>
      <c r="AS178" s="128"/>
      <c r="AT178" s="128"/>
      <c r="AU178" s="128"/>
      <c r="AV178" s="128"/>
      <c r="AW178" s="128"/>
      <c r="AX178" s="128"/>
      <c r="AY178" s="128"/>
      <c r="AZ178" s="128"/>
      <c r="BA178" s="128"/>
      <c r="BB178" s="128"/>
      <c r="BC178" s="128"/>
      <c r="BD178" s="128"/>
      <c r="BE178" s="128"/>
      <c r="BF178" s="128"/>
      <c r="BG178" s="128"/>
      <c r="BH178" s="128"/>
      <c r="BI178" s="128"/>
      <c r="BJ178" s="128"/>
      <c r="BK178" s="128"/>
      <c r="BL178" s="128"/>
      <c r="BM178" s="128"/>
      <c r="BN178" s="128"/>
      <c r="BO178" s="128"/>
      <c r="BP178" s="128"/>
      <c r="BQ178" s="128"/>
    </row>
    <row r="179" spans="1:69" ht="14.25" customHeight="1">
      <c r="A179" s="128"/>
      <c r="B179" s="128"/>
      <c r="C179" s="128"/>
      <c r="D179" s="128"/>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28"/>
      <c r="AA179" s="128"/>
      <c r="AB179" s="128"/>
      <c r="AC179" s="128"/>
      <c r="AD179" s="128"/>
      <c r="AE179" s="128"/>
      <c r="AF179" s="128"/>
      <c r="AG179" s="128"/>
      <c r="AH179" s="128"/>
      <c r="AI179" s="128"/>
      <c r="AJ179" s="128"/>
      <c r="AK179" s="128"/>
      <c r="AL179" s="128"/>
      <c r="AM179" s="128"/>
      <c r="AN179" s="128"/>
      <c r="AO179" s="128"/>
      <c r="AP179" s="128"/>
      <c r="AQ179" s="128"/>
      <c r="AR179" s="128"/>
      <c r="AS179" s="128"/>
      <c r="AT179" s="128"/>
      <c r="AU179" s="128"/>
      <c r="AV179" s="128"/>
      <c r="AW179" s="128"/>
      <c r="AX179" s="128"/>
      <c r="AY179" s="128"/>
      <c r="AZ179" s="128"/>
      <c r="BA179" s="128"/>
      <c r="BB179" s="128"/>
      <c r="BC179" s="128"/>
      <c r="BD179" s="128"/>
      <c r="BE179" s="128"/>
      <c r="BF179" s="128"/>
      <c r="BG179" s="128"/>
      <c r="BH179" s="128"/>
      <c r="BI179" s="128"/>
      <c r="BJ179" s="128"/>
      <c r="BK179" s="128"/>
      <c r="BL179" s="128"/>
      <c r="BM179" s="128"/>
      <c r="BN179" s="128"/>
      <c r="BO179" s="128"/>
      <c r="BP179" s="128"/>
      <c r="BQ179" s="128"/>
    </row>
    <row r="180" spans="1:69" ht="14.25" customHeight="1">
      <c r="A180" s="128"/>
      <c r="B180" s="128"/>
      <c r="C180" s="128"/>
      <c r="D180" s="128"/>
      <c r="E180" s="128"/>
      <c r="F180" s="128"/>
      <c r="G180" s="128"/>
      <c r="H180" s="128"/>
      <c r="I180" s="128"/>
      <c r="J180" s="128"/>
      <c r="K180" s="128"/>
      <c r="L180" s="128"/>
      <c r="M180" s="128"/>
      <c r="N180" s="128"/>
      <c r="O180" s="128"/>
      <c r="P180" s="128"/>
      <c r="Q180" s="128"/>
      <c r="R180" s="128"/>
      <c r="S180" s="128"/>
      <c r="T180" s="128"/>
      <c r="U180" s="128"/>
      <c r="V180" s="128"/>
      <c r="W180" s="128"/>
      <c r="X180" s="128"/>
      <c r="Y180" s="128"/>
      <c r="Z180" s="128"/>
      <c r="AA180" s="128"/>
      <c r="AB180" s="128"/>
      <c r="AC180" s="128"/>
      <c r="AD180" s="128"/>
      <c r="AE180" s="128"/>
      <c r="AF180" s="128"/>
      <c r="AG180" s="128"/>
      <c r="AH180" s="128"/>
      <c r="AI180" s="128"/>
      <c r="AJ180" s="128"/>
      <c r="AK180" s="128"/>
      <c r="AL180" s="128"/>
      <c r="AM180" s="128"/>
      <c r="AN180" s="128"/>
      <c r="AO180" s="128"/>
      <c r="AP180" s="128"/>
      <c r="AQ180" s="128"/>
      <c r="AR180" s="128"/>
      <c r="AS180" s="128"/>
      <c r="AT180" s="128"/>
      <c r="AU180" s="128"/>
      <c r="AV180" s="128"/>
      <c r="AW180" s="128"/>
      <c r="AX180" s="128"/>
      <c r="AY180" s="128"/>
      <c r="AZ180" s="128"/>
      <c r="BA180" s="128"/>
      <c r="BB180" s="128"/>
      <c r="BC180" s="128"/>
      <c r="BD180" s="128"/>
      <c r="BE180" s="128"/>
      <c r="BF180" s="128"/>
      <c r="BG180" s="128"/>
      <c r="BH180" s="128"/>
      <c r="BI180" s="128"/>
      <c r="BJ180" s="128"/>
      <c r="BK180" s="128"/>
      <c r="BL180" s="128"/>
      <c r="BM180" s="128"/>
      <c r="BN180" s="128"/>
      <c r="BO180" s="128"/>
      <c r="BP180" s="128"/>
      <c r="BQ180" s="128"/>
    </row>
    <row r="181" spans="1:69" ht="14.25" customHeight="1">
      <c r="A181" s="128"/>
      <c r="B181" s="128"/>
      <c r="C181" s="128"/>
      <c r="D181" s="128"/>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28"/>
      <c r="AA181" s="128"/>
      <c r="AB181" s="128"/>
      <c r="AC181" s="128"/>
      <c r="AD181" s="128"/>
      <c r="AE181" s="128"/>
      <c r="AF181" s="128"/>
      <c r="AG181" s="128"/>
      <c r="AH181" s="128"/>
      <c r="AI181" s="128"/>
      <c r="AJ181" s="128"/>
      <c r="AK181" s="128"/>
      <c r="AL181" s="128"/>
      <c r="AM181" s="128"/>
      <c r="AN181" s="128"/>
      <c r="AO181" s="128"/>
      <c r="AP181" s="128"/>
      <c r="AQ181" s="128"/>
      <c r="AR181" s="128"/>
      <c r="AS181" s="128"/>
      <c r="AT181" s="128"/>
      <c r="AU181" s="128"/>
      <c r="AV181" s="128"/>
      <c r="AW181" s="128"/>
      <c r="AX181" s="128"/>
      <c r="AY181" s="128"/>
      <c r="AZ181" s="128"/>
      <c r="BA181" s="128"/>
      <c r="BB181" s="128"/>
      <c r="BC181" s="128"/>
      <c r="BD181" s="128"/>
      <c r="BE181" s="128"/>
      <c r="BF181" s="128"/>
      <c r="BG181" s="128"/>
      <c r="BH181" s="128"/>
      <c r="BI181" s="128"/>
      <c r="BJ181" s="128"/>
      <c r="BK181" s="128"/>
      <c r="BL181" s="128"/>
      <c r="BM181" s="128"/>
      <c r="BN181" s="128"/>
      <c r="BO181" s="128"/>
      <c r="BP181" s="128"/>
      <c r="BQ181" s="128"/>
    </row>
    <row r="182" spans="1:69" ht="14.25" customHeight="1">
      <c r="A182" s="128"/>
      <c r="B182" s="128"/>
      <c r="C182" s="128"/>
      <c r="D182" s="128"/>
      <c r="E182" s="128"/>
      <c r="F182" s="128"/>
      <c r="G182" s="128"/>
      <c r="H182" s="128"/>
      <c r="I182" s="128"/>
      <c r="J182" s="128"/>
      <c r="K182" s="128"/>
      <c r="L182" s="128"/>
      <c r="M182" s="128"/>
      <c r="N182" s="128"/>
      <c r="O182" s="128"/>
      <c r="P182" s="128"/>
      <c r="Q182" s="128"/>
      <c r="R182" s="128"/>
      <c r="S182" s="128"/>
      <c r="T182" s="128"/>
      <c r="U182" s="128"/>
      <c r="V182" s="128"/>
      <c r="W182" s="128"/>
      <c r="X182" s="128"/>
      <c r="Y182" s="128"/>
      <c r="Z182" s="128"/>
      <c r="AA182" s="128"/>
      <c r="AB182" s="128"/>
      <c r="AC182" s="128"/>
      <c r="AD182" s="128"/>
      <c r="AE182" s="128"/>
      <c r="AF182" s="128"/>
      <c r="AG182" s="128"/>
      <c r="AH182" s="128"/>
      <c r="AI182" s="128"/>
      <c r="AJ182" s="128"/>
      <c r="AK182" s="128"/>
      <c r="AL182" s="128"/>
      <c r="AM182" s="128"/>
      <c r="AN182" s="128"/>
      <c r="AO182" s="128"/>
      <c r="AP182" s="128"/>
      <c r="AQ182" s="128"/>
      <c r="AR182" s="128"/>
      <c r="AS182" s="128"/>
      <c r="AT182" s="128"/>
      <c r="AU182" s="128"/>
      <c r="AV182" s="128"/>
      <c r="AW182" s="128"/>
      <c r="AX182" s="128"/>
      <c r="AY182" s="128"/>
      <c r="AZ182" s="128"/>
      <c r="BA182" s="128"/>
      <c r="BB182" s="128"/>
      <c r="BC182" s="128"/>
      <c r="BD182" s="128"/>
      <c r="BE182" s="128"/>
      <c r="BF182" s="128"/>
      <c r="BG182" s="128"/>
      <c r="BH182" s="128"/>
      <c r="BI182" s="128"/>
      <c r="BJ182" s="128"/>
      <c r="BK182" s="128"/>
      <c r="BL182" s="128"/>
      <c r="BM182" s="128"/>
      <c r="BN182" s="128"/>
      <c r="BO182" s="128"/>
      <c r="BP182" s="128"/>
      <c r="BQ182" s="128"/>
    </row>
    <row r="183" spans="1:69" ht="14.25" customHeight="1">
      <c r="A183" s="128"/>
      <c r="B183" s="128"/>
      <c r="C183" s="128"/>
      <c r="D183" s="128"/>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28"/>
      <c r="AA183" s="128"/>
      <c r="AB183" s="128"/>
      <c r="AC183" s="128"/>
      <c r="AD183" s="128"/>
      <c r="AE183" s="128"/>
      <c r="AF183" s="128"/>
      <c r="AG183" s="128"/>
      <c r="AH183" s="128"/>
      <c r="AI183" s="128"/>
      <c r="AJ183" s="128"/>
      <c r="AK183" s="128"/>
      <c r="AL183" s="128"/>
      <c r="AM183" s="128"/>
      <c r="AN183" s="128"/>
      <c r="AO183" s="128"/>
      <c r="AP183" s="128"/>
      <c r="AQ183" s="128"/>
      <c r="AR183" s="128"/>
      <c r="AS183" s="128"/>
      <c r="AT183" s="128"/>
      <c r="AU183" s="128"/>
      <c r="AV183" s="128"/>
      <c r="AW183" s="128"/>
      <c r="AX183" s="128"/>
      <c r="AY183" s="128"/>
      <c r="AZ183" s="128"/>
      <c r="BA183" s="128"/>
      <c r="BB183" s="128"/>
      <c r="BC183" s="128"/>
      <c r="BD183" s="128"/>
      <c r="BE183" s="128"/>
      <c r="BF183" s="128"/>
      <c r="BG183" s="128"/>
      <c r="BH183" s="128"/>
      <c r="BI183" s="128"/>
      <c r="BJ183" s="128"/>
      <c r="BK183" s="128"/>
      <c r="BL183" s="128"/>
      <c r="BM183" s="128"/>
      <c r="BN183" s="128"/>
      <c r="BO183" s="128"/>
      <c r="BP183" s="128"/>
      <c r="BQ183" s="128"/>
    </row>
    <row r="184" spans="1:69" ht="14.25" customHeight="1">
      <c r="A184" s="128"/>
      <c r="B184" s="128"/>
      <c r="C184" s="128"/>
      <c r="D184" s="128"/>
      <c r="E184" s="128"/>
      <c r="F184" s="128"/>
      <c r="G184" s="128"/>
      <c r="H184" s="128"/>
      <c r="I184" s="128"/>
      <c r="J184" s="128"/>
      <c r="K184" s="128"/>
      <c r="L184" s="128"/>
      <c r="M184" s="128"/>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row>
    <row r="185" spans="1:69" ht="14.25" customHeight="1">
      <c r="A185" s="128"/>
      <c r="B185" s="128"/>
      <c r="C185" s="128"/>
      <c r="D185" s="128"/>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28"/>
      <c r="AA185" s="128"/>
      <c r="AB185" s="128"/>
      <c r="AC185" s="128"/>
      <c r="AD185" s="128"/>
      <c r="AE185" s="128"/>
      <c r="AF185" s="128"/>
      <c r="AG185" s="128"/>
      <c r="AH185" s="128"/>
      <c r="AI185" s="128"/>
      <c r="AJ185" s="128"/>
      <c r="AK185" s="128"/>
      <c r="AL185" s="128"/>
      <c r="AM185" s="128"/>
      <c r="AN185" s="128"/>
      <c r="AO185" s="128"/>
      <c r="AP185" s="128"/>
      <c r="AQ185" s="128"/>
      <c r="AR185" s="128"/>
      <c r="AS185" s="128"/>
      <c r="AT185" s="128"/>
      <c r="AU185" s="128"/>
      <c r="AV185" s="128"/>
      <c r="AW185" s="128"/>
      <c r="AX185" s="128"/>
      <c r="AY185" s="128"/>
      <c r="AZ185" s="128"/>
      <c r="BA185" s="128"/>
      <c r="BB185" s="128"/>
      <c r="BC185" s="128"/>
      <c r="BD185" s="128"/>
      <c r="BE185" s="128"/>
      <c r="BF185" s="128"/>
      <c r="BG185" s="128"/>
      <c r="BH185" s="128"/>
      <c r="BI185" s="128"/>
      <c r="BJ185" s="128"/>
      <c r="BK185" s="128"/>
      <c r="BL185" s="128"/>
      <c r="BM185" s="128"/>
      <c r="BN185" s="128"/>
      <c r="BO185" s="128"/>
      <c r="BP185" s="128"/>
      <c r="BQ185" s="128"/>
    </row>
    <row r="186" spans="1:69" ht="14.25" customHeight="1">
      <c r="A186" s="128"/>
      <c r="B186" s="128"/>
      <c r="C186" s="128"/>
      <c r="D186" s="128"/>
      <c r="E186" s="128"/>
      <c r="F186" s="128"/>
      <c r="G186" s="128"/>
      <c r="H186" s="128"/>
      <c r="I186" s="128"/>
      <c r="J186" s="128"/>
      <c r="K186" s="128"/>
      <c r="L186" s="128"/>
      <c r="M186" s="128"/>
      <c r="N186" s="128"/>
      <c r="O186" s="128"/>
      <c r="P186" s="128"/>
      <c r="Q186" s="128"/>
      <c r="R186" s="128"/>
      <c r="S186" s="128"/>
      <c r="T186" s="128"/>
      <c r="U186" s="128"/>
      <c r="V186" s="128"/>
      <c r="W186" s="128"/>
      <c r="X186" s="128"/>
      <c r="Y186" s="128"/>
      <c r="Z186" s="128"/>
      <c r="AA186" s="128"/>
      <c r="AB186" s="128"/>
      <c r="AC186" s="128"/>
      <c r="AD186" s="128"/>
      <c r="AE186" s="128"/>
      <c r="AF186" s="128"/>
      <c r="AG186" s="128"/>
      <c r="AH186" s="128"/>
      <c r="AI186" s="128"/>
      <c r="AJ186" s="128"/>
      <c r="AK186" s="128"/>
      <c r="AL186" s="128"/>
      <c r="AM186" s="128"/>
      <c r="AN186" s="128"/>
      <c r="AO186" s="128"/>
      <c r="AP186" s="128"/>
      <c r="AQ186" s="128"/>
      <c r="AR186" s="128"/>
      <c r="AS186" s="128"/>
      <c r="AT186" s="128"/>
      <c r="AU186" s="128"/>
      <c r="AV186" s="128"/>
      <c r="AW186" s="128"/>
      <c r="AX186" s="128"/>
      <c r="AY186" s="128"/>
      <c r="AZ186" s="128"/>
      <c r="BA186" s="128"/>
      <c r="BB186" s="128"/>
      <c r="BC186" s="128"/>
      <c r="BD186" s="128"/>
      <c r="BE186" s="128"/>
      <c r="BF186" s="128"/>
      <c r="BG186" s="128"/>
      <c r="BH186" s="128"/>
      <c r="BI186" s="128"/>
      <c r="BJ186" s="128"/>
      <c r="BK186" s="128"/>
      <c r="BL186" s="128"/>
      <c r="BM186" s="128"/>
      <c r="BN186" s="128"/>
      <c r="BO186" s="128"/>
      <c r="BP186" s="128"/>
      <c r="BQ186" s="128"/>
    </row>
    <row r="187" spans="1:69" ht="14.25" customHeight="1">
      <c r="A187" s="128"/>
      <c r="B187" s="128"/>
      <c r="C187" s="128"/>
      <c r="D187" s="128"/>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c r="AA187" s="128"/>
      <c r="AB187" s="128"/>
      <c r="AC187" s="128"/>
      <c r="AD187" s="128"/>
      <c r="AE187" s="128"/>
      <c r="AF187" s="128"/>
      <c r="AG187" s="128"/>
      <c r="AH187" s="128"/>
      <c r="AI187" s="128"/>
      <c r="AJ187" s="128"/>
      <c r="AK187" s="128"/>
      <c r="AL187" s="128"/>
      <c r="AM187" s="128"/>
      <c r="AN187" s="128"/>
      <c r="AO187" s="128"/>
      <c r="AP187" s="128"/>
      <c r="AQ187" s="128"/>
      <c r="AR187" s="128"/>
      <c r="AS187" s="128"/>
      <c r="AT187" s="128"/>
      <c r="AU187" s="128"/>
      <c r="AV187" s="128"/>
      <c r="AW187" s="128"/>
      <c r="AX187" s="128"/>
      <c r="AY187" s="128"/>
      <c r="AZ187" s="128"/>
      <c r="BA187" s="128"/>
      <c r="BB187" s="128"/>
      <c r="BC187" s="128"/>
      <c r="BD187" s="128"/>
      <c r="BE187" s="128"/>
      <c r="BF187" s="128"/>
      <c r="BG187" s="128"/>
      <c r="BH187" s="128"/>
      <c r="BI187" s="128"/>
      <c r="BJ187" s="128"/>
      <c r="BK187" s="128"/>
      <c r="BL187" s="128"/>
      <c r="BM187" s="128"/>
      <c r="BN187" s="128"/>
      <c r="BO187" s="128"/>
      <c r="BP187" s="128"/>
      <c r="BQ187" s="128"/>
    </row>
    <row r="188" spans="1:69" ht="14.25" customHeight="1">
      <c r="A188" s="128"/>
      <c r="B188" s="128"/>
      <c r="C188" s="128"/>
      <c r="D188" s="128"/>
      <c r="E188" s="128"/>
      <c r="F188" s="128"/>
      <c r="G188" s="128"/>
      <c r="H188" s="128"/>
      <c r="I188" s="128"/>
      <c r="J188" s="128"/>
      <c r="K188" s="128"/>
      <c r="L188" s="128"/>
      <c r="M188" s="128"/>
      <c r="N188" s="128"/>
      <c r="O188" s="128"/>
      <c r="P188" s="128"/>
      <c r="Q188" s="128"/>
      <c r="R188" s="128"/>
      <c r="S188" s="128"/>
      <c r="T188" s="128"/>
      <c r="U188" s="128"/>
      <c r="V188" s="128"/>
      <c r="W188" s="128"/>
      <c r="X188" s="128"/>
      <c r="Y188" s="128"/>
      <c r="Z188" s="128"/>
      <c r="AA188" s="128"/>
      <c r="AB188" s="128"/>
      <c r="AC188" s="128"/>
      <c r="AD188" s="128"/>
      <c r="AE188" s="128"/>
      <c r="AF188" s="128"/>
      <c r="AG188" s="128"/>
      <c r="AH188" s="128"/>
      <c r="AI188" s="128"/>
      <c r="AJ188" s="128"/>
      <c r="AK188" s="128"/>
      <c r="AL188" s="128"/>
      <c r="AM188" s="128"/>
      <c r="AN188" s="128"/>
      <c r="AO188" s="128"/>
      <c r="AP188" s="128"/>
      <c r="AQ188" s="128"/>
      <c r="AR188" s="128"/>
      <c r="AS188" s="128"/>
      <c r="AT188" s="128"/>
      <c r="AU188" s="128"/>
      <c r="AV188" s="128"/>
      <c r="AW188" s="128"/>
      <c r="AX188" s="128"/>
      <c r="AY188" s="128"/>
      <c r="AZ188" s="128"/>
      <c r="BA188" s="128"/>
      <c r="BB188" s="128"/>
      <c r="BC188" s="128"/>
      <c r="BD188" s="128"/>
      <c r="BE188" s="128"/>
      <c r="BF188" s="128"/>
      <c r="BG188" s="128"/>
      <c r="BH188" s="128"/>
      <c r="BI188" s="128"/>
      <c r="BJ188" s="128"/>
      <c r="BK188" s="128"/>
      <c r="BL188" s="128"/>
      <c r="BM188" s="128"/>
      <c r="BN188" s="128"/>
      <c r="BO188" s="128"/>
      <c r="BP188" s="128"/>
      <c r="BQ188" s="128"/>
    </row>
    <row r="189" spans="1:69" ht="14.25" customHeight="1">
      <c r="A189" s="128"/>
      <c r="B189" s="128"/>
      <c r="C189" s="128"/>
      <c r="D189" s="128"/>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28"/>
      <c r="AA189" s="128"/>
      <c r="AB189" s="128"/>
      <c r="AC189" s="128"/>
      <c r="AD189" s="128"/>
      <c r="AE189" s="128"/>
      <c r="AF189" s="128"/>
      <c r="AG189" s="128"/>
      <c r="AH189" s="128"/>
      <c r="AI189" s="128"/>
      <c r="AJ189" s="128"/>
      <c r="AK189" s="128"/>
      <c r="AL189" s="128"/>
      <c r="AM189" s="128"/>
      <c r="AN189" s="128"/>
      <c r="AO189" s="128"/>
      <c r="AP189" s="128"/>
      <c r="AQ189" s="128"/>
      <c r="AR189" s="128"/>
      <c r="AS189" s="128"/>
      <c r="AT189" s="128"/>
      <c r="AU189" s="128"/>
      <c r="AV189" s="128"/>
      <c r="AW189" s="128"/>
      <c r="AX189" s="128"/>
      <c r="AY189" s="128"/>
      <c r="AZ189" s="128"/>
      <c r="BA189" s="128"/>
      <c r="BB189" s="128"/>
      <c r="BC189" s="128"/>
      <c r="BD189" s="128"/>
      <c r="BE189" s="128"/>
      <c r="BF189" s="128"/>
      <c r="BG189" s="128"/>
      <c r="BH189" s="128"/>
      <c r="BI189" s="128"/>
      <c r="BJ189" s="128"/>
      <c r="BK189" s="128"/>
      <c r="BL189" s="128"/>
      <c r="BM189" s="128"/>
      <c r="BN189" s="128"/>
      <c r="BO189" s="128"/>
      <c r="BP189" s="128"/>
      <c r="BQ189" s="128"/>
    </row>
    <row r="190" spans="1:69" ht="14.25" customHeight="1">
      <c r="A190" s="128"/>
      <c r="B190" s="128"/>
      <c r="C190" s="128"/>
      <c r="D190" s="128"/>
      <c r="E190" s="128"/>
      <c r="F190" s="128"/>
      <c r="G190" s="128"/>
      <c r="H190" s="128"/>
      <c r="I190" s="128"/>
      <c r="J190" s="128"/>
      <c r="K190" s="128"/>
      <c r="L190" s="128"/>
      <c r="M190" s="128"/>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row>
    <row r="191" spans="1:69" ht="14.25" customHeight="1">
      <c r="A191" s="128"/>
      <c r="B191" s="128"/>
      <c r="C191" s="128"/>
      <c r="D191" s="128"/>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28"/>
      <c r="AA191" s="128"/>
      <c r="AB191" s="128"/>
      <c r="AC191" s="128"/>
      <c r="AD191" s="128"/>
      <c r="AE191" s="128"/>
      <c r="AF191" s="128"/>
      <c r="AG191" s="128"/>
      <c r="AH191" s="128"/>
      <c r="AI191" s="128"/>
      <c r="AJ191" s="128"/>
      <c r="AK191" s="128"/>
      <c r="AL191" s="128"/>
      <c r="AM191" s="128"/>
      <c r="AN191" s="128"/>
      <c r="AO191" s="128"/>
      <c r="AP191" s="128"/>
      <c r="AQ191" s="128"/>
      <c r="AR191" s="128"/>
      <c r="AS191" s="128"/>
      <c r="AT191" s="128"/>
      <c r="AU191" s="128"/>
      <c r="AV191" s="128"/>
      <c r="AW191" s="128"/>
      <c r="AX191" s="128"/>
      <c r="AY191" s="128"/>
      <c r="AZ191" s="128"/>
      <c r="BA191" s="128"/>
      <c r="BB191" s="128"/>
      <c r="BC191" s="128"/>
      <c r="BD191" s="128"/>
      <c r="BE191" s="128"/>
      <c r="BF191" s="128"/>
      <c r="BG191" s="128"/>
      <c r="BH191" s="128"/>
      <c r="BI191" s="128"/>
      <c r="BJ191" s="128"/>
      <c r="BK191" s="128"/>
      <c r="BL191" s="128"/>
      <c r="BM191" s="128"/>
      <c r="BN191" s="128"/>
      <c r="BO191" s="128"/>
      <c r="BP191" s="128"/>
      <c r="BQ191" s="128"/>
    </row>
    <row r="192" spans="1:69" ht="14.25" customHeight="1">
      <c r="A192" s="128"/>
      <c r="B192" s="128"/>
      <c r="C192" s="128"/>
      <c r="D192" s="128"/>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c r="AA192" s="128"/>
      <c r="AB192" s="128"/>
      <c r="AC192" s="128"/>
      <c r="AD192" s="128"/>
      <c r="AE192" s="128"/>
      <c r="AF192" s="128"/>
      <c r="AG192" s="128"/>
      <c r="AH192" s="128"/>
      <c r="AI192" s="128"/>
      <c r="AJ192" s="128"/>
      <c r="AK192" s="128"/>
      <c r="AL192" s="128"/>
      <c r="AM192" s="128"/>
      <c r="AN192" s="128"/>
      <c r="AO192" s="128"/>
      <c r="AP192" s="128"/>
      <c r="AQ192" s="128"/>
      <c r="AR192" s="128"/>
      <c r="AS192" s="128"/>
      <c r="AT192" s="128"/>
      <c r="AU192" s="128"/>
      <c r="AV192" s="128"/>
      <c r="AW192" s="128"/>
      <c r="AX192" s="128"/>
      <c r="AY192" s="128"/>
      <c r="AZ192" s="128"/>
      <c r="BA192" s="128"/>
      <c r="BB192" s="128"/>
      <c r="BC192" s="128"/>
      <c r="BD192" s="128"/>
      <c r="BE192" s="128"/>
      <c r="BF192" s="128"/>
      <c r="BG192" s="128"/>
      <c r="BH192" s="128"/>
      <c r="BI192" s="128"/>
      <c r="BJ192" s="128"/>
      <c r="BK192" s="128"/>
      <c r="BL192" s="128"/>
      <c r="BM192" s="128"/>
      <c r="BN192" s="128"/>
      <c r="BO192" s="128"/>
      <c r="BP192" s="128"/>
      <c r="BQ192" s="128"/>
    </row>
    <row r="193" spans="1:69" ht="14.25" customHeight="1">
      <c r="A193" s="128"/>
      <c r="B193" s="128"/>
      <c r="C193" s="128"/>
      <c r="D193" s="128"/>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28"/>
      <c r="AA193" s="128"/>
      <c r="AB193" s="128"/>
      <c r="AC193" s="128"/>
      <c r="AD193" s="128"/>
      <c r="AE193" s="128"/>
      <c r="AF193" s="128"/>
      <c r="AG193" s="128"/>
      <c r="AH193" s="128"/>
      <c r="AI193" s="128"/>
      <c r="AJ193" s="128"/>
      <c r="AK193" s="128"/>
      <c r="AL193" s="128"/>
      <c r="AM193" s="128"/>
      <c r="AN193" s="128"/>
      <c r="AO193" s="128"/>
      <c r="AP193" s="128"/>
      <c r="AQ193" s="128"/>
      <c r="AR193" s="128"/>
      <c r="AS193" s="128"/>
      <c r="AT193" s="128"/>
      <c r="AU193" s="128"/>
      <c r="AV193" s="128"/>
      <c r="AW193" s="128"/>
      <c r="AX193" s="128"/>
      <c r="AY193" s="128"/>
      <c r="AZ193" s="128"/>
      <c r="BA193" s="128"/>
      <c r="BB193" s="128"/>
      <c r="BC193" s="128"/>
      <c r="BD193" s="128"/>
      <c r="BE193" s="128"/>
      <c r="BF193" s="128"/>
      <c r="BG193" s="128"/>
      <c r="BH193" s="128"/>
      <c r="BI193" s="128"/>
      <c r="BJ193" s="128"/>
      <c r="BK193" s="128"/>
      <c r="BL193" s="128"/>
      <c r="BM193" s="128"/>
      <c r="BN193" s="128"/>
      <c r="BO193" s="128"/>
      <c r="BP193" s="128"/>
      <c r="BQ193" s="128"/>
    </row>
    <row r="194" spans="1:69" ht="14.25" customHeight="1">
      <c r="A194" s="128"/>
      <c r="B194" s="128"/>
      <c r="C194" s="128"/>
      <c r="D194" s="128"/>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c r="AA194" s="128"/>
      <c r="AB194" s="128"/>
      <c r="AC194" s="128"/>
      <c r="AD194" s="128"/>
      <c r="AE194" s="128"/>
      <c r="AF194" s="128"/>
      <c r="AG194" s="128"/>
      <c r="AH194" s="128"/>
      <c r="AI194" s="128"/>
      <c r="AJ194" s="128"/>
      <c r="AK194" s="128"/>
      <c r="AL194" s="128"/>
      <c r="AM194" s="128"/>
      <c r="AN194" s="128"/>
      <c r="AO194" s="128"/>
      <c r="AP194" s="128"/>
      <c r="AQ194" s="128"/>
      <c r="AR194" s="128"/>
      <c r="AS194" s="128"/>
      <c r="AT194" s="128"/>
      <c r="AU194" s="128"/>
      <c r="AV194" s="128"/>
      <c r="AW194" s="128"/>
      <c r="AX194" s="128"/>
      <c r="AY194" s="128"/>
      <c r="AZ194" s="128"/>
      <c r="BA194" s="128"/>
      <c r="BB194" s="128"/>
      <c r="BC194" s="128"/>
      <c r="BD194" s="128"/>
      <c r="BE194" s="128"/>
      <c r="BF194" s="128"/>
      <c r="BG194" s="128"/>
      <c r="BH194" s="128"/>
      <c r="BI194" s="128"/>
      <c r="BJ194" s="128"/>
      <c r="BK194" s="128"/>
      <c r="BL194" s="128"/>
      <c r="BM194" s="128"/>
      <c r="BN194" s="128"/>
      <c r="BO194" s="128"/>
      <c r="BP194" s="128"/>
      <c r="BQ194" s="128"/>
    </row>
    <row r="195" spans="1:69" ht="14.25" customHeight="1">
      <c r="A195" s="128"/>
      <c r="B195" s="128"/>
      <c r="C195" s="128"/>
      <c r="D195" s="128"/>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28"/>
      <c r="AA195" s="128"/>
      <c r="AB195" s="128"/>
      <c r="AC195" s="128"/>
      <c r="AD195" s="128"/>
      <c r="AE195" s="128"/>
      <c r="AF195" s="128"/>
      <c r="AG195" s="128"/>
      <c r="AH195" s="128"/>
      <c r="AI195" s="128"/>
      <c r="AJ195" s="128"/>
      <c r="AK195" s="128"/>
      <c r="AL195" s="128"/>
      <c r="AM195" s="128"/>
      <c r="AN195" s="128"/>
      <c r="AO195" s="128"/>
      <c r="AP195" s="128"/>
      <c r="AQ195" s="128"/>
      <c r="AR195" s="128"/>
      <c r="AS195" s="128"/>
      <c r="AT195" s="128"/>
      <c r="AU195" s="128"/>
      <c r="AV195" s="128"/>
      <c r="AW195" s="128"/>
      <c r="AX195" s="128"/>
      <c r="AY195" s="128"/>
      <c r="AZ195" s="128"/>
      <c r="BA195" s="128"/>
      <c r="BB195" s="128"/>
      <c r="BC195" s="128"/>
      <c r="BD195" s="128"/>
      <c r="BE195" s="128"/>
      <c r="BF195" s="128"/>
      <c r="BG195" s="128"/>
      <c r="BH195" s="128"/>
      <c r="BI195" s="128"/>
      <c r="BJ195" s="128"/>
      <c r="BK195" s="128"/>
      <c r="BL195" s="128"/>
      <c r="BM195" s="128"/>
      <c r="BN195" s="128"/>
      <c r="BO195" s="128"/>
      <c r="BP195" s="128"/>
      <c r="BQ195" s="128"/>
    </row>
    <row r="196" spans="1:69" ht="14.25" customHeight="1">
      <c r="A196" s="128"/>
      <c r="B196" s="128"/>
      <c r="C196" s="128"/>
      <c r="D196" s="128"/>
      <c r="E196" s="128"/>
      <c r="F196" s="128"/>
      <c r="G196" s="128"/>
      <c r="H196" s="128"/>
      <c r="I196" s="128"/>
      <c r="J196" s="128"/>
      <c r="K196" s="128"/>
      <c r="L196" s="128"/>
      <c r="M196" s="128"/>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row>
    <row r="197" spans="1:69" ht="14.25" customHeight="1">
      <c r="A197" s="128"/>
      <c r="B197" s="128"/>
      <c r="C197" s="128"/>
      <c r="D197" s="128"/>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28"/>
      <c r="AA197" s="128"/>
      <c r="AB197" s="128"/>
      <c r="AC197" s="128"/>
      <c r="AD197" s="128"/>
      <c r="AE197" s="128"/>
      <c r="AF197" s="128"/>
      <c r="AG197" s="128"/>
      <c r="AH197" s="128"/>
      <c r="AI197" s="128"/>
      <c r="AJ197" s="128"/>
      <c r="AK197" s="128"/>
      <c r="AL197" s="128"/>
      <c r="AM197" s="128"/>
      <c r="AN197" s="128"/>
      <c r="AO197" s="128"/>
      <c r="AP197" s="128"/>
      <c r="AQ197" s="128"/>
      <c r="AR197" s="128"/>
      <c r="AS197" s="128"/>
      <c r="AT197" s="128"/>
      <c r="AU197" s="128"/>
      <c r="AV197" s="128"/>
      <c r="AW197" s="128"/>
      <c r="AX197" s="128"/>
      <c r="AY197" s="128"/>
      <c r="AZ197" s="128"/>
      <c r="BA197" s="128"/>
      <c r="BB197" s="128"/>
      <c r="BC197" s="128"/>
      <c r="BD197" s="128"/>
      <c r="BE197" s="128"/>
      <c r="BF197" s="128"/>
      <c r="BG197" s="128"/>
      <c r="BH197" s="128"/>
      <c r="BI197" s="128"/>
      <c r="BJ197" s="128"/>
      <c r="BK197" s="128"/>
      <c r="BL197" s="128"/>
      <c r="BM197" s="128"/>
      <c r="BN197" s="128"/>
      <c r="BO197" s="128"/>
      <c r="BP197" s="128"/>
      <c r="BQ197" s="128"/>
    </row>
    <row r="198" spans="1:69" ht="14.25" customHeight="1">
      <c r="A198" s="128"/>
      <c r="B198" s="128"/>
      <c r="C198" s="128"/>
      <c r="D198" s="128"/>
      <c r="E198" s="128"/>
      <c r="F198" s="128"/>
      <c r="G198" s="128"/>
      <c r="H198" s="128"/>
      <c r="I198" s="128"/>
      <c r="J198" s="128"/>
      <c r="K198" s="128"/>
      <c r="L198" s="128"/>
      <c r="M198" s="128"/>
      <c r="N198" s="128"/>
      <c r="O198" s="128"/>
      <c r="P198" s="128"/>
      <c r="Q198" s="128"/>
      <c r="R198" s="128"/>
      <c r="S198" s="128"/>
      <c r="T198" s="128"/>
      <c r="U198" s="128"/>
      <c r="V198" s="128"/>
      <c r="W198" s="128"/>
      <c r="X198" s="128"/>
      <c r="Y198" s="128"/>
      <c r="Z198" s="128"/>
      <c r="AA198" s="128"/>
      <c r="AB198" s="128"/>
      <c r="AC198" s="128"/>
      <c r="AD198" s="128"/>
      <c r="AE198" s="128"/>
      <c r="AF198" s="128"/>
      <c r="AG198" s="128"/>
      <c r="AH198" s="128"/>
      <c r="AI198" s="128"/>
      <c r="AJ198" s="128"/>
      <c r="AK198" s="128"/>
      <c r="AL198" s="128"/>
      <c r="AM198" s="128"/>
      <c r="AN198" s="128"/>
      <c r="AO198" s="128"/>
      <c r="AP198" s="128"/>
      <c r="AQ198" s="128"/>
      <c r="AR198" s="128"/>
      <c r="AS198" s="128"/>
      <c r="AT198" s="128"/>
      <c r="AU198" s="128"/>
      <c r="AV198" s="128"/>
      <c r="AW198" s="128"/>
      <c r="AX198" s="128"/>
      <c r="AY198" s="128"/>
      <c r="AZ198" s="128"/>
      <c r="BA198" s="128"/>
      <c r="BB198" s="128"/>
      <c r="BC198" s="128"/>
      <c r="BD198" s="128"/>
      <c r="BE198" s="128"/>
      <c r="BF198" s="128"/>
      <c r="BG198" s="128"/>
      <c r="BH198" s="128"/>
      <c r="BI198" s="128"/>
      <c r="BJ198" s="128"/>
      <c r="BK198" s="128"/>
      <c r="BL198" s="128"/>
      <c r="BM198" s="128"/>
      <c r="BN198" s="128"/>
      <c r="BO198" s="128"/>
      <c r="BP198" s="128"/>
      <c r="BQ198" s="128"/>
    </row>
    <row r="199" spans="1:69" ht="14.25" customHeight="1">
      <c r="A199" s="128"/>
      <c r="B199" s="128"/>
      <c r="C199" s="128"/>
      <c r="D199" s="128"/>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28"/>
      <c r="AA199" s="128"/>
      <c r="AB199" s="128"/>
      <c r="AC199" s="128"/>
      <c r="AD199" s="128"/>
      <c r="AE199" s="128"/>
      <c r="AF199" s="128"/>
      <c r="AG199" s="128"/>
      <c r="AH199" s="128"/>
      <c r="AI199" s="128"/>
      <c r="AJ199" s="128"/>
      <c r="AK199" s="128"/>
      <c r="AL199" s="128"/>
      <c r="AM199" s="128"/>
      <c r="AN199" s="128"/>
      <c r="AO199" s="128"/>
      <c r="AP199" s="128"/>
      <c r="AQ199" s="128"/>
      <c r="AR199" s="128"/>
      <c r="AS199" s="128"/>
      <c r="AT199" s="128"/>
      <c r="AU199" s="128"/>
      <c r="AV199" s="128"/>
      <c r="AW199" s="128"/>
      <c r="AX199" s="128"/>
      <c r="AY199" s="128"/>
      <c r="AZ199" s="128"/>
      <c r="BA199" s="128"/>
      <c r="BB199" s="128"/>
      <c r="BC199" s="128"/>
      <c r="BD199" s="128"/>
      <c r="BE199" s="128"/>
      <c r="BF199" s="128"/>
      <c r="BG199" s="128"/>
      <c r="BH199" s="128"/>
      <c r="BI199" s="128"/>
      <c r="BJ199" s="128"/>
      <c r="BK199" s="128"/>
      <c r="BL199" s="128"/>
      <c r="BM199" s="128"/>
      <c r="BN199" s="128"/>
      <c r="BO199" s="128"/>
      <c r="BP199" s="128"/>
      <c r="BQ199" s="128"/>
    </row>
    <row r="200" spans="1:69" ht="14.25" customHeight="1">
      <c r="A200" s="128"/>
      <c r="B200" s="128"/>
      <c r="C200" s="128"/>
      <c r="D200" s="128"/>
      <c r="E200" s="128"/>
      <c r="F200" s="128"/>
      <c r="G200" s="128"/>
      <c r="H200" s="128"/>
      <c r="I200" s="128"/>
      <c r="J200" s="128"/>
      <c r="K200" s="128"/>
      <c r="L200" s="128"/>
      <c r="M200" s="128"/>
      <c r="N200" s="128"/>
      <c r="O200" s="128"/>
      <c r="P200" s="128"/>
      <c r="Q200" s="128"/>
      <c r="R200" s="128"/>
      <c r="S200" s="128"/>
      <c r="T200" s="128"/>
      <c r="U200" s="128"/>
      <c r="V200" s="128"/>
      <c r="W200" s="128"/>
      <c r="X200" s="128"/>
      <c r="Y200" s="128"/>
      <c r="Z200" s="128"/>
      <c r="AA200" s="128"/>
      <c r="AB200" s="128"/>
      <c r="AC200" s="128"/>
      <c r="AD200" s="128"/>
      <c r="AE200" s="128"/>
      <c r="AF200" s="128"/>
      <c r="AG200" s="128"/>
      <c r="AH200" s="128"/>
      <c r="AI200" s="128"/>
      <c r="AJ200" s="128"/>
      <c r="AK200" s="128"/>
      <c r="AL200" s="128"/>
      <c r="AM200" s="128"/>
      <c r="AN200" s="128"/>
      <c r="AO200" s="128"/>
      <c r="AP200" s="128"/>
      <c r="AQ200" s="128"/>
      <c r="AR200" s="128"/>
      <c r="AS200" s="128"/>
      <c r="AT200" s="128"/>
      <c r="AU200" s="128"/>
      <c r="AV200" s="128"/>
      <c r="AW200" s="128"/>
      <c r="AX200" s="128"/>
      <c r="AY200" s="128"/>
      <c r="AZ200" s="128"/>
      <c r="BA200" s="128"/>
      <c r="BB200" s="128"/>
      <c r="BC200" s="128"/>
      <c r="BD200" s="128"/>
      <c r="BE200" s="128"/>
      <c r="BF200" s="128"/>
      <c r="BG200" s="128"/>
      <c r="BH200" s="128"/>
      <c r="BI200" s="128"/>
      <c r="BJ200" s="128"/>
      <c r="BK200" s="128"/>
      <c r="BL200" s="128"/>
      <c r="BM200" s="128"/>
      <c r="BN200" s="128"/>
      <c r="BO200" s="128"/>
      <c r="BP200" s="128"/>
      <c r="BQ200" s="128"/>
    </row>
    <row r="201" spans="1:69" ht="14.25" customHeight="1">
      <c r="A201" s="128"/>
      <c r="B201" s="128"/>
      <c r="C201" s="128"/>
      <c r="D201" s="128"/>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28"/>
      <c r="AA201" s="128"/>
      <c r="AB201" s="128"/>
      <c r="AC201" s="128"/>
      <c r="AD201" s="128"/>
      <c r="AE201" s="128"/>
      <c r="AF201" s="128"/>
      <c r="AG201" s="128"/>
      <c r="AH201" s="128"/>
      <c r="AI201" s="128"/>
      <c r="AJ201" s="128"/>
      <c r="AK201" s="128"/>
      <c r="AL201" s="128"/>
      <c r="AM201" s="128"/>
      <c r="AN201" s="128"/>
      <c r="AO201" s="128"/>
      <c r="AP201" s="128"/>
      <c r="AQ201" s="128"/>
      <c r="AR201" s="128"/>
      <c r="AS201" s="128"/>
      <c r="AT201" s="128"/>
      <c r="AU201" s="128"/>
      <c r="AV201" s="128"/>
      <c r="AW201" s="128"/>
      <c r="AX201" s="128"/>
      <c r="AY201" s="128"/>
      <c r="AZ201" s="128"/>
      <c r="BA201" s="128"/>
      <c r="BB201" s="128"/>
      <c r="BC201" s="128"/>
      <c r="BD201" s="128"/>
      <c r="BE201" s="128"/>
      <c r="BF201" s="128"/>
      <c r="BG201" s="128"/>
      <c r="BH201" s="128"/>
      <c r="BI201" s="128"/>
      <c r="BJ201" s="128"/>
      <c r="BK201" s="128"/>
      <c r="BL201" s="128"/>
      <c r="BM201" s="128"/>
      <c r="BN201" s="128"/>
      <c r="BO201" s="128"/>
      <c r="BP201" s="128"/>
      <c r="BQ201" s="128"/>
    </row>
    <row r="202" spans="1:69" ht="14.25" customHeight="1">
      <c r="A202" s="128"/>
      <c r="B202" s="128"/>
      <c r="C202" s="128"/>
      <c r="D202" s="128"/>
      <c r="E202" s="128"/>
      <c r="F202" s="128"/>
      <c r="G202" s="128"/>
      <c r="H202" s="128"/>
      <c r="I202" s="128"/>
      <c r="J202" s="128"/>
      <c r="K202" s="128"/>
      <c r="L202" s="128"/>
      <c r="M202" s="128"/>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row>
    <row r="203" spans="1:69" ht="14.25" customHeight="1">
      <c r="A203" s="128"/>
      <c r="B203" s="128"/>
      <c r="C203" s="128"/>
      <c r="D203" s="128"/>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28"/>
      <c r="AA203" s="128"/>
      <c r="AB203" s="128"/>
      <c r="AC203" s="128"/>
      <c r="AD203" s="128"/>
      <c r="AE203" s="128"/>
      <c r="AF203" s="128"/>
      <c r="AG203" s="128"/>
      <c r="AH203" s="128"/>
      <c r="AI203" s="128"/>
      <c r="AJ203" s="128"/>
      <c r="AK203" s="128"/>
      <c r="AL203" s="128"/>
      <c r="AM203" s="128"/>
      <c r="AN203" s="128"/>
      <c r="AO203" s="128"/>
      <c r="AP203" s="128"/>
      <c r="AQ203" s="128"/>
      <c r="AR203" s="128"/>
      <c r="AS203" s="128"/>
      <c r="AT203" s="128"/>
      <c r="AU203" s="128"/>
      <c r="AV203" s="128"/>
      <c r="AW203" s="128"/>
      <c r="AX203" s="128"/>
      <c r="AY203" s="128"/>
      <c r="AZ203" s="128"/>
      <c r="BA203" s="128"/>
      <c r="BB203" s="128"/>
      <c r="BC203" s="128"/>
      <c r="BD203" s="128"/>
      <c r="BE203" s="128"/>
      <c r="BF203" s="128"/>
      <c r="BG203" s="128"/>
      <c r="BH203" s="128"/>
      <c r="BI203" s="128"/>
      <c r="BJ203" s="128"/>
      <c r="BK203" s="128"/>
      <c r="BL203" s="128"/>
      <c r="BM203" s="128"/>
      <c r="BN203" s="128"/>
      <c r="BO203" s="128"/>
      <c r="BP203" s="128"/>
      <c r="BQ203" s="128"/>
    </row>
    <row r="204" spans="1:69" ht="14.25" customHeight="1">
      <c r="A204" s="128"/>
      <c r="B204" s="128"/>
      <c r="C204" s="128"/>
      <c r="D204" s="128"/>
      <c r="E204" s="128"/>
      <c r="F204" s="128"/>
      <c r="G204" s="128"/>
      <c r="H204" s="128"/>
      <c r="I204" s="128"/>
      <c r="J204" s="128"/>
      <c r="K204" s="128"/>
      <c r="L204" s="128"/>
      <c r="M204" s="128"/>
      <c r="N204" s="128"/>
      <c r="O204" s="128"/>
      <c r="P204" s="128"/>
      <c r="Q204" s="128"/>
      <c r="R204" s="128"/>
      <c r="S204" s="128"/>
      <c r="T204" s="128"/>
      <c r="U204" s="128"/>
      <c r="V204" s="128"/>
      <c r="W204" s="128"/>
      <c r="X204" s="128"/>
      <c r="Y204" s="128"/>
      <c r="Z204" s="128"/>
      <c r="AA204" s="128"/>
      <c r="AB204" s="128"/>
      <c r="AC204" s="128"/>
      <c r="AD204" s="128"/>
      <c r="AE204" s="128"/>
      <c r="AF204" s="128"/>
      <c r="AG204" s="128"/>
      <c r="AH204" s="128"/>
      <c r="AI204" s="128"/>
      <c r="AJ204" s="128"/>
      <c r="AK204" s="128"/>
      <c r="AL204" s="128"/>
      <c r="AM204" s="128"/>
      <c r="AN204" s="128"/>
      <c r="AO204" s="128"/>
      <c r="AP204" s="128"/>
      <c r="AQ204" s="128"/>
      <c r="AR204" s="128"/>
      <c r="AS204" s="128"/>
      <c r="AT204" s="128"/>
      <c r="AU204" s="128"/>
      <c r="AV204" s="128"/>
      <c r="AW204" s="128"/>
      <c r="AX204" s="128"/>
      <c r="AY204" s="128"/>
      <c r="AZ204" s="128"/>
      <c r="BA204" s="128"/>
      <c r="BB204" s="128"/>
      <c r="BC204" s="128"/>
      <c r="BD204" s="128"/>
      <c r="BE204" s="128"/>
      <c r="BF204" s="128"/>
      <c r="BG204" s="128"/>
      <c r="BH204" s="128"/>
      <c r="BI204" s="128"/>
      <c r="BJ204" s="128"/>
      <c r="BK204" s="128"/>
      <c r="BL204" s="128"/>
      <c r="BM204" s="128"/>
      <c r="BN204" s="128"/>
      <c r="BO204" s="128"/>
      <c r="BP204" s="128"/>
      <c r="BQ204" s="128"/>
    </row>
    <row r="205" spans="1:69" ht="14.25" customHeight="1">
      <c r="A205" s="128"/>
      <c r="B205" s="128"/>
      <c r="C205" s="128"/>
      <c r="D205" s="128"/>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28"/>
      <c r="AA205" s="128"/>
      <c r="AB205" s="128"/>
      <c r="AC205" s="128"/>
      <c r="AD205" s="128"/>
      <c r="AE205" s="128"/>
      <c r="AF205" s="128"/>
      <c r="AG205" s="128"/>
      <c r="AH205" s="128"/>
      <c r="AI205" s="128"/>
      <c r="AJ205" s="128"/>
      <c r="AK205" s="128"/>
      <c r="AL205" s="128"/>
      <c r="AM205" s="128"/>
      <c r="AN205" s="128"/>
      <c r="AO205" s="128"/>
      <c r="AP205" s="128"/>
      <c r="AQ205" s="128"/>
      <c r="AR205" s="128"/>
      <c r="AS205" s="128"/>
      <c r="AT205" s="128"/>
      <c r="AU205" s="128"/>
      <c r="AV205" s="128"/>
      <c r="AW205" s="128"/>
      <c r="AX205" s="128"/>
      <c r="AY205" s="128"/>
      <c r="AZ205" s="128"/>
      <c r="BA205" s="128"/>
      <c r="BB205" s="128"/>
      <c r="BC205" s="128"/>
      <c r="BD205" s="128"/>
      <c r="BE205" s="128"/>
      <c r="BF205" s="128"/>
      <c r="BG205" s="128"/>
      <c r="BH205" s="128"/>
      <c r="BI205" s="128"/>
      <c r="BJ205" s="128"/>
      <c r="BK205" s="128"/>
      <c r="BL205" s="128"/>
      <c r="BM205" s="128"/>
      <c r="BN205" s="128"/>
      <c r="BO205" s="128"/>
      <c r="BP205" s="128"/>
      <c r="BQ205" s="128"/>
    </row>
    <row r="206" spans="1:69" ht="14.25" customHeight="1">
      <c r="A206" s="128"/>
      <c r="B206" s="128"/>
      <c r="C206" s="128"/>
      <c r="D206" s="128"/>
      <c r="E206" s="128"/>
      <c r="F206" s="128"/>
      <c r="G206" s="128"/>
      <c r="H206" s="128"/>
      <c r="I206" s="128"/>
      <c r="J206" s="128"/>
      <c r="K206" s="128"/>
      <c r="L206" s="128"/>
      <c r="M206" s="128"/>
      <c r="N206" s="128"/>
      <c r="O206" s="128"/>
      <c r="P206" s="128"/>
      <c r="Q206" s="128"/>
      <c r="R206" s="128"/>
      <c r="S206" s="128"/>
      <c r="T206" s="128"/>
      <c r="U206" s="128"/>
      <c r="V206" s="128"/>
      <c r="W206" s="128"/>
      <c r="X206" s="128"/>
      <c r="Y206" s="128"/>
      <c r="Z206" s="128"/>
      <c r="AA206" s="128"/>
      <c r="AB206" s="128"/>
      <c r="AC206" s="128"/>
      <c r="AD206" s="128"/>
      <c r="AE206" s="128"/>
      <c r="AF206" s="128"/>
      <c r="AG206" s="128"/>
      <c r="AH206" s="128"/>
      <c r="AI206" s="128"/>
      <c r="AJ206" s="128"/>
      <c r="AK206" s="128"/>
      <c r="AL206" s="128"/>
      <c r="AM206" s="128"/>
      <c r="AN206" s="128"/>
      <c r="AO206" s="128"/>
      <c r="AP206" s="128"/>
      <c r="AQ206" s="128"/>
      <c r="AR206" s="128"/>
      <c r="AS206" s="128"/>
      <c r="AT206" s="128"/>
      <c r="AU206" s="128"/>
      <c r="AV206" s="128"/>
      <c r="AW206" s="128"/>
      <c r="AX206" s="128"/>
      <c r="AY206" s="128"/>
      <c r="AZ206" s="128"/>
      <c r="BA206" s="128"/>
      <c r="BB206" s="128"/>
      <c r="BC206" s="128"/>
      <c r="BD206" s="128"/>
      <c r="BE206" s="128"/>
      <c r="BF206" s="128"/>
      <c r="BG206" s="128"/>
      <c r="BH206" s="128"/>
      <c r="BI206" s="128"/>
      <c r="BJ206" s="128"/>
      <c r="BK206" s="128"/>
      <c r="BL206" s="128"/>
      <c r="BM206" s="128"/>
      <c r="BN206" s="128"/>
      <c r="BO206" s="128"/>
      <c r="BP206" s="128"/>
      <c r="BQ206" s="128"/>
    </row>
    <row r="207" spans="1:69" ht="14.25" customHeight="1">
      <c r="A207" s="128"/>
      <c r="B207" s="128"/>
      <c r="C207" s="128"/>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c r="AA207" s="128"/>
      <c r="AB207" s="128"/>
      <c r="AC207" s="128"/>
      <c r="AD207" s="128"/>
      <c r="AE207" s="128"/>
      <c r="AF207" s="128"/>
      <c r="AG207" s="128"/>
      <c r="AH207" s="128"/>
      <c r="AI207" s="128"/>
      <c r="AJ207" s="128"/>
      <c r="AK207" s="128"/>
      <c r="AL207" s="128"/>
      <c r="AM207" s="128"/>
      <c r="AN207" s="128"/>
      <c r="AO207" s="128"/>
      <c r="AP207" s="128"/>
      <c r="AQ207" s="128"/>
      <c r="AR207" s="128"/>
      <c r="AS207" s="128"/>
      <c r="AT207" s="128"/>
      <c r="AU207" s="128"/>
      <c r="AV207" s="128"/>
      <c r="AW207" s="128"/>
      <c r="AX207" s="128"/>
      <c r="AY207" s="128"/>
      <c r="AZ207" s="128"/>
      <c r="BA207" s="128"/>
      <c r="BB207" s="128"/>
      <c r="BC207" s="128"/>
      <c r="BD207" s="128"/>
      <c r="BE207" s="128"/>
      <c r="BF207" s="128"/>
      <c r="BG207" s="128"/>
      <c r="BH207" s="128"/>
      <c r="BI207" s="128"/>
      <c r="BJ207" s="128"/>
      <c r="BK207" s="128"/>
      <c r="BL207" s="128"/>
      <c r="BM207" s="128"/>
      <c r="BN207" s="128"/>
      <c r="BO207" s="128"/>
      <c r="BP207" s="128"/>
      <c r="BQ207" s="128"/>
    </row>
    <row r="208" spans="1:69" ht="14.25" customHeight="1">
      <c r="A208" s="128"/>
      <c r="B208" s="128"/>
      <c r="C208" s="128"/>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row>
    <row r="209" spans="1:69" ht="14.25" customHeight="1">
      <c r="A209" s="128"/>
      <c r="B209" s="128"/>
      <c r="C209" s="128"/>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c r="AA209" s="128"/>
      <c r="AB209" s="128"/>
      <c r="AC209" s="128"/>
      <c r="AD209" s="128"/>
      <c r="AE209" s="128"/>
      <c r="AF209" s="128"/>
      <c r="AG209" s="128"/>
      <c r="AH209" s="128"/>
      <c r="AI209" s="128"/>
      <c r="AJ209" s="128"/>
      <c r="AK209" s="128"/>
      <c r="AL209" s="128"/>
      <c r="AM209" s="128"/>
      <c r="AN209" s="128"/>
      <c r="AO209" s="128"/>
      <c r="AP209" s="128"/>
      <c r="AQ209" s="128"/>
      <c r="AR209" s="128"/>
      <c r="AS209" s="128"/>
      <c r="AT209" s="128"/>
      <c r="AU209" s="128"/>
      <c r="AV209" s="128"/>
      <c r="AW209" s="128"/>
      <c r="AX209" s="128"/>
      <c r="AY209" s="128"/>
      <c r="AZ209" s="128"/>
      <c r="BA209" s="128"/>
      <c r="BB209" s="128"/>
      <c r="BC209" s="128"/>
      <c r="BD209" s="128"/>
      <c r="BE209" s="128"/>
      <c r="BF209" s="128"/>
      <c r="BG209" s="128"/>
      <c r="BH209" s="128"/>
      <c r="BI209" s="128"/>
      <c r="BJ209" s="128"/>
      <c r="BK209" s="128"/>
      <c r="BL209" s="128"/>
      <c r="BM209" s="128"/>
      <c r="BN209" s="128"/>
      <c r="BO209" s="128"/>
      <c r="BP209" s="128"/>
      <c r="BQ209" s="128"/>
    </row>
    <row r="210" spans="1:69" ht="14.25" customHeight="1">
      <c r="A210" s="128"/>
      <c r="B210" s="128"/>
      <c r="C210" s="128"/>
      <c r="D210" s="128"/>
      <c r="E210" s="128"/>
      <c r="F210" s="128"/>
      <c r="G210" s="128"/>
      <c r="H210" s="128"/>
      <c r="I210" s="128"/>
      <c r="J210" s="128"/>
      <c r="K210" s="128"/>
      <c r="L210" s="128"/>
      <c r="M210" s="128"/>
      <c r="N210" s="128"/>
      <c r="O210" s="128"/>
      <c r="P210" s="128"/>
      <c r="Q210" s="128"/>
      <c r="R210" s="128"/>
      <c r="S210" s="128"/>
      <c r="T210" s="128"/>
      <c r="U210" s="128"/>
      <c r="V210" s="128"/>
      <c r="W210" s="128"/>
      <c r="X210" s="128"/>
      <c r="Y210" s="128"/>
      <c r="Z210" s="128"/>
      <c r="AA210" s="128"/>
      <c r="AB210" s="128"/>
      <c r="AC210" s="128"/>
      <c r="AD210" s="128"/>
      <c r="AE210" s="128"/>
      <c r="AF210" s="128"/>
      <c r="AG210" s="128"/>
      <c r="AH210" s="128"/>
      <c r="AI210" s="128"/>
      <c r="AJ210" s="128"/>
      <c r="AK210" s="128"/>
      <c r="AL210" s="128"/>
      <c r="AM210" s="128"/>
      <c r="AN210" s="128"/>
      <c r="AO210" s="128"/>
      <c r="AP210" s="128"/>
      <c r="AQ210" s="128"/>
      <c r="AR210" s="128"/>
      <c r="AS210" s="128"/>
      <c r="AT210" s="128"/>
      <c r="AU210" s="128"/>
      <c r="AV210" s="128"/>
      <c r="AW210" s="128"/>
      <c r="AX210" s="128"/>
      <c r="AY210" s="128"/>
      <c r="AZ210" s="128"/>
      <c r="BA210" s="128"/>
      <c r="BB210" s="128"/>
      <c r="BC210" s="128"/>
      <c r="BD210" s="128"/>
      <c r="BE210" s="128"/>
      <c r="BF210" s="128"/>
      <c r="BG210" s="128"/>
      <c r="BH210" s="128"/>
      <c r="BI210" s="128"/>
      <c r="BJ210" s="128"/>
      <c r="BK210" s="128"/>
      <c r="BL210" s="128"/>
      <c r="BM210" s="128"/>
      <c r="BN210" s="128"/>
      <c r="BO210" s="128"/>
      <c r="BP210" s="128"/>
      <c r="BQ210" s="128"/>
    </row>
    <row r="211" spans="1:69" ht="14.25" customHeight="1">
      <c r="A211" s="128"/>
      <c r="B211" s="128"/>
      <c r="C211" s="128"/>
      <c r="D211" s="128"/>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28"/>
      <c r="AA211" s="128"/>
      <c r="AB211" s="128"/>
      <c r="AC211" s="128"/>
      <c r="AD211" s="128"/>
      <c r="AE211" s="128"/>
      <c r="AF211" s="128"/>
      <c r="AG211" s="128"/>
      <c r="AH211" s="128"/>
      <c r="AI211" s="128"/>
      <c r="AJ211" s="128"/>
      <c r="AK211" s="128"/>
      <c r="AL211" s="128"/>
      <c r="AM211" s="128"/>
      <c r="AN211" s="128"/>
      <c r="AO211" s="128"/>
      <c r="AP211" s="128"/>
      <c r="AQ211" s="128"/>
      <c r="AR211" s="128"/>
      <c r="AS211" s="128"/>
      <c r="AT211" s="128"/>
      <c r="AU211" s="128"/>
      <c r="AV211" s="128"/>
      <c r="AW211" s="128"/>
      <c r="AX211" s="128"/>
      <c r="AY211" s="128"/>
      <c r="AZ211" s="128"/>
      <c r="BA211" s="128"/>
      <c r="BB211" s="128"/>
      <c r="BC211" s="128"/>
      <c r="BD211" s="128"/>
      <c r="BE211" s="128"/>
      <c r="BF211" s="128"/>
      <c r="BG211" s="128"/>
      <c r="BH211" s="128"/>
      <c r="BI211" s="128"/>
      <c r="BJ211" s="128"/>
      <c r="BK211" s="128"/>
      <c r="BL211" s="128"/>
      <c r="BM211" s="128"/>
      <c r="BN211" s="128"/>
      <c r="BO211" s="128"/>
      <c r="BP211" s="128"/>
      <c r="BQ211" s="128"/>
    </row>
    <row r="212" spans="1:69" ht="14.25" customHeight="1">
      <c r="A212" s="128"/>
      <c r="B212" s="128"/>
      <c r="C212" s="128"/>
      <c r="D212" s="128"/>
      <c r="E212" s="128"/>
      <c r="F212" s="128"/>
      <c r="G212" s="128"/>
      <c r="H212" s="128"/>
      <c r="I212" s="128"/>
      <c r="J212" s="128"/>
      <c r="K212" s="128"/>
      <c r="L212" s="128"/>
      <c r="M212" s="128"/>
      <c r="N212" s="128"/>
      <c r="O212" s="128"/>
      <c r="P212" s="128"/>
      <c r="Q212" s="128"/>
      <c r="R212" s="128"/>
      <c r="S212" s="128"/>
      <c r="T212" s="128"/>
      <c r="U212" s="128"/>
      <c r="V212" s="128"/>
      <c r="W212" s="128"/>
      <c r="X212" s="128"/>
      <c r="Y212" s="128"/>
      <c r="Z212" s="128"/>
      <c r="AA212" s="128"/>
      <c r="AB212" s="128"/>
      <c r="AC212" s="128"/>
      <c r="AD212" s="128"/>
      <c r="AE212" s="128"/>
      <c r="AF212" s="128"/>
      <c r="AG212" s="128"/>
      <c r="AH212" s="128"/>
      <c r="AI212" s="128"/>
      <c r="AJ212" s="128"/>
      <c r="AK212" s="128"/>
      <c r="AL212" s="128"/>
      <c r="AM212" s="128"/>
      <c r="AN212" s="128"/>
      <c r="AO212" s="128"/>
      <c r="AP212" s="128"/>
      <c r="AQ212" s="128"/>
      <c r="AR212" s="128"/>
      <c r="AS212" s="128"/>
      <c r="AT212" s="128"/>
      <c r="AU212" s="128"/>
      <c r="AV212" s="128"/>
      <c r="AW212" s="128"/>
      <c r="AX212" s="128"/>
      <c r="AY212" s="128"/>
      <c r="AZ212" s="128"/>
      <c r="BA212" s="128"/>
      <c r="BB212" s="128"/>
      <c r="BC212" s="128"/>
      <c r="BD212" s="128"/>
      <c r="BE212" s="128"/>
      <c r="BF212" s="128"/>
      <c r="BG212" s="128"/>
      <c r="BH212" s="128"/>
      <c r="BI212" s="128"/>
      <c r="BJ212" s="128"/>
      <c r="BK212" s="128"/>
      <c r="BL212" s="128"/>
      <c r="BM212" s="128"/>
      <c r="BN212" s="128"/>
      <c r="BO212" s="128"/>
      <c r="BP212" s="128"/>
      <c r="BQ212" s="128"/>
    </row>
    <row r="213" spans="1:69" ht="14.25" customHeight="1">
      <c r="A213" s="128"/>
      <c r="B213" s="128"/>
      <c r="C213" s="128"/>
      <c r="D213" s="128"/>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28"/>
      <c r="AA213" s="128"/>
      <c r="AB213" s="128"/>
      <c r="AC213" s="128"/>
      <c r="AD213" s="128"/>
      <c r="AE213" s="128"/>
      <c r="AF213" s="128"/>
      <c r="AG213" s="128"/>
      <c r="AH213" s="128"/>
      <c r="AI213" s="128"/>
      <c r="AJ213" s="128"/>
      <c r="AK213" s="128"/>
      <c r="AL213" s="128"/>
      <c r="AM213" s="128"/>
      <c r="AN213" s="128"/>
      <c r="AO213" s="128"/>
      <c r="AP213" s="128"/>
      <c r="AQ213" s="128"/>
      <c r="AR213" s="128"/>
      <c r="AS213" s="128"/>
      <c r="AT213" s="128"/>
      <c r="AU213" s="128"/>
      <c r="AV213" s="128"/>
      <c r="AW213" s="128"/>
      <c r="AX213" s="128"/>
      <c r="AY213" s="128"/>
      <c r="AZ213" s="128"/>
      <c r="BA213" s="128"/>
      <c r="BB213" s="128"/>
      <c r="BC213" s="128"/>
      <c r="BD213" s="128"/>
      <c r="BE213" s="128"/>
      <c r="BF213" s="128"/>
      <c r="BG213" s="128"/>
      <c r="BH213" s="128"/>
      <c r="BI213" s="128"/>
      <c r="BJ213" s="128"/>
      <c r="BK213" s="128"/>
      <c r="BL213" s="128"/>
      <c r="BM213" s="128"/>
      <c r="BN213" s="128"/>
      <c r="BO213" s="128"/>
      <c r="BP213" s="128"/>
      <c r="BQ213" s="128"/>
    </row>
    <row r="214" spans="1:69" ht="14.25" customHeight="1">
      <c r="A214" s="128"/>
      <c r="B214" s="128"/>
      <c r="C214" s="128"/>
      <c r="D214" s="128"/>
      <c r="E214" s="128"/>
      <c r="F214" s="128"/>
      <c r="G214" s="128"/>
      <c r="H214" s="128"/>
      <c r="I214" s="128"/>
      <c r="J214" s="128"/>
      <c r="K214" s="128"/>
      <c r="L214" s="128"/>
      <c r="M214" s="128"/>
      <c r="N214" s="128"/>
      <c r="O214" s="128"/>
      <c r="P214" s="128"/>
      <c r="Q214" s="128"/>
      <c r="R214" s="128"/>
      <c r="S214" s="128"/>
      <c r="T214" s="128"/>
      <c r="U214" s="128"/>
      <c r="V214" s="128"/>
      <c r="W214" s="128"/>
      <c r="X214" s="128"/>
      <c r="Y214" s="128"/>
      <c r="Z214" s="128"/>
      <c r="AA214" s="128"/>
      <c r="AB214" s="128"/>
      <c r="AC214" s="128"/>
      <c r="AD214" s="128"/>
      <c r="AE214" s="128"/>
      <c r="AF214" s="128"/>
      <c r="AG214" s="128"/>
      <c r="AH214" s="128"/>
      <c r="AI214" s="128"/>
      <c r="AJ214" s="128"/>
      <c r="AK214" s="128"/>
      <c r="AL214" s="128"/>
      <c r="AM214" s="128"/>
      <c r="AN214" s="128"/>
      <c r="AO214" s="128"/>
      <c r="AP214" s="128"/>
      <c r="AQ214" s="128"/>
      <c r="AR214" s="128"/>
      <c r="AS214" s="128"/>
      <c r="AT214" s="128"/>
      <c r="AU214" s="128"/>
      <c r="AV214" s="128"/>
      <c r="AW214" s="128"/>
      <c r="AX214" s="128"/>
      <c r="AY214" s="128"/>
      <c r="AZ214" s="128"/>
      <c r="BA214" s="128"/>
      <c r="BB214" s="128"/>
      <c r="BC214" s="128"/>
      <c r="BD214" s="128"/>
      <c r="BE214" s="128"/>
      <c r="BF214" s="128"/>
      <c r="BG214" s="128"/>
      <c r="BH214" s="128"/>
      <c r="BI214" s="128"/>
      <c r="BJ214" s="128"/>
      <c r="BK214" s="128"/>
      <c r="BL214" s="128"/>
      <c r="BM214" s="128"/>
      <c r="BN214" s="128"/>
      <c r="BO214" s="128"/>
      <c r="BP214" s="128"/>
      <c r="BQ214" s="128"/>
    </row>
    <row r="215" spans="1:69" ht="14.25" customHeight="1">
      <c r="A215" s="128"/>
      <c r="B215" s="128"/>
      <c r="C215" s="128"/>
      <c r="D215" s="128"/>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row>
    <row r="216" spans="1:69" ht="14.25" customHeight="1">
      <c r="A216" s="128"/>
      <c r="B216" s="128"/>
      <c r="C216" s="128"/>
      <c r="D216" s="128"/>
      <c r="E216" s="128"/>
      <c r="F216" s="128"/>
      <c r="G216" s="128"/>
      <c r="H216" s="128"/>
      <c r="I216" s="128"/>
      <c r="J216" s="128"/>
      <c r="K216" s="128"/>
      <c r="L216" s="128"/>
      <c r="M216" s="128"/>
      <c r="N216" s="128"/>
      <c r="O216" s="128"/>
      <c r="P216" s="128"/>
      <c r="Q216" s="128"/>
      <c r="R216" s="128"/>
      <c r="S216" s="128"/>
      <c r="T216" s="128"/>
      <c r="U216" s="128"/>
      <c r="V216" s="128"/>
      <c r="W216" s="128"/>
      <c r="X216" s="128"/>
      <c r="Y216" s="128"/>
      <c r="Z216" s="128"/>
      <c r="AA216" s="128"/>
      <c r="AB216" s="128"/>
      <c r="AC216" s="128"/>
      <c r="AD216" s="128"/>
      <c r="AE216" s="128"/>
      <c r="AF216" s="128"/>
      <c r="AG216" s="128"/>
      <c r="AH216" s="128"/>
      <c r="AI216" s="128"/>
      <c r="AJ216" s="128"/>
      <c r="AK216" s="128"/>
      <c r="AL216" s="128"/>
      <c r="AM216" s="128"/>
      <c r="AN216" s="128"/>
      <c r="AO216" s="128"/>
      <c r="AP216" s="128"/>
      <c r="AQ216" s="128"/>
      <c r="AR216" s="128"/>
      <c r="AS216" s="128"/>
      <c r="AT216" s="128"/>
      <c r="AU216" s="128"/>
      <c r="AV216" s="128"/>
      <c r="AW216" s="128"/>
      <c r="AX216" s="128"/>
      <c r="AY216" s="128"/>
      <c r="AZ216" s="128"/>
      <c r="BA216" s="128"/>
      <c r="BB216" s="128"/>
      <c r="BC216" s="128"/>
      <c r="BD216" s="128"/>
      <c r="BE216" s="128"/>
      <c r="BF216" s="128"/>
      <c r="BG216" s="128"/>
      <c r="BH216" s="128"/>
      <c r="BI216" s="128"/>
      <c r="BJ216" s="128"/>
      <c r="BK216" s="128"/>
      <c r="BL216" s="128"/>
      <c r="BM216" s="128"/>
      <c r="BN216" s="128"/>
      <c r="BO216" s="128"/>
      <c r="BP216" s="128"/>
      <c r="BQ216" s="128"/>
    </row>
    <row r="217" spans="1:69" ht="14.25" customHeight="1">
      <c r="A217" s="128"/>
      <c r="B217" s="128"/>
      <c r="C217" s="128"/>
      <c r="D217" s="128"/>
      <c r="E217" s="128"/>
      <c r="F217" s="128"/>
      <c r="G217" s="128"/>
      <c r="H217" s="128"/>
      <c r="I217" s="128"/>
      <c r="J217" s="128"/>
      <c r="K217" s="128"/>
      <c r="L217" s="128"/>
      <c r="M217" s="128"/>
      <c r="N217" s="128"/>
      <c r="O217" s="128"/>
      <c r="P217" s="128"/>
      <c r="Q217" s="128"/>
      <c r="R217" s="128"/>
      <c r="S217" s="128"/>
      <c r="T217" s="128"/>
      <c r="U217" s="128"/>
      <c r="V217" s="128"/>
      <c r="W217" s="128"/>
      <c r="X217" s="128"/>
      <c r="Y217" s="128"/>
      <c r="Z217" s="128"/>
      <c r="AA217" s="128"/>
      <c r="AB217" s="128"/>
      <c r="AC217" s="128"/>
      <c r="AD217" s="128"/>
      <c r="AE217" s="128"/>
      <c r="AF217" s="128"/>
      <c r="AG217" s="128"/>
      <c r="AH217" s="128"/>
      <c r="AI217" s="128"/>
      <c r="AJ217" s="128"/>
      <c r="AK217" s="128"/>
      <c r="AL217" s="128"/>
      <c r="AM217" s="128"/>
      <c r="AN217" s="128"/>
      <c r="AO217" s="128"/>
      <c r="AP217" s="128"/>
      <c r="AQ217" s="128"/>
      <c r="AR217" s="128"/>
      <c r="AS217" s="128"/>
      <c r="AT217" s="128"/>
      <c r="AU217" s="128"/>
      <c r="AV217" s="128"/>
      <c r="AW217" s="128"/>
      <c r="AX217" s="128"/>
      <c r="AY217" s="128"/>
      <c r="AZ217" s="128"/>
      <c r="BA217" s="128"/>
      <c r="BB217" s="128"/>
      <c r="BC217" s="128"/>
      <c r="BD217" s="128"/>
      <c r="BE217" s="128"/>
      <c r="BF217" s="128"/>
      <c r="BG217" s="128"/>
      <c r="BH217" s="128"/>
      <c r="BI217" s="128"/>
      <c r="BJ217" s="128"/>
      <c r="BK217" s="128"/>
      <c r="BL217" s="128"/>
      <c r="BM217" s="128"/>
      <c r="BN217" s="128"/>
      <c r="BO217" s="128"/>
      <c r="BP217" s="128"/>
      <c r="BQ217" s="128"/>
    </row>
    <row r="218" spans="1:69" ht="14.25" customHeight="1">
      <c r="A218" s="128"/>
      <c r="B218" s="128"/>
      <c r="C218" s="128"/>
      <c r="D218" s="128"/>
      <c r="E218" s="128"/>
      <c r="F218" s="128"/>
      <c r="G218" s="128"/>
      <c r="H218" s="128"/>
      <c r="I218" s="128"/>
      <c r="J218" s="128"/>
      <c r="K218" s="128"/>
      <c r="L218" s="128"/>
      <c r="M218" s="128"/>
      <c r="N218" s="128"/>
      <c r="O218" s="128"/>
      <c r="P218" s="128"/>
      <c r="Q218" s="128"/>
      <c r="R218" s="128"/>
      <c r="S218" s="128"/>
      <c r="T218" s="128"/>
      <c r="U218" s="128"/>
      <c r="V218" s="128"/>
      <c r="W218" s="128"/>
      <c r="X218" s="128"/>
      <c r="Y218" s="128"/>
      <c r="Z218" s="128"/>
      <c r="AA218" s="128"/>
      <c r="AB218" s="128"/>
      <c r="AC218" s="128"/>
      <c r="AD218" s="128"/>
      <c r="AE218" s="128"/>
      <c r="AF218" s="128"/>
      <c r="AG218" s="128"/>
      <c r="AH218" s="128"/>
      <c r="AI218" s="128"/>
      <c r="AJ218" s="128"/>
      <c r="AK218" s="128"/>
      <c r="AL218" s="128"/>
      <c r="AM218" s="128"/>
      <c r="AN218" s="128"/>
      <c r="AO218" s="128"/>
      <c r="AP218" s="128"/>
      <c r="AQ218" s="128"/>
      <c r="AR218" s="128"/>
      <c r="AS218" s="128"/>
      <c r="AT218" s="128"/>
      <c r="AU218" s="128"/>
      <c r="AV218" s="128"/>
      <c r="AW218" s="128"/>
      <c r="AX218" s="128"/>
      <c r="AY218" s="128"/>
      <c r="AZ218" s="128"/>
      <c r="BA218" s="128"/>
      <c r="BB218" s="128"/>
      <c r="BC218" s="128"/>
      <c r="BD218" s="128"/>
      <c r="BE218" s="128"/>
      <c r="BF218" s="128"/>
      <c r="BG218" s="128"/>
      <c r="BH218" s="128"/>
      <c r="BI218" s="128"/>
      <c r="BJ218" s="128"/>
      <c r="BK218" s="128"/>
      <c r="BL218" s="128"/>
      <c r="BM218" s="128"/>
      <c r="BN218" s="128"/>
      <c r="BO218" s="128"/>
      <c r="BP218" s="128"/>
      <c r="BQ218" s="128"/>
    </row>
    <row r="219" spans="1:69" ht="14.25" customHeight="1">
      <c r="A219" s="128"/>
      <c r="B219" s="128"/>
      <c r="C219" s="128"/>
      <c r="D219" s="128"/>
      <c r="E219" s="128"/>
      <c r="F219" s="128"/>
      <c r="G219" s="128"/>
      <c r="H219" s="128"/>
      <c r="I219" s="128"/>
      <c r="J219" s="128"/>
      <c r="K219" s="128"/>
      <c r="L219" s="128"/>
      <c r="M219" s="128"/>
      <c r="N219" s="128"/>
      <c r="O219" s="128"/>
      <c r="P219" s="128"/>
      <c r="Q219" s="128"/>
      <c r="R219" s="128"/>
      <c r="S219" s="128"/>
      <c r="T219" s="128"/>
      <c r="U219" s="128"/>
      <c r="V219" s="128"/>
      <c r="W219" s="128"/>
      <c r="X219" s="128"/>
      <c r="Y219" s="128"/>
      <c r="Z219" s="128"/>
      <c r="AA219" s="128"/>
      <c r="AB219" s="128"/>
      <c r="AC219" s="128"/>
      <c r="AD219" s="128"/>
      <c r="AE219" s="128"/>
      <c r="AF219" s="128"/>
      <c r="AG219" s="128"/>
      <c r="AH219" s="128"/>
      <c r="AI219" s="128"/>
      <c r="AJ219" s="128"/>
      <c r="AK219" s="128"/>
      <c r="AL219" s="128"/>
      <c r="AM219" s="128"/>
      <c r="AN219" s="128"/>
      <c r="AO219" s="128"/>
      <c r="AP219" s="128"/>
      <c r="AQ219" s="128"/>
      <c r="AR219" s="128"/>
      <c r="AS219" s="128"/>
      <c r="AT219" s="128"/>
      <c r="AU219" s="128"/>
      <c r="AV219" s="128"/>
      <c r="AW219" s="128"/>
      <c r="AX219" s="128"/>
      <c r="AY219" s="128"/>
      <c r="AZ219" s="128"/>
      <c r="BA219" s="128"/>
      <c r="BB219" s="128"/>
      <c r="BC219" s="128"/>
      <c r="BD219" s="128"/>
      <c r="BE219" s="128"/>
      <c r="BF219" s="128"/>
      <c r="BG219" s="128"/>
      <c r="BH219" s="128"/>
      <c r="BI219" s="128"/>
      <c r="BJ219" s="128"/>
      <c r="BK219" s="128"/>
      <c r="BL219" s="128"/>
      <c r="BM219" s="128"/>
      <c r="BN219" s="128"/>
      <c r="BO219" s="128"/>
      <c r="BP219" s="128"/>
      <c r="BQ219" s="128"/>
    </row>
    <row r="220" spans="1:69" ht="14.25" customHeight="1">
      <c r="A220" s="128"/>
      <c r="B220" s="128"/>
      <c r="C220" s="128"/>
      <c r="D220" s="128"/>
      <c r="E220" s="128"/>
      <c r="F220" s="128"/>
      <c r="G220" s="128"/>
      <c r="H220" s="128"/>
      <c r="I220" s="128"/>
      <c r="J220" s="128"/>
      <c r="K220" s="128"/>
      <c r="L220" s="128"/>
      <c r="M220" s="128"/>
      <c r="N220" s="128"/>
      <c r="O220" s="128"/>
      <c r="P220" s="128"/>
      <c r="Q220" s="128"/>
      <c r="R220" s="128"/>
      <c r="S220" s="128"/>
      <c r="T220" s="128"/>
      <c r="U220" s="128"/>
      <c r="V220" s="128"/>
      <c r="W220" s="128"/>
      <c r="X220" s="128"/>
      <c r="Y220" s="128"/>
      <c r="Z220" s="128"/>
      <c r="AA220" s="128"/>
      <c r="AB220" s="128"/>
      <c r="AC220" s="128"/>
      <c r="AD220" s="128"/>
      <c r="AE220" s="128"/>
      <c r="AF220" s="128"/>
      <c r="AG220" s="128"/>
      <c r="AH220" s="128"/>
      <c r="AI220" s="128"/>
      <c r="AJ220" s="128"/>
      <c r="AK220" s="128"/>
      <c r="AL220" s="128"/>
      <c r="AM220" s="128"/>
      <c r="AN220" s="128"/>
      <c r="AO220" s="128"/>
      <c r="AP220" s="128"/>
      <c r="AQ220" s="128"/>
      <c r="AR220" s="128"/>
      <c r="AS220" s="128"/>
      <c r="AT220" s="128"/>
      <c r="AU220" s="128"/>
      <c r="AV220" s="128"/>
      <c r="AW220" s="128"/>
      <c r="AX220" s="128"/>
      <c r="AY220" s="128"/>
      <c r="AZ220" s="128"/>
      <c r="BA220" s="128"/>
      <c r="BB220" s="128"/>
      <c r="BC220" s="128"/>
      <c r="BD220" s="128"/>
      <c r="BE220" s="128"/>
      <c r="BF220" s="128"/>
      <c r="BG220" s="128"/>
      <c r="BH220" s="128"/>
      <c r="BI220" s="128"/>
      <c r="BJ220" s="128"/>
      <c r="BK220" s="128"/>
      <c r="BL220" s="128"/>
      <c r="BM220" s="128"/>
      <c r="BN220" s="128"/>
      <c r="BO220" s="128"/>
      <c r="BP220" s="128"/>
      <c r="BQ220" s="128"/>
    </row>
    <row r="221" spans="1:69" ht="14.25" customHeight="1">
      <c r="A221" s="128"/>
      <c r="B221" s="128"/>
      <c r="C221" s="128"/>
      <c r="D221" s="128"/>
      <c r="E221" s="128"/>
      <c r="F221" s="128"/>
      <c r="G221" s="128"/>
      <c r="H221" s="128"/>
      <c r="I221" s="128"/>
      <c r="J221" s="128"/>
      <c r="K221" s="128"/>
      <c r="L221" s="128"/>
      <c r="M221" s="128"/>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row>
    <row r="222" spans="1:69" ht="14.25" customHeight="1">
      <c r="A222" s="128"/>
      <c r="B222" s="128"/>
      <c r="C222" s="128"/>
      <c r="D222" s="128"/>
      <c r="E222" s="128"/>
      <c r="F222" s="128"/>
      <c r="G222" s="128"/>
      <c r="H222" s="128"/>
      <c r="I222" s="128"/>
      <c r="J222" s="128"/>
      <c r="K222" s="128"/>
      <c r="L222" s="128"/>
      <c r="M222" s="128"/>
      <c r="N222" s="128"/>
      <c r="O222" s="128"/>
      <c r="P222" s="128"/>
      <c r="Q222" s="128"/>
      <c r="R222" s="128"/>
      <c r="S222" s="128"/>
      <c r="T222" s="128"/>
      <c r="U222" s="128"/>
      <c r="V222" s="128"/>
      <c r="W222" s="128"/>
      <c r="X222" s="128"/>
      <c r="Y222" s="128"/>
      <c r="Z222" s="128"/>
      <c r="AA222" s="128"/>
      <c r="AB222" s="128"/>
      <c r="AC222" s="128"/>
      <c r="AD222" s="128"/>
      <c r="AE222" s="128"/>
      <c r="AF222" s="128"/>
      <c r="AG222" s="128"/>
      <c r="AH222" s="128"/>
      <c r="AI222" s="128"/>
      <c r="AJ222" s="128"/>
      <c r="AK222" s="128"/>
      <c r="AL222" s="128"/>
      <c r="AM222" s="128"/>
      <c r="AN222" s="128"/>
      <c r="AO222" s="128"/>
      <c r="AP222" s="128"/>
      <c r="AQ222" s="128"/>
      <c r="AR222" s="128"/>
      <c r="AS222" s="128"/>
      <c r="AT222" s="128"/>
      <c r="AU222" s="128"/>
      <c r="AV222" s="128"/>
      <c r="AW222" s="128"/>
      <c r="AX222" s="128"/>
      <c r="AY222" s="128"/>
      <c r="AZ222" s="128"/>
      <c r="BA222" s="128"/>
      <c r="BB222" s="128"/>
      <c r="BC222" s="128"/>
      <c r="BD222" s="128"/>
      <c r="BE222" s="128"/>
      <c r="BF222" s="128"/>
      <c r="BG222" s="128"/>
      <c r="BH222" s="128"/>
      <c r="BI222" s="128"/>
      <c r="BJ222" s="128"/>
      <c r="BK222" s="128"/>
      <c r="BL222" s="128"/>
      <c r="BM222" s="128"/>
      <c r="BN222" s="128"/>
      <c r="BO222" s="128"/>
      <c r="BP222" s="128"/>
      <c r="BQ222" s="128"/>
    </row>
    <row r="223" spans="1:69" ht="14.25" customHeight="1">
      <c r="A223" s="128"/>
      <c r="B223" s="128"/>
      <c r="C223" s="128"/>
      <c r="D223" s="128"/>
      <c r="E223" s="128"/>
      <c r="F223" s="128"/>
      <c r="G223" s="128"/>
      <c r="H223" s="128"/>
      <c r="I223" s="128"/>
      <c r="J223" s="128"/>
      <c r="K223" s="128"/>
      <c r="L223" s="128"/>
      <c r="M223" s="128"/>
      <c r="N223" s="128"/>
      <c r="O223" s="128"/>
      <c r="P223" s="128"/>
      <c r="Q223" s="128"/>
      <c r="R223" s="128"/>
      <c r="S223" s="128"/>
      <c r="T223" s="128"/>
      <c r="U223" s="128"/>
      <c r="V223" s="128"/>
      <c r="W223" s="128"/>
      <c r="X223" s="128"/>
      <c r="Y223" s="128"/>
      <c r="Z223" s="128"/>
      <c r="AA223" s="128"/>
      <c r="AB223" s="128"/>
      <c r="AC223" s="128"/>
      <c r="AD223" s="128"/>
      <c r="AE223" s="128"/>
      <c r="AF223" s="128"/>
      <c r="AG223" s="128"/>
      <c r="AH223" s="128"/>
      <c r="AI223" s="128"/>
      <c r="AJ223" s="128"/>
      <c r="AK223" s="128"/>
      <c r="AL223" s="128"/>
      <c r="AM223" s="128"/>
      <c r="AN223" s="128"/>
      <c r="AO223" s="128"/>
      <c r="AP223" s="128"/>
      <c r="AQ223" s="128"/>
      <c r="AR223" s="128"/>
      <c r="AS223" s="128"/>
      <c r="AT223" s="128"/>
      <c r="AU223" s="128"/>
      <c r="AV223" s="128"/>
      <c r="AW223" s="128"/>
      <c r="AX223" s="128"/>
      <c r="AY223" s="128"/>
      <c r="AZ223" s="128"/>
      <c r="BA223" s="128"/>
      <c r="BB223" s="128"/>
      <c r="BC223" s="128"/>
      <c r="BD223" s="128"/>
      <c r="BE223" s="128"/>
      <c r="BF223" s="128"/>
      <c r="BG223" s="128"/>
      <c r="BH223" s="128"/>
      <c r="BI223" s="128"/>
      <c r="BJ223" s="128"/>
      <c r="BK223" s="128"/>
      <c r="BL223" s="128"/>
      <c r="BM223" s="128"/>
      <c r="BN223" s="128"/>
      <c r="BO223" s="128"/>
      <c r="BP223" s="128"/>
      <c r="BQ223" s="128"/>
    </row>
    <row r="224" spans="1:69" ht="14.25" customHeight="1">
      <c r="A224" s="128"/>
      <c r="B224" s="128"/>
      <c r="C224" s="128"/>
      <c r="D224" s="128"/>
      <c r="E224" s="128"/>
      <c r="F224" s="128"/>
      <c r="G224" s="128"/>
      <c r="H224" s="128"/>
      <c r="I224" s="128"/>
      <c r="J224" s="128"/>
      <c r="K224" s="128"/>
      <c r="L224" s="128"/>
      <c r="M224" s="128"/>
      <c r="N224" s="128"/>
      <c r="O224" s="128"/>
      <c r="P224" s="128"/>
      <c r="Q224" s="128"/>
      <c r="R224" s="128"/>
      <c r="S224" s="128"/>
      <c r="T224" s="128"/>
      <c r="U224" s="128"/>
      <c r="V224" s="128"/>
      <c r="W224" s="128"/>
      <c r="X224" s="128"/>
      <c r="Y224" s="128"/>
      <c r="Z224" s="128"/>
      <c r="AA224" s="128"/>
      <c r="AB224" s="128"/>
      <c r="AC224" s="128"/>
      <c r="AD224" s="128"/>
      <c r="AE224" s="128"/>
      <c r="AF224" s="128"/>
      <c r="AG224" s="128"/>
      <c r="AH224" s="128"/>
      <c r="AI224" s="128"/>
      <c r="AJ224" s="128"/>
      <c r="AK224" s="128"/>
      <c r="AL224" s="128"/>
      <c r="AM224" s="128"/>
      <c r="AN224" s="128"/>
      <c r="AO224" s="128"/>
      <c r="AP224" s="128"/>
      <c r="AQ224" s="128"/>
      <c r="AR224" s="128"/>
      <c r="AS224" s="128"/>
      <c r="AT224" s="128"/>
      <c r="AU224" s="128"/>
      <c r="AV224" s="128"/>
      <c r="AW224" s="128"/>
      <c r="AX224" s="128"/>
      <c r="AY224" s="128"/>
      <c r="AZ224" s="128"/>
      <c r="BA224" s="128"/>
      <c r="BB224" s="128"/>
      <c r="BC224" s="128"/>
      <c r="BD224" s="128"/>
      <c r="BE224" s="128"/>
      <c r="BF224" s="128"/>
      <c r="BG224" s="128"/>
      <c r="BH224" s="128"/>
      <c r="BI224" s="128"/>
      <c r="BJ224" s="128"/>
      <c r="BK224" s="128"/>
      <c r="BL224" s="128"/>
      <c r="BM224" s="128"/>
      <c r="BN224" s="128"/>
      <c r="BO224" s="128"/>
      <c r="BP224" s="128"/>
      <c r="BQ224" s="128"/>
    </row>
    <row r="225" spans="1:69" ht="14.25" customHeight="1">
      <c r="A225" s="128"/>
      <c r="B225" s="128"/>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128"/>
      <c r="AH225" s="128"/>
      <c r="AI225" s="128"/>
      <c r="AJ225" s="128"/>
      <c r="AK225" s="128"/>
      <c r="AL225" s="128"/>
      <c r="AM225" s="128"/>
      <c r="AN225" s="128"/>
      <c r="AO225" s="128"/>
      <c r="AP225" s="128"/>
      <c r="AQ225" s="128"/>
      <c r="AR225" s="128"/>
      <c r="AS225" s="128"/>
      <c r="AT225" s="128"/>
      <c r="AU225" s="128"/>
      <c r="AV225" s="128"/>
      <c r="AW225" s="128"/>
      <c r="AX225" s="128"/>
      <c r="AY225" s="128"/>
      <c r="AZ225" s="128"/>
      <c r="BA225" s="128"/>
      <c r="BB225" s="128"/>
      <c r="BC225" s="128"/>
      <c r="BD225" s="128"/>
      <c r="BE225" s="128"/>
      <c r="BF225" s="128"/>
      <c r="BG225" s="128"/>
      <c r="BH225" s="128"/>
      <c r="BI225" s="128"/>
      <c r="BJ225" s="128"/>
      <c r="BK225" s="128"/>
      <c r="BL225" s="128"/>
      <c r="BM225" s="128"/>
      <c r="BN225" s="128"/>
      <c r="BO225" s="128"/>
      <c r="BP225" s="128"/>
      <c r="BQ225" s="128"/>
    </row>
    <row r="226" spans="1:69" ht="14.25" customHeight="1">
      <c r="A226" s="128"/>
      <c r="B226" s="128"/>
      <c r="C226" s="128"/>
      <c r="D226" s="128"/>
      <c r="E226" s="128"/>
      <c r="F226" s="128"/>
      <c r="G226" s="128"/>
      <c r="H226" s="128"/>
      <c r="I226" s="128"/>
      <c r="J226" s="128"/>
      <c r="K226" s="128"/>
      <c r="L226" s="128"/>
      <c r="M226" s="128"/>
      <c r="N226" s="128"/>
      <c r="O226" s="128"/>
      <c r="P226" s="128"/>
      <c r="Q226" s="128"/>
      <c r="R226" s="128"/>
      <c r="S226" s="128"/>
      <c r="T226" s="128"/>
      <c r="U226" s="128"/>
      <c r="V226" s="128"/>
      <c r="W226" s="128"/>
      <c r="X226" s="128"/>
      <c r="Y226" s="128"/>
      <c r="Z226" s="128"/>
      <c r="AA226" s="128"/>
      <c r="AB226" s="128"/>
      <c r="AC226" s="128"/>
      <c r="AD226" s="128"/>
      <c r="AE226" s="128"/>
      <c r="AF226" s="128"/>
      <c r="AG226" s="128"/>
      <c r="AH226" s="128"/>
      <c r="AI226" s="128"/>
      <c r="AJ226" s="128"/>
      <c r="AK226" s="128"/>
      <c r="AL226" s="128"/>
      <c r="AM226" s="128"/>
      <c r="AN226" s="128"/>
      <c r="AO226" s="128"/>
      <c r="AP226" s="128"/>
      <c r="AQ226" s="128"/>
      <c r="AR226" s="128"/>
      <c r="AS226" s="128"/>
      <c r="AT226" s="128"/>
      <c r="AU226" s="128"/>
      <c r="AV226" s="128"/>
      <c r="AW226" s="128"/>
      <c r="AX226" s="128"/>
      <c r="AY226" s="128"/>
      <c r="AZ226" s="128"/>
      <c r="BA226" s="128"/>
      <c r="BB226" s="128"/>
      <c r="BC226" s="128"/>
      <c r="BD226" s="128"/>
      <c r="BE226" s="128"/>
      <c r="BF226" s="128"/>
      <c r="BG226" s="128"/>
      <c r="BH226" s="128"/>
      <c r="BI226" s="128"/>
      <c r="BJ226" s="128"/>
      <c r="BK226" s="128"/>
      <c r="BL226" s="128"/>
      <c r="BM226" s="128"/>
      <c r="BN226" s="128"/>
      <c r="BO226" s="128"/>
      <c r="BP226" s="128"/>
      <c r="BQ226" s="128"/>
    </row>
    <row r="227" spans="1:69" ht="14.25" customHeight="1">
      <c r="A227" s="128"/>
      <c r="B227" s="128"/>
      <c r="C227" s="128"/>
      <c r="D227" s="128"/>
      <c r="E227" s="128"/>
      <c r="F227" s="128"/>
      <c r="G227" s="128"/>
      <c r="H227" s="128"/>
      <c r="I227" s="128"/>
      <c r="J227" s="128"/>
      <c r="K227" s="128"/>
      <c r="L227" s="128"/>
      <c r="M227" s="128"/>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row>
    <row r="228" spans="1:69" ht="14.25" customHeight="1">
      <c r="A228" s="128"/>
      <c r="B228" s="128"/>
      <c r="C228" s="128"/>
      <c r="D228" s="128"/>
      <c r="E228" s="128"/>
      <c r="F228" s="128"/>
      <c r="G228" s="128"/>
      <c r="H228" s="128"/>
      <c r="I228" s="128"/>
      <c r="J228" s="128"/>
      <c r="K228" s="128"/>
      <c r="L228" s="128"/>
      <c r="M228" s="128"/>
      <c r="N228" s="128"/>
      <c r="O228" s="128"/>
      <c r="P228" s="128"/>
      <c r="Q228" s="128"/>
      <c r="R228" s="128"/>
      <c r="S228" s="128"/>
      <c r="T228" s="128"/>
      <c r="U228" s="128"/>
      <c r="V228" s="128"/>
      <c r="W228" s="128"/>
      <c r="X228" s="128"/>
      <c r="Y228" s="128"/>
      <c r="Z228" s="128"/>
      <c r="AA228" s="128"/>
      <c r="AB228" s="128"/>
      <c r="AC228" s="128"/>
      <c r="AD228" s="128"/>
      <c r="AE228" s="128"/>
      <c r="AF228" s="128"/>
      <c r="AG228" s="128"/>
      <c r="AH228" s="128"/>
      <c r="AI228" s="128"/>
      <c r="AJ228" s="128"/>
      <c r="AK228" s="128"/>
      <c r="AL228" s="128"/>
      <c r="AM228" s="128"/>
      <c r="AN228" s="128"/>
      <c r="AO228" s="128"/>
      <c r="AP228" s="128"/>
      <c r="AQ228" s="128"/>
      <c r="AR228" s="128"/>
      <c r="AS228" s="128"/>
      <c r="AT228" s="128"/>
      <c r="AU228" s="128"/>
      <c r="AV228" s="128"/>
      <c r="AW228" s="128"/>
      <c r="AX228" s="128"/>
      <c r="AY228" s="128"/>
      <c r="AZ228" s="128"/>
      <c r="BA228" s="128"/>
      <c r="BB228" s="128"/>
      <c r="BC228" s="128"/>
      <c r="BD228" s="128"/>
      <c r="BE228" s="128"/>
      <c r="BF228" s="128"/>
      <c r="BG228" s="128"/>
      <c r="BH228" s="128"/>
      <c r="BI228" s="128"/>
      <c r="BJ228" s="128"/>
      <c r="BK228" s="128"/>
      <c r="BL228" s="128"/>
      <c r="BM228" s="128"/>
      <c r="BN228" s="128"/>
      <c r="BO228" s="128"/>
      <c r="BP228" s="128"/>
      <c r="BQ228" s="128"/>
    </row>
    <row r="229" spans="1:69" ht="14.25" customHeight="1">
      <c r="A229" s="128"/>
      <c r="B229" s="128"/>
      <c r="C229" s="128"/>
      <c r="D229" s="128"/>
      <c r="E229" s="128"/>
      <c r="F229" s="128"/>
      <c r="G229" s="128"/>
      <c r="H229" s="128"/>
      <c r="I229" s="128"/>
      <c r="J229" s="128"/>
      <c r="K229" s="128"/>
      <c r="L229" s="128"/>
      <c r="M229" s="128"/>
      <c r="N229" s="128"/>
      <c r="O229" s="128"/>
      <c r="P229" s="128"/>
      <c r="Q229" s="128"/>
      <c r="R229" s="128"/>
      <c r="S229" s="128"/>
      <c r="T229" s="128"/>
      <c r="U229" s="128"/>
      <c r="V229" s="128"/>
      <c r="W229" s="128"/>
      <c r="X229" s="128"/>
      <c r="Y229" s="128"/>
      <c r="Z229" s="128"/>
      <c r="AA229" s="128"/>
      <c r="AB229" s="128"/>
      <c r="AC229" s="128"/>
      <c r="AD229" s="128"/>
      <c r="AE229" s="128"/>
      <c r="AF229" s="128"/>
      <c r="AG229" s="128"/>
      <c r="AH229" s="128"/>
      <c r="AI229" s="128"/>
      <c r="AJ229" s="128"/>
      <c r="AK229" s="128"/>
      <c r="AL229" s="128"/>
      <c r="AM229" s="128"/>
      <c r="AN229" s="128"/>
      <c r="AO229" s="128"/>
      <c r="AP229" s="128"/>
      <c r="AQ229" s="128"/>
      <c r="AR229" s="128"/>
      <c r="AS229" s="128"/>
      <c r="AT229" s="128"/>
      <c r="AU229" s="128"/>
      <c r="AV229" s="128"/>
      <c r="AW229" s="128"/>
      <c r="AX229" s="128"/>
      <c r="AY229" s="128"/>
      <c r="AZ229" s="128"/>
      <c r="BA229" s="128"/>
      <c r="BB229" s="128"/>
      <c r="BC229" s="128"/>
      <c r="BD229" s="128"/>
      <c r="BE229" s="128"/>
      <c r="BF229" s="128"/>
      <c r="BG229" s="128"/>
      <c r="BH229" s="128"/>
      <c r="BI229" s="128"/>
      <c r="BJ229" s="128"/>
      <c r="BK229" s="128"/>
      <c r="BL229" s="128"/>
      <c r="BM229" s="128"/>
      <c r="BN229" s="128"/>
      <c r="BO229" s="128"/>
      <c r="BP229" s="128"/>
      <c r="BQ229" s="128"/>
    </row>
    <row r="230" spans="1:69" ht="14.25" customHeight="1">
      <c r="A230" s="128"/>
      <c r="B230" s="128"/>
      <c r="C230" s="128"/>
      <c r="D230" s="128"/>
      <c r="E230" s="128"/>
      <c r="F230" s="128"/>
      <c r="G230" s="128"/>
      <c r="H230" s="128"/>
      <c r="I230" s="128"/>
      <c r="J230" s="128"/>
      <c r="K230" s="128"/>
      <c r="L230" s="128"/>
      <c r="M230" s="128"/>
      <c r="N230" s="128"/>
      <c r="O230" s="128"/>
      <c r="P230" s="128"/>
      <c r="Q230" s="128"/>
      <c r="R230" s="128"/>
      <c r="S230" s="128"/>
      <c r="T230" s="128"/>
      <c r="U230" s="128"/>
      <c r="V230" s="128"/>
      <c r="W230" s="128"/>
      <c r="X230" s="128"/>
      <c r="Y230" s="128"/>
      <c r="Z230" s="128"/>
      <c r="AA230" s="128"/>
      <c r="AB230" s="128"/>
      <c r="AC230" s="128"/>
      <c r="AD230" s="128"/>
      <c r="AE230" s="128"/>
      <c r="AF230" s="128"/>
      <c r="AG230" s="128"/>
      <c r="AH230" s="128"/>
      <c r="AI230" s="128"/>
      <c r="AJ230" s="128"/>
      <c r="AK230" s="128"/>
      <c r="AL230" s="128"/>
      <c r="AM230" s="128"/>
      <c r="AN230" s="128"/>
      <c r="AO230" s="128"/>
      <c r="AP230" s="128"/>
      <c r="AQ230" s="128"/>
      <c r="AR230" s="128"/>
      <c r="AS230" s="128"/>
      <c r="AT230" s="128"/>
      <c r="AU230" s="128"/>
      <c r="AV230" s="128"/>
      <c r="AW230" s="128"/>
      <c r="AX230" s="128"/>
      <c r="AY230" s="128"/>
      <c r="AZ230" s="128"/>
      <c r="BA230" s="128"/>
      <c r="BB230" s="128"/>
      <c r="BC230" s="128"/>
      <c r="BD230" s="128"/>
      <c r="BE230" s="128"/>
      <c r="BF230" s="128"/>
      <c r="BG230" s="128"/>
      <c r="BH230" s="128"/>
      <c r="BI230" s="128"/>
      <c r="BJ230" s="128"/>
      <c r="BK230" s="128"/>
      <c r="BL230" s="128"/>
      <c r="BM230" s="128"/>
      <c r="BN230" s="128"/>
      <c r="BO230" s="128"/>
      <c r="BP230" s="128"/>
      <c r="BQ230" s="128"/>
    </row>
    <row r="231" spans="1:69" ht="14.25" customHeight="1">
      <c r="A231" s="128"/>
      <c r="B231" s="128"/>
      <c r="C231" s="128"/>
      <c r="D231" s="128"/>
      <c r="E231" s="128"/>
      <c r="F231" s="128"/>
      <c r="G231" s="128"/>
      <c r="H231" s="128"/>
      <c r="I231" s="128"/>
      <c r="J231" s="128"/>
      <c r="K231" s="128"/>
      <c r="L231" s="128"/>
      <c r="M231" s="128"/>
      <c r="N231" s="128"/>
      <c r="O231" s="128"/>
      <c r="P231" s="128"/>
      <c r="Q231" s="128"/>
      <c r="R231" s="128"/>
      <c r="S231" s="128"/>
      <c r="T231" s="128"/>
      <c r="U231" s="128"/>
      <c r="V231" s="128"/>
      <c r="W231" s="128"/>
      <c r="X231" s="128"/>
      <c r="Y231" s="128"/>
      <c r="Z231" s="128"/>
      <c r="AA231" s="128"/>
      <c r="AB231" s="128"/>
      <c r="AC231" s="128"/>
      <c r="AD231" s="128"/>
      <c r="AE231" s="128"/>
      <c r="AF231" s="128"/>
      <c r="AG231" s="128"/>
      <c r="AH231" s="128"/>
      <c r="AI231" s="128"/>
      <c r="AJ231" s="128"/>
      <c r="AK231" s="128"/>
      <c r="AL231" s="128"/>
      <c r="AM231" s="128"/>
      <c r="AN231" s="128"/>
      <c r="AO231" s="128"/>
      <c r="AP231" s="128"/>
      <c r="AQ231" s="128"/>
      <c r="AR231" s="128"/>
      <c r="AS231" s="128"/>
      <c r="AT231" s="128"/>
      <c r="AU231" s="128"/>
      <c r="AV231" s="128"/>
      <c r="AW231" s="128"/>
      <c r="AX231" s="128"/>
      <c r="AY231" s="128"/>
      <c r="AZ231" s="128"/>
      <c r="BA231" s="128"/>
      <c r="BB231" s="128"/>
      <c r="BC231" s="128"/>
      <c r="BD231" s="128"/>
      <c r="BE231" s="128"/>
      <c r="BF231" s="128"/>
      <c r="BG231" s="128"/>
      <c r="BH231" s="128"/>
      <c r="BI231" s="128"/>
      <c r="BJ231" s="128"/>
      <c r="BK231" s="128"/>
      <c r="BL231" s="128"/>
      <c r="BM231" s="128"/>
      <c r="BN231" s="128"/>
      <c r="BO231" s="128"/>
      <c r="BP231" s="128"/>
      <c r="BQ231" s="128"/>
    </row>
    <row r="232" spans="1:69" ht="14.25" customHeight="1">
      <c r="A232" s="128"/>
      <c r="B232" s="128"/>
      <c r="C232" s="128"/>
      <c r="D232" s="128"/>
      <c r="E232" s="128"/>
      <c r="F232" s="128"/>
      <c r="G232" s="128"/>
      <c r="H232" s="128"/>
      <c r="I232" s="128"/>
      <c r="J232" s="128"/>
      <c r="K232" s="128"/>
      <c r="L232" s="128"/>
      <c r="M232" s="128"/>
      <c r="N232" s="128"/>
      <c r="O232" s="128"/>
      <c r="P232" s="128"/>
      <c r="Q232" s="128"/>
      <c r="R232" s="128"/>
      <c r="S232" s="128"/>
      <c r="T232" s="128"/>
      <c r="U232" s="128"/>
      <c r="V232" s="128"/>
      <c r="W232" s="128"/>
      <c r="X232" s="128"/>
      <c r="Y232" s="128"/>
      <c r="Z232" s="128"/>
      <c r="AA232" s="128"/>
      <c r="AB232" s="128"/>
      <c r="AC232" s="128"/>
      <c r="AD232" s="128"/>
      <c r="AE232" s="128"/>
      <c r="AF232" s="128"/>
      <c r="AG232" s="128"/>
      <c r="AH232" s="128"/>
      <c r="AI232" s="128"/>
      <c r="AJ232" s="128"/>
      <c r="AK232" s="128"/>
      <c r="AL232" s="128"/>
      <c r="AM232" s="128"/>
      <c r="AN232" s="128"/>
      <c r="AO232" s="128"/>
      <c r="AP232" s="128"/>
      <c r="AQ232" s="128"/>
      <c r="AR232" s="128"/>
      <c r="AS232" s="128"/>
      <c r="AT232" s="128"/>
      <c r="AU232" s="128"/>
      <c r="AV232" s="128"/>
      <c r="AW232" s="128"/>
      <c r="AX232" s="128"/>
      <c r="AY232" s="128"/>
      <c r="AZ232" s="128"/>
      <c r="BA232" s="128"/>
      <c r="BB232" s="128"/>
      <c r="BC232" s="128"/>
      <c r="BD232" s="128"/>
      <c r="BE232" s="128"/>
      <c r="BF232" s="128"/>
      <c r="BG232" s="128"/>
      <c r="BH232" s="128"/>
      <c r="BI232" s="128"/>
      <c r="BJ232" s="128"/>
      <c r="BK232" s="128"/>
      <c r="BL232" s="128"/>
      <c r="BM232" s="128"/>
      <c r="BN232" s="128"/>
      <c r="BO232" s="128"/>
      <c r="BP232" s="128"/>
      <c r="BQ232" s="128"/>
    </row>
    <row r="233" spans="1:69" ht="14.25" customHeight="1">
      <c r="A233" s="128"/>
      <c r="B233" s="128"/>
      <c r="C233" s="128"/>
      <c r="D233" s="128"/>
      <c r="E233" s="128"/>
      <c r="F233" s="128"/>
      <c r="G233" s="128"/>
      <c r="H233" s="128"/>
      <c r="I233" s="128"/>
      <c r="J233" s="128"/>
      <c r="K233" s="128"/>
      <c r="L233" s="128"/>
      <c r="M233" s="128"/>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row>
    <row r="234" spans="1:69" ht="14.25" customHeight="1">
      <c r="A234" s="128"/>
      <c r="B234" s="128"/>
      <c r="C234" s="128"/>
      <c r="D234" s="128"/>
      <c r="E234" s="128"/>
      <c r="F234" s="128"/>
      <c r="G234" s="128"/>
      <c r="H234" s="128"/>
      <c r="I234" s="128"/>
      <c r="J234" s="128"/>
      <c r="K234" s="128"/>
      <c r="L234" s="128"/>
      <c r="M234" s="128"/>
      <c r="N234" s="128"/>
      <c r="O234" s="128"/>
      <c r="P234" s="128"/>
      <c r="Q234" s="128"/>
      <c r="R234" s="128"/>
      <c r="S234" s="128"/>
      <c r="T234" s="128"/>
      <c r="U234" s="128"/>
      <c r="V234" s="128"/>
      <c r="W234" s="128"/>
      <c r="X234" s="128"/>
      <c r="Y234" s="128"/>
      <c r="Z234" s="128"/>
      <c r="AA234" s="128"/>
      <c r="AB234" s="128"/>
      <c r="AC234" s="128"/>
      <c r="AD234" s="128"/>
      <c r="AE234" s="128"/>
      <c r="AF234" s="128"/>
      <c r="AG234" s="128"/>
      <c r="AH234" s="128"/>
      <c r="AI234" s="128"/>
      <c r="AJ234" s="128"/>
      <c r="AK234" s="128"/>
      <c r="AL234" s="128"/>
      <c r="AM234" s="128"/>
      <c r="AN234" s="128"/>
      <c r="AO234" s="128"/>
      <c r="AP234" s="128"/>
      <c r="AQ234" s="128"/>
      <c r="AR234" s="128"/>
      <c r="AS234" s="128"/>
      <c r="AT234" s="128"/>
      <c r="AU234" s="128"/>
      <c r="AV234" s="128"/>
      <c r="AW234" s="128"/>
      <c r="AX234" s="128"/>
      <c r="AY234" s="128"/>
      <c r="AZ234" s="128"/>
      <c r="BA234" s="128"/>
      <c r="BB234" s="128"/>
      <c r="BC234" s="128"/>
      <c r="BD234" s="128"/>
      <c r="BE234" s="128"/>
      <c r="BF234" s="128"/>
      <c r="BG234" s="128"/>
      <c r="BH234" s="128"/>
      <c r="BI234" s="128"/>
      <c r="BJ234" s="128"/>
      <c r="BK234" s="128"/>
      <c r="BL234" s="128"/>
      <c r="BM234" s="128"/>
      <c r="BN234" s="128"/>
      <c r="BO234" s="128"/>
      <c r="BP234" s="128"/>
      <c r="BQ234" s="128"/>
    </row>
    <row r="235" spans="1:69" ht="14.25" customHeight="1">
      <c r="A235" s="128"/>
      <c r="B235" s="128"/>
      <c r="C235" s="128"/>
      <c r="D235" s="128"/>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28"/>
      <c r="AA235" s="128"/>
      <c r="AB235" s="128"/>
      <c r="AC235" s="128"/>
      <c r="AD235" s="128"/>
      <c r="AE235" s="128"/>
      <c r="AF235" s="128"/>
      <c r="AG235" s="128"/>
      <c r="AH235" s="128"/>
      <c r="AI235" s="128"/>
      <c r="AJ235" s="128"/>
      <c r="AK235" s="128"/>
      <c r="AL235" s="128"/>
      <c r="AM235" s="128"/>
      <c r="AN235" s="128"/>
      <c r="AO235" s="128"/>
      <c r="AP235" s="128"/>
      <c r="AQ235" s="128"/>
      <c r="AR235" s="128"/>
      <c r="AS235" s="128"/>
      <c r="AT235" s="128"/>
      <c r="AU235" s="128"/>
      <c r="AV235" s="128"/>
      <c r="AW235" s="128"/>
      <c r="AX235" s="128"/>
      <c r="AY235" s="128"/>
      <c r="AZ235" s="128"/>
      <c r="BA235" s="128"/>
      <c r="BB235" s="128"/>
      <c r="BC235" s="128"/>
      <c r="BD235" s="128"/>
      <c r="BE235" s="128"/>
      <c r="BF235" s="128"/>
      <c r="BG235" s="128"/>
      <c r="BH235" s="128"/>
      <c r="BI235" s="128"/>
      <c r="BJ235" s="128"/>
      <c r="BK235" s="128"/>
      <c r="BL235" s="128"/>
      <c r="BM235" s="128"/>
      <c r="BN235" s="128"/>
      <c r="BO235" s="128"/>
      <c r="BP235" s="128"/>
      <c r="BQ235" s="128"/>
    </row>
    <row r="236" spans="1:69" ht="14.25" customHeight="1">
      <c r="A236" s="128"/>
      <c r="B236" s="128"/>
      <c r="C236" s="128"/>
      <c r="D236" s="128"/>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c r="AA236" s="128"/>
      <c r="AB236" s="128"/>
      <c r="AC236" s="128"/>
      <c r="AD236" s="128"/>
      <c r="AE236" s="128"/>
      <c r="AF236" s="128"/>
      <c r="AG236" s="128"/>
      <c r="AH236" s="128"/>
      <c r="AI236" s="128"/>
      <c r="AJ236" s="128"/>
      <c r="AK236" s="128"/>
      <c r="AL236" s="128"/>
      <c r="AM236" s="128"/>
      <c r="AN236" s="128"/>
      <c r="AO236" s="128"/>
      <c r="AP236" s="128"/>
      <c r="AQ236" s="128"/>
      <c r="AR236" s="128"/>
      <c r="AS236" s="128"/>
      <c r="AT236" s="128"/>
      <c r="AU236" s="128"/>
      <c r="AV236" s="128"/>
      <c r="AW236" s="128"/>
      <c r="AX236" s="128"/>
      <c r="AY236" s="128"/>
      <c r="AZ236" s="128"/>
      <c r="BA236" s="128"/>
      <c r="BB236" s="128"/>
      <c r="BC236" s="128"/>
      <c r="BD236" s="128"/>
      <c r="BE236" s="128"/>
      <c r="BF236" s="128"/>
      <c r="BG236" s="128"/>
      <c r="BH236" s="128"/>
      <c r="BI236" s="128"/>
      <c r="BJ236" s="128"/>
      <c r="BK236" s="128"/>
      <c r="BL236" s="128"/>
      <c r="BM236" s="128"/>
      <c r="BN236" s="128"/>
      <c r="BO236" s="128"/>
      <c r="BP236" s="128"/>
      <c r="BQ236" s="128"/>
    </row>
    <row r="237" spans="1:69" ht="14.25" customHeight="1">
      <c r="A237" s="128"/>
      <c r="B237" s="128"/>
      <c r="C237" s="12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c r="AA237" s="128"/>
      <c r="AB237" s="128"/>
      <c r="AC237" s="128"/>
      <c r="AD237" s="128"/>
      <c r="AE237" s="128"/>
      <c r="AF237" s="128"/>
      <c r="AG237" s="128"/>
      <c r="AH237" s="128"/>
      <c r="AI237" s="128"/>
      <c r="AJ237" s="128"/>
      <c r="AK237" s="128"/>
      <c r="AL237" s="128"/>
      <c r="AM237" s="128"/>
      <c r="AN237" s="128"/>
      <c r="AO237" s="128"/>
      <c r="AP237" s="128"/>
      <c r="AQ237" s="128"/>
      <c r="AR237" s="128"/>
      <c r="AS237" s="128"/>
      <c r="AT237" s="128"/>
      <c r="AU237" s="128"/>
      <c r="AV237" s="128"/>
      <c r="AW237" s="128"/>
      <c r="AX237" s="128"/>
      <c r="AY237" s="128"/>
      <c r="AZ237" s="128"/>
      <c r="BA237" s="128"/>
      <c r="BB237" s="128"/>
      <c r="BC237" s="128"/>
      <c r="BD237" s="128"/>
      <c r="BE237" s="128"/>
      <c r="BF237" s="128"/>
      <c r="BG237" s="128"/>
      <c r="BH237" s="128"/>
      <c r="BI237" s="128"/>
      <c r="BJ237" s="128"/>
      <c r="BK237" s="128"/>
      <c r="BL237" s="128"/>
      <c r="BM237" s="128"/>
      <c r="BN237" s="128"/>
      <c r="BO237" s="128"/>
      <c r="BP237" s="128"/>
      <c r="BQ237" s="128"/>
    </row>
    <row r="238" spans="1:69" ht="14.25" customHeight="1">
      <c r="A238" s="128"/>
      <c r="B238" s="128"/>
      <c r="C238" s="128"/>
      <c r="D238" s="128"/>
      <c r="E238" s="128"/>
      <c r="F238" s="128"/>
      <c r="G238" s="128"/>
      <c r="H238" s="128"/>
      <c r="I238" s="128"/>
      <c r="J238" s="128"/>
      <c r="K238" s="128"/>
      <c r="L238" s="128"/>
      <c r="M238" s="128"/>
      <c r="N238" s="128"/>
      <c r="O238" s="128"/>
      <c r="P238" s="128"/>
      <c r="Q238" s="128"/>
      <c r="R238" s="128"/>
      <c r="S238" s="128"/>
      <c r="T238" s="128"/>
      <c r="U238" s="128"/>
      <c r="V238" s="128"/>
      <c r="W238" s="128"/>
      <c r="X238" s="128"/>
      <c r="Y238" s="128"/>
      <c r="Z238" s="128"/>
      <c r="AA238" s="128"/>
      <c r="AB238" s="128"/>
      <c r="AC238" s="128"/>
      <c r="AD238" s="128"/>
      <c r="AE238" s="128"/>
      <c r="AF238" s="128"/>
      <c r="AG238" s="128"/>
      <c r="AH238" s="128"/>
      <c r="AI238" s="128"/>
      <c r="AJ238" s="128"/>
      <c r="AK238" s="128"/>
      <c r="AL238" s="128"/>
      <c r="AM238" s="128"/>
      <c r="AN238" s="128"/>
      <c r="AO238" s="128"/>
      <c r="AP238" s="128"/>
      <c r="AQ238" s="128"/>
      <c r="AR238" s="128"/>
      <c r="AS238" s="128"/>
      <c r="AT238" s="128"/>
      <c r="AU238" s="128"/>
      <c r="AV238" s="128"/>
      <c r="AW238" s="128"/>
      <c r="AX238" s="128"/>
      <c r="AY238" s="128"/>
      <c r="AZ238" s="128"/>
      <c r="BA238" s="128"/>
      <c r="BB238" s="128"/>
      <c r="BC238" s="128"/>
      <c r="BD238" s="128"/>
      <c r="BE238" s="128"/>
      <c r="BF238" s="128"/>
      <c r="BG238" s="128"/>
      <c r="BH238" s="128"/>
      <c r="BI238" s="128"/>
      <c r="BJ238" s="128"/>
      <c r="BK238" s="128"/>
      <c r="BL238" s="128"/>
      <c r="BM238" s="128"/>
      <c r="BN238" s="128"/>
      <c r="BO238" s="128"/>
      <c r="BP238" s="128"/>
      <c r="BQ238" s="128"/>
    </row>
    <row r="239" spans="1:69" ht="14.25" customHeight="1">
      <c r="A239" s="128"/>
      <c r="B239" s="128"/>
      <c r="C239" s="12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row>
    <row r="240" spans="1:69" ht="14.25" customHeight="1">
      <c r="A240" s="128"/>
      <c r="B240" s="128"/>
      <c r="C240" s="128"/>
      <c r="D240" s="128"/>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c r="AA240" s="128"/>
      <c r="AB240" s="128"/>
      <c r="AC240" s="128"/>
      <c r="AD240" s="128"/>
      <c r="AE240" s="128"/>
      <c r="AF240" s="128"/>
      <c r="AG240" s="128"/>
      <c r="AH240" s="128"/>
      <c r="AI240" s="128"/>
      <c r="AJ240" s="128"/>
      <c r="AK240" s="128"/>
      <c r="AL240" s="128"/>
      <c r="AM240" s="128"/>
      <c r="AN240" s="128"/>
      <c r="AO240" s="128"/>
      <c r="AP240" s="128"/>
      <c r="AQ240" s="128"/>
      <c r="AR240" s="128"/>
      <c r="AS240" s="128"/>
      <c r="AT240" s="128"/>
      <c r="AU240" s="128"/>
      <c r="AV240" s="128"/>
      <c r="AW240" s="128"/>
      <c r="AX240" s="128"/>
      <c r="AY240" s="128"/>
      <c r="AZ240" s="128"/>
      <c r="BA240" s="128"/>
      <c r="BB240" s="128"/>
      <c r="BC240" s="128"/>
      <c r="BD240" s="128"/>
      <c r="BE240" s="128"/>
      <c r="BF240" s="128"/>
      <c r="BG240" s="128"/>
      <c r="BH240" s="128"/>
      <c r="BI240" s="128"/>
      <c r="BJ240" s="128"/>
      <c r="BK240" s="128"/>
      <c r="BL240" s="128"/>
      <c r="BM240" s="128"/>
      <c r="BN240" s="128"/>
      <c r="BO240" s="128"/>
      <c r="BP240" s="128"/>
      <c r="BQ240" s="128"/>
    </row>
    <row r="241" spans="1:69" ht="14.25" customHeight="1">
      <c r="A241" s="128"/>
      <c r="B241" s="128"/>
      <c r="C241" s="128"/>
      <c r="D241" s="128"/>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28"/>
      <c r="AA241" s="128"/>
      <c r="AB241" s="128"/>
      <c r="AC241" s="128"/>
      <c r="AD241" s="128"/>
      <c r="AE241" s="128"/>
      <c r="AF241" s="128"/>
      <c r="AG241" s="128"/>
      <c r="AH241" s="128"/>
      <c r="AI241" s="128"/>
      <c r="AJ241" s="128"/>
      <c r="AK241" s="128"/>
      <c r="AL241" s="128"/>
      <c r="AM241" s="128"/>
      <c r="AN241" s="128"/>
      <c r="AO241" s="128"/>
      <c r="AP241" s="128"/>
      <c r="AQ241" s="128"/>
      <c r="AR241" s="128"/>
      <c r="AS241" s="128"/>
      <c r="AT241" s="128"/>
      <c r="AU241" s="128"/>
      <c r="AV241" s="128"/>
      <c r="AW241" s="128"/>
      <c r="AX241" s="128"/>
      <c r="AY241" s="128"/>
      <c r="AZ241" s="128"/>
      <c r="BA241" s="128"/>
      <c r="BB241" s="128"/>
      <c r="BC241" s="128"/>
      <c r="BD241" s="128"/>
      <c r="BE241" s="128"/>
      <c r="BF241" s="128"/>
      <c r="BG241" s="128"/>
      <c r="BH241" s="128"/>
      <c r="BI241" s="128"/>
      <c r="BJ241" s="128"/>
      <c r="BK241" s="128"/>
      <c r="BL241" s="128"/>
      <c r="BM241" s="128"/>
      <c r="BN241" s="128"/>
      <c r="BO241" s="128"/>
      <c r="BP241" s="128"/>
      <c r="BQ241" s="128"/>
    </row>
    <row r="242" spans="1:69" ht="14.25" customHeight="1">
      <c r="A242" s="128"/>
      <c r="B242" s="128"/>
      <c r="C242" s="128"/>
      <c r="D242" s="128"/>
      <c r="E242" s="128"/>
      <c r="F242" s="128"/>
      <c r="G242" s="128"/>
      <c r="H242" s="128"/>
      <c r="I242" s="128"/>
      <c r="J242" s="128"/>
      <c r="K242" s="128"/>
      <c r="L242" s="128"/>
      <c r="M242" s="128"/>
      <c r="N242" s="128"/>
      <c r="O242" s="128"/>
      <c r="P242" s="128"/>
      <c r="Q242" s="128"/>
      <c r="R242" s="128"/>
      <c r="S242" s="128"/>
      <c r="T242" s="128"/>
      <c r="U242" s="128"/>
      <c r="V242" s="128"/>
      <c r="W242" s="128"/>
      <c r="X242" s="128"/>
      <c r="Y242" s="128"/>
      <c r="Z242" s="128"/>
      <c r="AA242" s="128"/>
      <c r="AB242" s="128"/>
      <c r="AC242" s="128"/>
      <c r="AD242" s="128"/>
      <c r="AE242" s="128"/>
      <c r="AF242" s="128"/>
      <c r="AG242" s="128"/>
      <c r="AH242" s="128"/>
      <c r="AI242" s="128"/>
      <c r="AJ242" s="128"/>
      <c r="AK242" s="128"/>
      <c r="AL242" s="128"/>
      <c r="AM242" s="128"/>
      <c r="AN242" s="128"/>
      <c r="AO242" s="128"/>
      <c r="AP242" s="128"/>
      <c r="AQ242" s="128"/>
      <c r="AR242" s="128"/>
      <c r="AS242" s="128"/>
      <c r="AT242" s="128"/>
      <c r="AU242" s="128"/>
      <c r="AV242" s="128"/>
      <c r="AW242" s="128"/>
      <c r="AX242" s="128"/>
      <c r="AY242" s="128"/>
      <c r="AZ242" s="128"/>
      <c r="BA242" s="128"/>
      <c r="BB242" s="128"/>
      <c r="BC242" s="128"/>
      <c r="BD242" s="128"/>
      <c r="BE242" s="128"/>
      <c r="BF242" s="128"/>
      <c r="BG242" s="128"/>
      <c r="BH242" s="128"/>
      <c r="BI242" s="128"/>
      <c r="BJ242" s="128"/>
      <c r="BK242" s="128"/>
      <c r="BL242" s="128"/>
      <c r="BM242" s="128"/>
      <c r="BN242" s="128"/>
      <c r="BO242" s="128"/>
      <c r="BP242" s="128"/>
      <c r="BQ242" s="128"/>
    </row>
    <row r="243" spans="1:69" ht="14.25" customHeight="1">
      <c r="A243" s="128"/>
      <c r="B243" s="128"/>
      <c r="C243" s="128"/>
      <c r="D243" s="128"/>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28"/>
      <c r="AA243" s="128"/>
      <c r="AB243" s="128"/>
      <c r="AC243" s="128"/>
      <c r="AD243" s="128"/>
      <c r="AE243" s="128"/>
      <c r="AF243" s="128"/>
      <c r="AG243" s="128"/>
      <c r="AH243" s="128"/>
      <c r="AI243" s="128"/>
      <c r="AJ243" s="128"/>
      <c r="AK243" s="128"/>
      <c r="AL243" s="128"/>
      <c r="AM243" s="128"/>
      <c r="AN243" s="128"/>
      <c r="AO243" s="128"/>
      <c r="AP243" s="128"/>
      <c r="AQ243" s="128"/>
      <c r="AR243" s="128"/>
      <c r="AS243" s="128"/>
      <c r="AT243" s="128"/>
      <c r="AU243" s="128"/>
      <c r="AV243" s="128"/>
      <c r="AW243" s="128"/>
      <c r="AX243" s="128"/>
      <c r="AY243" s="128"/>
      <c r="AZ243" s="128"/>
      <c r="BA243" s="128"/>
      <c r="BB243" s="128"/>
      <c r="BC243" s="128"/>
      <c r="BD243" s="128"/>
      <c r="BE243" s="128"/>
      <c r="BF243" s="128"/>
      <c r="BG243" s="128"/>
      <c r="BH243" s="128"/>
      <c r="BI243" s="128"/>
      <c r="BJ243" s="128"/>
      <c r="BK243" s="128"/>
      <c r="BL243" s="128"/>
      <c r="BM243" s="128"/>
      <c r="BN243" s="128"/>
      <c r="BO243" s="128"/>
      <c r="BP243" s="128"/>
      <c r="BQ243" s="128"/>
    </row>
    <row r="244" spans="1:69" ht="14.25" customHeight="1">
      <c r="A244" s="128"/>
      <c r="B244" s="128"/>
      <c r="C244" s="128"/>
      <c r="D244" s="128"/>
      <c r="E244" s="128"/>
      <c r="F244" s="128"/>
      <c r="G244" s="128"/>
      <c r="H244" s="128"/>
      <c r="I244" s="128"/>
      <c r="J244" s="128"/>
      <c r="K244" s="128"/>
      <c r="L244" s="128"/>
      <c r="M244" s="128"/>
      <c r="N244" s="128"/>
      <c r="O244" s="128"/>
      <c r="P244" s="128"/>
      <c r="Q244" s="128"/>
      <c r="R244" s="128"/>
      <c r="S244" s="128"/>
      <c r="T244" s="128"/>
      <c r="U244" s="128"/>
      <c r="V244" s="128"/>
      <c r="W244" s="128"/>
      <c r="X244" s="128"/>
      <c r="Y244" s="128"/>
      <c r="Z244" s="128"/>
      <c r="AA244" s="128"/>
      <c r="AB244" s="128"/>
      <c r="AC244" s="128"/>
      <c r="AD244" s="128"/>
      <c r="AE244" s="128"/>
      <c r="AF244" s="128"/>
      <c r="AG244" s="128"/>
      <c r="AH244" s="128"/>
      <c r="AI244" s="128"/>
      <c r="AJ244" s="128"/>
      <c r="AK244" s="128"/>
      <c r="AL244" s="128"/>
      <c r="AM244" s="128"/>
      <c r="AN244" s="128"/>
      <c r="AO244" s="128"/>
      <c r="AP244" s="128"/>
      <c r="AQ244" s="128"/>
      <c r="AR244" s="128"/>
      <c r="AS244" s="128"/>
      <c r="AT244" s="128"/>
      <c r="AU244" s="128"/>
      <c r="AV244" s="128"/>
      <c r="AW244" s="128"/>
      <c r="AX244" s="128"/>
      <c r="AY244" s="128"/>
      <c r="AZ244" s="128"/>
      <c r="BA244" s="128"/>
      <c r="BB244" s="128"/>
      <c r="BC244" s="128"/>
      <c r="BD244" s="128"/>
      <c r="BE244" s="128"/>
      <c r="BF244" s="128"/>
      <c r="BG244" s="128"/>
      <c r="BH244" s="128"/>
      <c r="BI244" s="128"/>
      <c r="BJ244" s="128"/>
      <c r="BK244" s="128"/>
      <c r="BL244" s="128"/>
      <c r="BM244" s="128"/>
      <c r="BN244" s="128"/>
      <c r="BO244" s="128"/>
      <c r="BP244" s="128"/>
      <c r="BQ244" s="128"/>
    </row>
    <row r="245" spans="1:69" ht="14.25" customHeight="1">
      <c r="A245" s="128"/>
      <c r="B245" s="128"/>
      <c r="C245" s="128"/>
      <c r="D245" s="128"/>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row>
    <row r="246" spans="1:69" ht="14.25" customHeight="1">
      <c r="A246" s="128"/>
      <c r="B246" s="128"/>
      <c r="C246" s="128"/>
      <c r="D246" s="128"/>
      <c r="E246" s="128"/>
      <c r="F246" s="128"/>
      <c r="G246" s="128"/>
      <c r="H246" s="128"/>
      <c r="I246" s="128"/>
      <c r="J246" s="128"/>
      <c r="K246" s="128"/>
      <c r="L246" s="128"/>
      <c r="M246" s="128"/>
      <c r="N246" s="128"/>
      <c r="O246" s="128"/>
      <c r="P246" s="128"/>
      <c r="Q246" s="128"/>
      <c r="R246" s="128"/>
      <c r="S246" s="128"/>
      <c r="T246" s="128"/>
      <c r="U246" s="128"/>
      <c r="V246" s="128"/>
      <c r="W246" s="128"/>
      <c r="X246" s="128"/>
      <c r="Y246" s="128"/>
      <c r="Z246" s="128"/>
      <c r="AA246" s="128"/>
      <c r="AB246" s="128"/>
      <c r="AC246" s="128"/>
      <c r="AD246" s="128"/>
      <c r="AE246" s="128"/>
      <c r="AF246" s="128"/>
      <c r="AG246" s="128"/>
      <c r="AH246" s="128"/>
      <c r="AI246" s="128"/>
      <c r="AJ246" s="128"/>
      <c r="AK246" s="128"/>
      <c r="AL246" s="128"/>
      <c r="AM246" s="128"/>
      <c r="AN246" s="128"/>
      <c r="AO246" s="128"/>
      <c r="AP246" s="128"/>
      <c r="AQ246" s="128"/>
      <c r="AR246" s="128"/>
      <c r="AS246" s="128"/>
      <c r="AT246" s="128"/>
      <c r="AU246" s="128"/>
      <c r="AV246" s="128"/>
      <c r="AW246" s="128"/>
      <c r="AX246" s="128"/>
      <c r="AY246" s="128"/>
      <c r="AZ246" s="128"/>
      <c r="BA246" s="128"/>
      <c r="BB246" s="128"/>
      <c r="BC246" s="128"/>
      <c r="BD246" s="128"/>
      <c r="BE246" s="128"/>
      <c r="BF246" s="128"/>
      <c r="BG246" s="128"/>
      <c r="BH246" s="128"/>
      <c r="BI246" s="128"/>
      <c r="BJ246" s="128"/>
      <c r="BK246" s="128"/>
      <c r="BL246" s="128"/>
      <c r="BM246" s="128"/>
      <c r="BN246" s="128"/>
      <c r="BO246" s="128"/>
      <c r="BP246" s="128"/>
      <c r="BQ246" s="128"/>
    </row>
    <row r="247" spans="1:69" ht="14.25" customHeight="1">
      <c r="A247" s="128"/>
      <c r="B247" s="128"/>
      <c r="C247" s="128"/>
      <c r="D247" s="128"/>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28"/>
      <c r="AA247" s="128"/>
      <c r="AB247" s="128"/>
      <c r="AC247" s="128"/>
      <c r="AD247" s="128"/>
      <c r="AE247" s="128"/>
      <c r="AF247" s="128"/>
      <c r="AG247" s="128"/>
      <c r="AH247" s="128"/>
      <c r="AI247" s="128"/>
      <c r="AJ247" s="128"/>
      <c r="AK247" s="128"/>
      <c r="AL247" s="128"/>
      <c r="AM247" s="128"/>
      <c r="AN247" s="128"/>
      <c r="AO247" s="128"/>
      <c r="AP247" s="128"/>
      <c r="AQ247" s="128"/>
      <c r="AR247" s="128"/>
      <c r="AS247" s="128"/>
      <c r="AT247" s="128"/>
      <c r="AU247" s="128"/>
      <c r="AV247" s="128"/>
      <c r="AW247" s="128"/>
      <c r="AX247" s="128"/>
      <c r="AY247" s="128"/>
      <c r="AZ247" s="128"/>
      <c r="BA247" s="128"/>
      <c r="BB247" s="128"/>
      <c r="BC247" s="128"/>
      <c r="BD247" s="128"/>
      <c r="BE247" s="128"/>
      <c r="BF247" s="128"/>
      <c r="BG247" s="128"/>
      <c r="BH247" s="128"/>
      <c r="BI247" s="128"/>
      <c r="BJ247" s="128"/>
      <c r="BK247" s="128"/>
      <c r="BL247" s="128"/>
      <c r="BM247" s="128"/>
      <c r="BN247" s="128"/>
      <c r="BO247" s="128"/>
      <c r="BP247" s="128"/>
      <c r="BQ247" s="128"/>
    </row>
    <row r="248" spans="1:69" ht="14.25" customHeight="1">
      <c r="A248" s="128"/>
      <c r="B248" s="128"/>
      <c r="C248" s="128"/>
      <c r="D248" s="128"/>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c r="AA248" s="128"/>
      <c r="AB248" s="128"/>
      <c r="AC248" s="128"/>
      <c r="AD248" s="128"/>
      <c r="AE248" s="128"/>
      <c r="AF248" s="128"/>
      <c r="AG248" s="128"/>
      <c r="AH248" s="128"/>
      <c r="AI248" s="128"/>
      <c r="AJ248" s="128"/>
      <c r="AK248" s="128"/>
      <c r="AL248" s="128"/>
      <c r="AM248" s="128"/>
      <c r="AN248" s="128"/>
      <c r="AO248" s="128"/>
      <c r="AP248" s="128"/>
      <c r="AQ248" s="128"/>
      <c r="AR248" s="128"/>
      <c r="AS248" s="128"/>
      <c r="AT248" s="128"/>
      <c r="AU248" s="128"/>
      <c r="AV248" s="128"/>
      <c r="AW248" s="128"/>
      <c r="AX248" s="128"/>
      <c r="AY248" s="128"/>
      <c r="AZ248" s="128"/>
      <c r="BA248" s="128"/>
      <c r="BB248" s="128"/>
      <c r="BC248" s="128"/>
      <c r="BD248" s="128"/>
      <c r="BE248" s="128"/>
      <c r="BF248" s="128"/>
      <c r="BG248" s="128"/>
      <c r="BH248" s="128"/>
      <c r="BI248" s="128"/>
      <c r="BJ248" s="128"/>
      <c r="BK248" s="128"/>
      <c r="BL248" s="128"/>
      <c r="BM248" s="128"/>
      <c r="BN248" s="128"/>
      <c r="BO248" s="128"/>
      <c r="BP248" s="128"/>
      <c r="BQ248" s="128"/>
    </row>
    <row r="249" spans="1:69" ht="14.25" customHeight="1">
      <c r="A249" s="128"/>
      <c r="B249" s="128"/>
      <c r="C249" s="128"/>
      <c r="D249" s="128"/>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28"/>
      <c r="AA249" s="128"/>
      <c r="AB249" s="128"/>
      <c r="AC249" s="128"/>
      <c r="AD249" s="128"/>
      <c r="AE249" s="128"/>
      <c r="AF249" s="128"/>
      <c r="AG249" s="128"/>
      <c r="AH249" s="128"/>
      <c r="AI249" s="128"/>
      <c r="AJ249" s="128"/>
      <c r="AK249" s="128"/>
      <c r="AL249" s="128"/>
      <c r="AM249" s="128"/>
      <c r="AN249" s="128"/>
      <c r="AO249" s="128"/>
      <c r="AP249" s="128"/>
      <c r="AQ249" s="128"/>
      <c r="AR249" s="128"/>
      <c r="AS249" s="128"/>
      <c r="AT249" s="128"/>
      <c r="AU249" s="128"/>
      <c r="AV249" s="128"/>
      <c r="AW249" s="128"/>
      <c r="AX249" s="128"/>
      <c r="AY249" s="128"/>
      <c r="AZ249" s="128"/>
      <c r="BA249" s="128"/>
      <c r="BB249" s="128"/>
      <c r="BC249" s="128"/>
      <c r="BD249" s="128"/>
      <c r="BE249" s="128"/>
      <c r="BF249" s="128"/>
      <c r="BG249" s="128"/>
      <c r="BH249" s="128"/>
      <c r="BI249" s="128"/>
      <c r="BJ249" s="128"/>
      <c r="BK249" s="128"/>
      <c r="BL249" s="128"/>
      <c r="BM249" s="128"/>
      <c r="BN249" s="128"/>
      <c r="BO249" s="128"/>
      <c r="BP249" s="128"/>
      <c r="BQ249" s="128"/>
    </row>
    <row r="250" spans="1:69" ht="14.25" customHeight="1">
      <c r="A250" s="128"/>
      <c r="B250" s="128"/>
      <c r="C250" s="128"/>
      <c r="D250" s="128"/>
      <c r="E250" s="128"/>
      <c r="F250" s="128"/>
      <c r="G250" s="128"/>
      <c r="H250" s="128"/>
      <c r="I250" s="128"/>
      <c r="J250" s="128"/>
      <c r="K250" s="128"/>
      <c r="L250" s="128"/>
      <c r="M250" s="128"/>
      <c r="N250" s="128"/>
      <c r="O250" s="128"/>
      <c r="P250" s="128"/>
      <c r="Q250" s="128"/>
      <c r="R250" s="128"/>
      <c r="S250" s="128"/>
      <c r="T250" s="128"/>
      <c r="U250" s="128"/>
      <c r="V250" s="128"/>
      <c r="W250" s="128"/>
      <c r="X250" s="128"/>
      <c r="Y250" s="128"/>
      <c r="Z250" s="128"/>
      <c r="AA250" s="128"/>
      <c r="AB250" s="128"/>
      <c r="AC250" s="128"/>
      <c r="AD250" s="128"/>
      <c r="AE250" s="128"/>
      <c r="AF250" s="128"/>
      <c r="AG250" s="128"/>
      <c r="AH250" s="128"/>
      <c r="AI250" s="128"/>
      <c r="AJ250" s="128"/>
      <c r="AK250" s="128"/>
      <c r="AL250" s="128"/>
      <c r="AM250" s="128"/>
      <c r="AN250" s="128"/>
      <c r="AO250" s="128"/>
      <c r="AP250" s="128"/>
      <c r="AQ250" s="128"/>
      <c r="AR250" s="128"/>
      <c r="AS250" s="128"/>
      <c r="AT250" s="128"/>
      <c r="AU250" s="128"/>
      <c r="AV250" s="128"/>
      <c r="AW250" s="128"/>
      <c r="AX250" s="128"/>
      <c r="AY250" s="128"/>
      <c r="AZ250" s="128"/>
      <c r="BA250" s="128"/>
      <c r="BB250" s="128"/>
      <c r="BC250" s="128"/>
      <c r="BD250" s="128"/>
      <c r="BE250" s="128"/>
      <c r="BF250" s="128"/>
      <c r="BG250" s="128"/>
      <c r="BH250" s="128"/>
      <c r="BI250" s="128"/>
      <c r="BJ250" s="128"/>
      <c r="BK250" s="128"/>
      <c r="BL250" s="128"/>
      <c r="BM250" s="128"/>
      <c r="BN250" s="128"/>
      <c r="BO250" s="128"/>
      <c r="BP250" s="128"/>
      <c r="BQ250" s="128"/>
    </row>
    <row r="251" spans="1:69" ht="14.25" customHeight="1">
      <c r="A251" s="128"/>
      <c r="B251" s="128"/>
      <c r="C251" s="128"/>
      <c r="D251" s="128"/>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row>
    <row r="252" spans="1:69" ht="14.25" customHeight="1">
      <c r="A252" s="128"/>
      <c r="B252" s="128"/>
      <c r="C252" s="128"/>
      <c r="D252" s="128"/>
      <c r="E252" s="128"/>
      <c r="F252" s="128"/>
      <c r="G252" s="128"/>
      <c r="H252" s="128"/>
      <c r="I252" s="128"/>
      <c r="J252" s="128"/>
      <c r="K252" s="128"/>
      <c r="L252" s="128"/>
      <c r="M252" s="128"/>
      <c r="N252" s="128"/>
      <c r="O252" s="128"/>
      <c r="P252" s="128"/>
      <c r="Q252" s="128"/>
      <c r="R252" s="128"/>
      <c r="S252" s="128"/>
      <c r="T252" s="128"/>
      <c r="U252" s="128"/>
      <c r="V252" s="128"/>
      <c r="W252" s="128"/>
      <c r="X252" s="128"/>
      <c r="Y252" s="128"/>
      <c r="Z252" s="128"/>
      <c r="AA252" s="128"/>
      <c r="AB252" s="128"/>
      <c r="AC252" s="128"/>
      <c r="AD252" s="128"/>
      <c r="AE252" s="128"/>
      <c r="AF252" s="128"/>
      <c r="AG252" s="128"/>
      <c r="AH252" s="128"/>
      <c r="AI252" s="128"/>
      <c r="AJ252" s="128"/>
      <c r="AK252" s="128"/>
      <c r="AL252" s="128"/>
      <c r="AM252" s="128"/>
      <c r="AN252" s="128"/>
      <c r="AO252" s="128"/>
      <c r="AP252" s="128"/>
      <c r="AQ252" s="128"/>
      <c r="AR252" s="128"/>
      <c r="AS252" s="128"/>
      <c r="AT252" s="128"/>
      <c r="AU252" s="128"/>
      <c r="AV252" s="128"/>
      <c r="AW252" s="128"/>
      <c r="AX252" s="128"/>
      <c r="AY252" s="128"/>
      <c r="AZ252" s="128"/>
      <c r="BA252" s="128"/>
      <c r="BB252" s="128"/>
      <c r="BC252" s="128"/>
      <c r="BD252" s="128"/>
      <c r="BE252" s="128"/>
      <c r="BF252" s="128"/>
      <c r="BG252" s="128"/>
      <c r="BH252" s="128"/>
      <c r="BI252" s="128"/>
      <c r="BJ252" s="128"/>
      <c r="BK252" s="128"/>
      <c r="BL252" s="128"/>
      <c r="BM252" s="128"/>
      <c r="BN252" s="128"/>
      <c r="BO252" s="128"/>
      <c r="BP252" s="128"/>
      <c r="BQ252" s="128"/>
    </row>
    <row r="253" spans="1:69" ht="14.25" customHeight="1">
      <c r="A253" s="128"/>
      <c r="B253" s="128"/>
      <c r="C253" s="12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c r="AA253" s="128"/>
      <c r="AB253" s="128"/>
      <c r="AC253" s="128"/>
      <c r="AD253" s="128"/>
      <c r="AE253" s="128"/>
      <c r="AF253" s="128"/>
      <c r="AG253" s="128"/>
      <c r="AH253" s="128"/>
      <c r="AI253" s="128"/>
      <c r="AJ253" s="128"/>
      <c r="AK253" s="128"/>
      <c r="AL253" s="128"/>
      <c r="AM253" s="128"/>
      <c r="AN253" s="128"/>
      <c r="AO253" s="128"/>
      <c r="AP253" s="128"/>
      <c r="AQ253" s="128"/>
      <c r="AR253" s="128"/>
      <c r="AS253" s="128"/>
      <c r="AT253" s="128"/>
      <c r="AU253" s="128"/>
      <c r="AV253" s="128"/>
      <c r="AW253" s="128"/>
      <c r="AX253" s="128"/>
      <c r="AY253" s="128"/>
      <c r="AZ253" s="128"/>
      <c r="BA253" s="128"/>
      <c r="BB253" s="128"/>
      <c r="BC253" s="128"/>
      <c r="BD253" s="128"/>
      <c r="BE253" s="128"/>
      <c r="BF253" s="128"/>
      <c r="BG253" s="128"/>
      <c r="BH253" s="128"/>
      <c r="BI253" s="128"/>
      <c r="BJ253" s="128"/>
      <c r="BK253" s="128"/>
      <c r="BL253" s="128"/>
      <c r="BM253" s="128"/>
      <c r="BN253" s="128"/>
      <c r="BO253" s="128"/>
      <c r="BP253" s="128"/>
      <c r="BQ253" s="128"/>
    </row>
    <row r="254" spans="1:69" ht="14.25" customHeight="1">
      <c r="A254" s="128"/>
      <c r="B254" s="128"/>
      <c r="C254" s="128"/>
      <c r="D254" s="128"/>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c r="AA254" s="128"/>
      <c r="AB254" s="128"/>
      <c r="AC254" s="128"/>
      <c r="AD254" s="128"/>
      <c r="AE254" s="128"/>
      <c r="AF254" s="128"/>
      <c r="AG254" s="128"/>
      <c r="AH254" s="128"/>
      <c r="AI254" s="128"/>
      <c r="AJ254" s="128"/>
      <c r="AK254" s="128"/>
      <c r="AL254" s="128"/>
      <c r="AM254" s="128"/>
      <c r="AN254" s="128"/>
      <c r="AO254" s="128"/>
      <c r="AP254" s="128"/>
      <c r="AQ254" s="128"/>
      <c r="AR254" s="128"/>
      <c r="AS254" s="128"/>
      <c r="AT254" s="128"/>
      <c r="AU254" s="128"/>
      <c r="AV254" s="128"/>
      <c r="AW254" s="128"/>
      <c r="AX254" s="128"/>
      <c r="AY254" s="128"/>
      <c r="AZ254" s="128"/>
      <c r="BA254" s="128"/>
      <c r="BB254" s="128"/>
      <c r="BC254" s="128"/>
      <c r="BD254" s="128"/>
      <c r="BE254" s="128"/>
      <c r="BF254" s="128"/>
      <c r="BG254" s="128"/>
      <c r="BH254" s="128"/>
      <c r="BI254" s="128"/>
      <c r="BJ254" s="128"/>
      <c r="BK254" s="128"/>
      <c r="BL254" s="128"/>
      <c r="BM254" s="128"/>
      <c r="BN254" s="128"/>
      <c r="BO254" s="128"/>
      <c r="BP254" s="128"/>
      <c r="BQ254" s="128"/>
    </row>
    <row r="255" spans="1:69" ht="14.25" customHeight="1">
      <c r="A255" s="128"/>
      <c r="B255" s="128"/>
      <c r="C255" s="128"/>
      <c r="D255" s="128"/>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28"/>
      <c r="AA255" s="128"/>
      <c r="AB255" s="128"/>
      <c r="AC255" s="128"/>
      <c r="AD255" s="128"/>
      <c r="AE255" s="128"/>
      <c r="AF255" s="128"/>
      <c r="AG255" s="128"/>
      <c r="AH255" s="128"/>
      <c r="AI255" s="128"/>
      <c r="AJ255" s="128"/>
      <c r="AK255" s="128"/>
      <c r="AL255" s="128"/>
      <c r="AM255" s="128"/>
      <c r="AN255" s="128"/>
      <c r="AO255" s="128"/>
      <c r="AP255" s="128"/>
      <c r="AQ255" s="128"/>
      <c r="AR255" s="128"/>
      <c r="AS255" s="128"/>
      <c r="AT255" s="128"/>
      <c r="AU255" s="128"/>
      <c r="AV255" s="128"/>
      <c r="AW255" s="128"/>
      <c r="AX255" s="128"/>
      <c r="AY255" s="128"/>
      <c r="AZ255" s="128"/>
      <c r="BA255" s="128"/>
      <c r="BB255" s="128"/>
      <c r="BC255" s="128"/>
      <c r="BD255" s="128"/>
      <c r="BE255" s="128"/>
      <c r="BF255" s="128"/>
      <c r="BG255" s="128"/>
      <c r="BH255" s="128"/>
      <c r="BI255" s="128"/>
      <c r="BJ255" s="128"/>
      <c r="BK255" s="128"/>
      <c r="BL255" s="128"/>
      <c r="BM255" s="128"/>
      <c r="BN255" s="128"/>
      <c r="BO255" s="128"/>
      <c r="BP255" s="128"/>
      <c r="BQ255" s="128"/>
    </row>
    <row r="256" spans="1:69" ht="14.25" customHeight="1">
      <c r="A256" s="128"/>
      <c r="B256" s="128"/>
      <c r="C256" s="128"/>
      <c r="D256" s="128"/>
      <c r="E256" s="128"/>
      <c r="F256" s="128"/>
      <c r="G256" s="128"/>
      <c r="H256" s="128"/>
      <c r="I256" s="128"/>
      <c r="J256" s="128"/>
      <c r="K256" s="128"/>
      <c r="L256" s="128"/>
      <c r="M256" s="128"/>
      <c r="N256" s="128"/>
      <c r="O256" s="128"/>
      <c r="P256" s="128"/>
      <c r="Q256" s="128"/>
      <c r="R256" s="128"/>
      <c r="S256" s="128"/>
      <c r="T256" s="128"/>
      <c r="U256" s="128"/>
      <c r="V256" s="128"/>
      <c r="W256" s="128"/>
      <c r="X256" s="128"/>
      <c r="Y256" s="128"/>
      <c r="Z256" s="128"/>
      <c r="AA256" s="128"/>
      <c r="AB256" s="128"/>
      <c r="AC256" s="128"/>
      <c r="AD256" s="128"/>
      <c r="AE256" s="128"/>
      <c r="AF256" s="128"/>
      <c r="AG256" s="128"/>
      <c r="AH256" s="128"/>
      <c r="AI256" s="128"/>
      <c r="AJ256" s="128"/>
      <c r="AK256" s="128"/>
      <c r="AL256" s="128"/>
      <c r="AM256" s="128"/>
      <c r="AN256" s="128"/>
      <c r="AO256" s="128"/>
      <c r="AP256" s="128"/>
      <c r="AQ256" s="128"/>
      <c r="AR256" s="128"/>
      <c r="AS256" s="128"/>
      <c r="AT256" s="128"/>
      <c r="AU256" s="128"/>
      <c r="AV256" s="128"/>
      <c r="AW256" s="128"/>
      <c r="AX256" s="128"/>
      <c r="AY256" s="128"/>
      <c r="AZ256" s="128"/>
      <c r="BA256" s="128"/>
      <c r="BB256" s="128"/>
      <c r="BC256" s="128"/>
      <c r="BD256" s="128"/>
      <c r="BE256" s="128"/>
      <c r="BF256" s="128"/>
      <c r="BG256" s="128"/>
      <c r="BH256" s="128"/>
      <c r="BI256" s="128"/>
      <c r="BJ256" s="128"/>
      <c r="BK256" s="128"/>
      <c r="BL256" s="128"/>
      <c r="BM256" s="128"/>
      <c r="BN256" s="128"/>
      <c r="BO256" s="128"/>
      <c r="BP256" s="128"/>
      <c r="BQ256" s="128"/>
    </row>
    <row r="257" spans="1:69" ht="14.25" customHeight="1">
      <c r="A257" s="128"/>
      <c r="B257" s="128"/>
      <c r="C257" s="128"/>
      <c r="D257" s="128"/>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28"/>
      <c r="AA257" s="128"/>
      <c r="AB257" s="128"/>
      <c r="AC257" s="128"/>
      <c r="AD257" s="128"/>
      <c r="AE257" s="128"/>
      <c r="AF257" s="128"/>
      <c r="AG257" s="128"/>
      <c r="AH257" s="128"/>
      <c r="AI257" s="128"/>
      <c r="AJ257" s="128"/>
      <c r="AK257" s="128"/>
      <c r="AL257" s="128"/>
      <c r="AM257" s="128"/>
      <c r="AN257" s="128"/>
      <c r="AO257" s="128"/>
      <c r="AP257" s="128"/>
      <c r="AQ257" s="128"/>
      <c r="AR257" s="128"/>
      <c r="AS257" s="128"/>
      <c r="AT257" s="128"/>
      <c r="AU257" s="128"/>
      <c r="AV257" s="128"/>
      <c r="AW257" s="128"/>
      <c r="AX257" s="128"/>
      <c r="AY257" s="128"/>
      <c r="AZ257" s="128"/>
      <c r="BA257" s="128"/>
      <c r="BB257" s="128"/>
      <c r="BC257" s="128"/>
      <c r="BD257" s="128"/>
      <c r="BE257" s="128"/>
      <c r="BF257" s="128"/>
      <c r="BG257" s="128"/>
      <c r="BH257" s="128"/>
      <c r="BI257" s="128"/>
      <c r="BJ257" s="128"/>
      <c r="BK257" s="128"/>
      <c r="BL257" s="128"/>
      <c r="BM257" s="128"/>
      <c r="BN257" s="128"/>
      <c r="BO257" s="128"/>
      <c r="BP257" s="128"/>
      <c r="BQ257" s="128"/>
    </row>
    <row r="258" spans="1:69" ht="14.25" customHeight="1">
      <c r="A258" s="128"/>
      <c r="B258" s="128"/>
      <c r="C258" s="128"/>
      <c r="D258" s="128"/>
      <c r="E258" s="128"/>
      <c r="F258" s="128"/>
      <c r="G258" s="128"/>
      <c r="H258" s="128"/>
      <c r="I258" s="128"/>
      <c r="J258" s="128"/>
      <c r="K258" s="128"/>
      <c r="L258" s="128"/>
      <c r="M258" s="128"/>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row>
    <row r="259" spans="1:69" ht="14.25" customHeight="1">
      <c r="A259" s="128"/>
      <c r="B259" s="128"/>
      <c r="C259" s="128"/>
      <c r="D259" s="128"/>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28"/>
      <c r="AA259" s="128"/>
      <c r="AB259" s="128"/>
      <c r="AC259" s="128"/>
      <c r="AD259" s="128"/>
      <c r="AE259" s="128"/>
      <c r="AF259" s="128"/>
      <c r="AG259" s="128"/>
      <c r="AH259" s="128"/>
      <c r="AI259" s="128"/>
      <c r="AJ259" s="128"/>
      <c r="AK259" s="128"/>
      <c r="AL259" s="128"/>
      <c r="AM259" s="128"/>
      <c r="AN259" s="128"/>
      <c r="AO259" s="128"/>
      <c r="AP259" s="128"/>
      <c r="AQ259" s="128"/>
      <c r="AR259" s="128"/>
      <c r="AS259" s="128"/>
      <c r="AT259" s="128"/>
      <c r="AU259" s="128"/>
      <c r="AV259" s="128"/>
      <c r="AW259" s="128"/>
      <c r="AX259" s="128"/>
      <c r="AY259" s="128"/>
      <c r="AZ259" s="128"/>
      <c r="BA259" s="128"/>
      <c r="BB259" s="128"/>
      <c r="BC259" s="128"/>
      <c r="BD259" s="128"/>
      <c r="BE259" s="128"/>
      <c r="BF259" s="128"/>
      <c r="BG259" s="128"/>
      <c r="BH259" s="128"/>
      <c r="BI259" s="128"/>
      <c r="BJ259" s="128"/>
      <c r="BK259" s="128"/>
      <c r="BL259" s="128"/>
      <c r="BM259" s="128"/>
      <c r="BN259" s="128"/>
      <c r="BO259" s="128"/>
      <c r="BP259" s="128"/>
      <c r="BQ259" s="128"/>
    </row>
    <row r="260" spans="1:69" ht="14.25" customHeight="1">
      <c r="A260" s="128"/>
      <c r="B260" s="128"/>
      <c r="C260" s="128"/>
      <c r="D260" s="128"/>
      <c r="E260" s="128"/>
      <c r="F260" s="128"/>
      <c r="G260" s="128"/>
      <c r="H260" s="128"/>
      <c r="I260" s="128"/>
      <c r="J260" s="128"/>
      <c r="K260" s="128"/>
      <c r="L260" s="128"/>
      <c r="M260" s="128"/>
      <c r="N260" s="128"/>
      <c r="O260" s="128"/>
      <c r="P260" s="128"/>
      <c r="Q260" s="128"/>
      <c r="R260" s="128"/>
      <c r="S260" s="128"/>
      <c r="T260" s="128"/>
      <c r="U260" s="128"/>
      <c r="V260" s="128"/>
      <c r="W260" s="128"/>
      <c r="X260" s="128"/>
      <c r="Y260" s="128"/>
      <c r="Z260" s="128"/>
      <c r="AA260" s="128"/>
      <c r="AB260" s="128"/>
      <c r="AC260" s="128"/>
      <c r="AD260" s="128"/>
      <c r="AE260" s="128"/>
      <c r="AF260" s="128"/>
      <c r="AG260" s="128"/>
      <c r="AH260" s="128"/>
      <c r="AI260" s="128"/>
      <c r="AJ260" s="128"/>
      <c r="AK260" s="128"/>
      <c r="AL260" s="128"/>
      <c r="AM260" s="128"/>
      <c r="AN260" s="128"/>
      <c r="AO260" s="128"/>
      <c r="AP260" s="128"/>
      <c r="AQ260" s="128"/>
      <c r="AR260" s="128"/>
      <c r="AS260" s="128"/>
      <c r="AT260" s="128"/>
      <c r="AU260" s="128"/>
      <c r="AV260" s="128"/>
      <c r="AW260" s="128"/>
      <c r="AX260" s="128"/>
      <c r="AY260" s="128"/>
      <c r="AZ260" s="128"/>
      <c r="BA260" s="128"/>
      <c r="BB260" s="128"/>
      <c r="BC260" s="128"/>
      <c r="BD260" s="128"/>
      <c r="BE260" s="128"/>
      <c r="BF260" s="128"/>
      <c r="BG260" s="128"/>
      <c r="BH260" s="128"/>
      <c r="BI260" s="128"/>
      <c r="BJ260" s="128"/>
      <c r="BK260" s="128"/>
      <c r="BL260" s="128"/>
      <c r="BM260" s="128"/>
      <c r="BN260" s="128"/>
      <c r="BO260" s="128"/>
      <c r="BP260" s="128"/>
      <c r="BQ260" s="128"/>
    </row>
    <row r="261" spans="1:69" ht="14.25" customHeight="1">
      <c r="A261" s="128"/>
      <c r="B261" s="128"/>
      <c r="C261" s="128"/>
      <c r="D261" s="128"/>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28"/>
      <c r="AA261" s="128"/>
      <c r="AB261" s="128"/>
      <c r="AC261" s="128"/>
      <c r="AD261" s="128"/>
      <c r="AE261" s="128"/>
      <c r="AF261" s="128"/>
      <c r="AG261" s="128"/>
      <c r="AH261" s="128"/>
      <c r="AI261" s="128"/>
      <c r="AJ261" s="128"/>
      <c r="AK261" s="128"/>
      <c r="AL261" s="128"/>
      <c r="AM261" s="128"/>
      <c r="AN261" s="128"/>
      <c r="AO261" s="128"/>
      <c r="AP261" s="128"/>
      <c r="AQ261" s="128"/>
      <c r="AR261" s="128"/>
      <c r="AS261" s="128"/>
      <c r="AT261" s="128"/>
      <c r="AU261" s="128"/>
      <c r="AV261" s="128"/>
      <c r="AW261" s="128"/>
      <c r="AX261" s="128"/>
      <c r="AY261" s="128"/>
      <c r="AZ261" s="128"/>
      <c r="BA261" s="128"/>
      <c r="BB261" s="128"/>
      <c r="BC261" s="128"/>
      <c r="BD261" s="128"/>
      <c r="BE261" s="128"/>
      <c r="BF261" s="128"/>
      <c r="BG261" s="128"/>
      <c r="BH261" s="128"/>
      <c r="BI261" s="128"/>
      <c r="BJ261" s="128"/>
      <c r="BK261" s="128"/>
      <c r="BL261" s="128"/>
      <c r="BM261" s="128"/>
      <c r="BN261" s="128"/>
      <c r="BO261" s="128"/>
      <c r="BP261" s="128"/>
      <c r="BQ261" s="128"/>
    </row>
    <row r="262" spans="1:69" ht="14.25" customHeight="1">
      <c r="A262" s="128"/>
      <c r="B262" s="128"/>
      <c r="C262" s="128"/>
      <c r="D262" s="128"/>
      <c r="E262" s="128"/>
      <c r="F262" s="128"/>
      <c r="G262" s="128"/>
      <c r="H262" s="128"/>
      <c r="I262" s="128"/>
      <c r="J262" s="128"/>
      <c r="K262" s="128"/>
      <c r="L262" s="128"/>
      <c r="M262" s="128"/>
      <c r="N262" s="128"/>
      <c r="O262" s="128"/>
      <c r="P262" s="128"/>
      <c r="Q262" s="128"/>
      <c r="R262" s="128"/>
      <c r="S262" s="128"/>
      <c r="T262" s="128"/>
      <c r="U262" s="128"/>
      <c r="V262" s="128"/>
      <c r="W262" s="128"/>
      <c r="X262" s="128"/>
      <c r="Y262" s="128"/>
      <c r="Z262" s="128"/>
      <c r="AA262" s="128"/>
      <c r="AB262" s="128"/>
      <c r="AC262" s="128"/>
      <c r="AD262" s="128"/>
      <c r="AE262" s="128"/>
      <c r="AF262" s="128"/>
      <c r="AG262" s="128"/>
      <c r="AH262" s="128"/>
      <c r="AI262" s="128"/>
      <c r="AJ262" s="128"/>
      <c r="AK262" s="128"/>
      <c r="AL262" s="128"/>
      <c r="AM262" s="128"/>
      <c r="AN262" s="128"/>
      <c r="AO262" s="128"/>
      <c r="AP262" s="128"/>
      <c r="AQ262" s="128"/>
      <c r="AR262" s="128"/>
      <c r="AS262" s="128"/>
      <c r="AT262" s="128"/>
      <c r="AU262" s="128"/>
      <c r="AV262" s="128"/>
      <c r="AW262" s="128"/>
      <c r="AX262" s="128"/>
      <c r="AY262" s="128"/>
      <c r="AZ262" s="128"/>
      <c r="BA262" s="128"/>
      <c r="BB262" s="128"/>
      <c r="BC262" s="128"/>
      <c r="BD262" s="128"/>
      <c r="BE262" s="128"/>
      <c r="BF262" s="128"/>
      <c r="BG262" s="128"/>
      <c r="BH262" s="128"/>
      <c r="BI262" s="128"/>
      <c r="BJ262" s="128"/>
      <c r="BK262" s="128"/>
      <c r="BL262" s="128"/>
      <c r="BM262" s="128"/>
      <c r="BN262" s="128"/>
      <c r="BO262" s="128"/>
      <c r="BP262" s="128"/>
      <c r="BQ262" s="128"/>
    </row>
    <row r="263" spans="1:69" ht="14.25" customHeight="1">
      <c r="A263" s="128"/>
      <c r="B263" s="128"/>
      <c r="C263" s="128"/>
      <c r="D263" s="128"/>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28"/>
      <c r="AA263" s="128"/>
      <c r="AB263" s="128"/>
      <c r="AC263" s="128"/>
      <c r="AD263" s="128"/>
      <c r="AE263" s="128"/>
      <c r="AF263" s="128"/>
      <c r="AG263" s="128"/>
      <c r="AH263" s="128"/>
      <c r="AI263" s="128"/>
      <c r="AJ263" s="128"/>
      <c r="AK263" s="128"/>
      <c r="AL263" s="128"/>
      <c r="AM263" s="128"/>
      <c r="AN263" s="128"/>
      <c r="AO263" s="128"/>
      <c r="AP263" s="128"/>
      <c r="AQ263" s="128"/>
      <c r="AR263" s="128"/>
      <c r="AS263" s="128"/>
      <c r="AT263" s="128"/>
      <c r="AU263" s="128"/>
      <c r="AV263" s="128"/>
      <c r="AW263" s="128"/>
      <c r="AX263" s="128"/>
      <c r="AY263" s="128"/>
      <c r="AZ263" s="128"/>
      <c r="BA263" s="128"/>
      <c r="BB263" s="128"/>
      <c r="BC263" s="128"/>
      <c r="BD263" s="128"/>
      <c r="BE263" s="128"/>
      <c r="BF263" s="128"/>
      <c r="BG263" s="128"/>
      <c r="BH263" s="128"/>
      <c r="BI263" s="128"/>
      <c r="BJ263" s="128"/>
      <c r="BK263" s="128"/>
      <c r="BL263" s="128"/>
      <c r="BM263" s="128"/>
      <c r="BN263" s="128"/>
      <c r="BO263" s="128"/>
      <c r="BP263" s="128"/>
      <c r="BQ263" s="128"/>
    </row>
    <row r="264" spans="1:69" ht="14.25" customHeight="1">
      <c r="A264" s="128"/>
      <c r="B264" s="128"/>
      <c r="C264" s="128"/>
      <c r="D264" s="128"/>
      <c r="E264" s="128"/>
      <c r="F264" s="128"/>
      <c r="G264" s="128"/>
      <c r="H264" s="128"/>
      <c r="I264" s="128"/>
      <c r="J264" s="128"/>
      <c r="K264" s="128"/>
      <c r="L264" s="128"/>
      <c r="M264" s="128"/>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row>
    <row r="265" spans="1:69" ht="14.25" customHeight="1">
      <c r="A265" s="128"/>
      <c r="B265" s="128"/>
      <c r="C265" s="128"/>
      <c r="D265" s="128"/>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28"/>
      <c r="AA265" s="128"/>
      <c r="AB265" s="128"/>
      <c r="AC265" s="128"/>
      <c r="AD265" s="128"/>
      <c r="AE265" s="128"/>
      <c r="AF265" s="128"/>
      <c r="AG265" s="128"/>
      <c r="AH265" s="128"/>
      <c r="AI265" s="128"/>
      <c r="AJ265" s="128"/>
      <c r="AK265" s="128"/>
      <c r="AL265" s="128"/>
      <c r="AM265" s="128"/>
      <c r="AN265" s="128"/>
      <c r="AO265" s="128"/>
      <c r="AP265" s="128"/>
      <c r="AQ265" s="128"/>
      <c r="AR265" s="128"/>
      <c r="AS265" s="128"/>
      <c r="AT265" s="128"/>
      <c r="AU265" s="128"/>
      <c r="AV265" s="128"/>
      <c r="AW265" s="128"/>
      <c r="AX265" s="128"/>
      <c r="AY265" s="128"/>
      <c r="AZ265" s="128"/>
      <c r="BA265" s="128"/>
      <c r="BB265" s="128"/>
      <c r="BC265" s="128"/>
      <c r="BD265" s="128"/>
      <c r="BE265" s="128"/>
      <c r="BF265" s="128"/>
      <c r="BG265" s="128"/>
      <c r="BH265" s="128"/>
      <c r="BI265" s="128"/>
      <c r="BJ265" s="128"/>
      <c r="BK265" s="128"/>
      <c r="BL265" s="128"/>
      <c r="BM265" s="128"/>
      <c r="BN265" s="128"/>
      <c r="BO265" s="128"/>
      <c r="BP265" s="128"/>
      <c r="BQ265" s="128"/>
    </row>
    <row r="266" spans="1:69" ht="14.25" customHeight="1">
      <c r="A266" s="128"/>
      <c r="B266" s="128"/>
      <c r="C266" s="128"/>
      <c r="D266" s="128"/>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c r="AA266" s="128"/>
      <c r="AB266" s="128"/>
      <c r="AC266" s="128"/>
      <c r="AD266" s="128"/>
      <c r="AE266" s="128"/>
      <c r="AF266" s="128"/>
      <c r="AG266" s="128"/>
      <c r="AH266" s="128"/>
      <c r="AI266" s="128"/>
      <c r="AJ266" s="128"/>
      <c r="AK266" s="128"/>
      <c r="AL266" s="128"/>
      <c r="AM266" s="128"/>
      <c r="AN266" s="128"/>
      <c r="AO266" s="128"/>
      <c r="AP266" s="128"/>
      <c r="AQ266" s="128"/>
      <c r="AR266" s="128"/>
      <c r="AS266" s="128"/>
      <c r="AT266" s="128"/>
      <c r="AU266" s="128"/>
      <c r="AV266" s="128"/>
      <c r="AW266" s="128"/>
      <c r="AX266" s="128"/>
      <c r="AY266" s="128"/>
      <c r="AZ266" s="128"/>
      <c r="BA266" s="128"/>
      <c r="BB266" s="128"/>
      <c r="BC266" s="128"/>
      <c r="BD266" s="128"/>
      <c r="BE266" s="128"/>
      <c r="BF266" s="128"/>
      <c r="BG266" s="128"/>
      <c r="BH266" s="128"/>
      <c r="BI266" s="128"/>
      <c r="BJ266" s="128"/>
      <c r="BK266" s="128"/>
      <c r="BL266" s="128"/>
      <c r="BM266" s="128"/>
      <c r="BN266" s="128"/>
      <c r="BO266" s="128"/>
      <c r="BP266" s="128"/>
      <c r="BQ266" s="128"/>
    </row>
    <row r="267" spans="1:69" ht="14.25" customHeight="1">
      <c r="A267" s="128"/>
      <c r="B267" s="128"/>
      <c r="C267" s="128"/>
      <c r="D267" s="128"/>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28"/>
      <c r="AA267" s="128"/>
      <c r="AB267" s="128"/>
      <c r="AC267" s="128"/>
      <c r="AD267" s="128"/>
      <c r="AE267" s="128"/>
      <c r="AF267" s="128"/>
      <c r="AG267" s="128"/>
      <c r="AH267" s="128"/>
      <c r="AI267" s="128"/>
      <c r="AJ267" s="128"/>
      <c r="AK267" s="128"/>
      <c r="AL267" s="128"/>
      <c r="AM267" s="128"/>
      <c r="AN267" s="128"/>
      <c r="AO267" s="128"/>
      <c r="AP267" s="128"/>
      <c r="AQ267" s="128"/>
      <c r="AR267" s="128"/>
      <c r="AS267" s="128"/>
      <c r="AT267" s="128"/>
      <c r="AU267" s="128"/>
      <c r="AV267" s="128"/>
      <c r="AW267" s="128"/>
      <c r="AX267" s="128"/>
      <c r="AY267" s="128"/>
      <c r="AZ267" s="128"/>
      <c r="BA267" s="128"/>
      <c r="BB267" s="128"/>
      <c r="BC267" s="128"/>
      <c r="BD267" s="128"/>
      <c r="BE267" s="128"/>
      <c r="BF267" s="128"/>
      <c r="BG267" s="128"/>
      <c r="BH267" s="128"/>
      <c r="BI267" s="128"/>
      <c r="BJ267" s="128"/>
      <c r="BK267" s="128"/>
      <c r="BL267" s="128"/>
      <c r="BM267" s="128"/>
      <c r="BN267" s="128"/>
      <c r="BO267" s="128"/>
      <c r="BP267" s="128"/>
      <c r="BQ267" s="128"/>
    </row>
    <row r="268" spans="1:69" ht="14.25" customHeight="1">
      <c r="A268" s="128"/>
      <c r="B268" s="128"/>
      <c r="C268" s="128"/>
      <c r="D268" s="128"/>
      <c r="E268" s="128"/>
      <c r="F268" s="128"/>
      <c r="G268" s="128"/>
      <c r="H268" s="128"/>
      <c r="I268" s="128"/>
      <c r="J268" s="128"/>
      <c r="K268" s="128"/>
      <c r="L268" s="128"/>
      <c r="M268" s="128"/>
      <c r="N268" s="128"/>
      <c r="O268" s="128"/>
      <c r="P268" s="128"/>
      <c r="Q268" s="128"/>
      <c r="R268" s="128"/>
      <c r="S268" s="128"/>
      <c r="T268" s="128"/>
      <c r="U268" s="128"/>
      <c r="V268" s="128"/>
      <c r="W268" s="128"/>
      <c r="X268" s="128"/>
      <c r="Y268" s="128"/>
      <c r="Z268" s="128"/>
      <c r="AA268" s="128"/>
      <c r="AB268" s="128"/>
      <c r="AC268" s="128"/>
      <c r="AD268" s="128"/>
      <c r="AE268" s="128"/>
      <c r="AF268" s="128"/>
      <c r="AG268" s="128"/>
      <c r="AH268" s="128"/>
      <c r="AI268" s="128"/>
      <c r="AJ268" s="128"/>
      <c r="AK268" s="128"/>
      <c r="AL268" s="128"/>
      <c r="AM268" s="128"/>
      <c r="AN268" s="128"/>
      <c r="AO268" s="128"/>
      <c r="AP268" s="128"/>
      <c r="AQ268" s="128"/>
      <c r="AR268" s="128"/>
      <c r="AS268" s="128"/>
      <c r="AT268" s="128"/>
      <c r="AU268" s="128"/>
      <c r="AV268" s="128"/>
      <c r="AW268" s="128"/>
      <c r="AX268" s="128"/>
      <c r="AY268" s="128"/>
      <c r="AZ268" s="128"/>
      <c r="BA268" s="128"/>
      <c r="BB268" s="128"/>
      <c r="BC268" s="128"/>
      <c r="BD268" s="128"/>
      <c r="BE268" s="128"/>
      <c r="BF268" s="128"/>
      <c r="BG268" s="128"/>
      <c r="BH268" s="128"/>
      <c r="BI268" s="128"/>
      <c r="BJ268" s="128"/>
      <c r="BK268" s="128"/>
      <c r="BL268" s="128"/>
      <c r="BM268" s="128"/>
      <c r="BN268" s="128"/>
      <c r="BO268" s="128"/>
      <c r="BP268" s="128"/>
      <c r="BQ268" s="128"/>
    </row>
    <row r="269" spans="1:69" ht="14.25" customHeight="1">
      <c r="A269" s="128"/>
      <c r="B269" s="128"/>
      <c r="C269" s="128"/>
      <c r="D269" s="128"/>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28"/>
      <c r="AA269" s="128"/>
      <c r="AB269" s="128"/>
      <c r="AC269" s="128"/>
      <c r="AD269" s="128"/>
      <c r="AE269" s="128"/>
      <c r="AF269" s="128"/>
      <c r="AG269" s="128"/>
      <c r="AH269" s="128"/>
      <c r="AI269" s="128"/>
      <c r="AJ269" s="128"/>
      <c r="AK269" s="128"/>
      <c r="AL269" s="128"/>
      <c r="AM269" s="128"/>
      <c r="AN269" s="128"/>
      <c r="AO269" s="128"/>
      <c r="AP269" s="128"/>
      <c r="AQ269" s="128"/>
      <c r="AR269" s="128"/>
      <c r="AS269" s="128"/>
      <c r="AT269" s="128"/>
      <c r="AU269" s="128"/>
      <c r="AV269" s="128"/>
      <c r="AW269" s="128"/>
      <c r="AX269" s="128"/>
      <c r="AY269" s="128"/>
      <c r="AZ269" s="128"/>
      <c r="BA269" s="128"/>
      <c r="BB269" s="128"/>
      <c r="BC269" s="128"/>
      <c r="BD269" s="128"/>
      <c r="BE269" s="128"/>
      <c r="BF269" s="128"/>
      <c r="BG269" s="128"/>
      <c r="BH269" s="128"/>
      <c r="BI269" s="128"/>
      <c r="BJ269" s="128"/>
      <c r="BK269" s="128"/>
      <c r="BL269" s="128"/>
      <c r="BM269" s="128"/>
      <c r="BN269" s="128"/>
      <c r="BO269" s="128"/>
      <c r="BP269" s="128"/>
      <c r="BQ269" s="128"/>
    </row>
    <row r="270" spans="1:69" ht="14.25" customHeight="1">
      <c r="A270" s="128"/>
      <c r="B270" s="128"/>
      <c r="C270" s="128"/>
      <c r="D270" s="128"/>
      <c r="E270" s="128"/>
      <c r="F270" s="128"/>
      <c r="G270" s="128"/>
      <c r="H270" s="128"/>
      <c r="I270" s="128"/>
      <c r="J270" s="128"/>
      <c r="K270" s="128"/>
      <c r="L270" s="128"/>
      <c r="M270" s="128"/>
      <c r="N270" s="128"/>
      <c r="O270" s="128"/>
      <c r="P270" s="128"/>
      <c r="Q270" s="128"/>
      <c r="R270" s="128"/>
      <c r="S270" s="128"/>
      <c r="T270" s="128"/>
      <c r="U270" s="128"/>
      <c r="V270" s="128"/>
      <c r="W270" s="128"/>
      <c r="X270" s="128"/>
      <c r="Y270" s="128"/>
      <c r="Z270" s="128"/>
      <c r="AA270" s="128"/>
      <c r="AB270" s="128"/>
      <c r="AC270" s="128"/>
      <c r="AD270" s="128"/>
      <c r="AE270" s="128"/>
      <c r="AF270" s="128"/>
      <c r="AG270" s="128"/>
      <c r="AH270" s="128"/>
      <c r="AI270" s="128"/>
      <c r="AJ270" s="128"/>
      <c r="AK270" s="128"/>
      <c r="AL270" s="128"/>
      <c r="AM270" s="128"/>
      <c r="AN270" s="128"/>
      <c r="AO270" s="128"/>
      <c r="AP270" s="128"/>
      <c r="AQ270" s="128"/>
      <c r="AR270" s="128"/>
      <c r="AS270" s="128"/>
      <c r="AT270" s="128"/>
      <c r="AU270" s="128"/>
      <c r="AV270" s="128"/>
      <c r="AW270" s="128"/>
      <c r="AX270" s="128"/>
      <c r="AY270" s="128"/>
      <c r="AZ270" s="128"/>
      <c r="BA270" s="128"/>
      <c r="BB270" s="128"/>
      <c r="BC270" s="128"/>
      <c r="BD270" s="128"/>
      <c r="BE270" s="128"/>
      <c r="BF270" s="128"/>
      <c r="BG270" s="128"/>
      <c r="BH270" s="128"/>
      <c r="BI270" s="128"/>
      <c r="BJ270" s="128"/>
      <c r="BK270" s="128"/>
      <c r="BL270" s="128"/>
      <c r="BM270" s="128"/>
      <c r="BN270" s="128"/>
      <c r="BO270" s="128"/>
      <c r="BP270" s="128"/>
      <c r="BQ270" s="128"/>
    </row>
    <row r="271" spans="1:69" ht="14.25" customHeight="1">
      <c r="A271" s="128"/>
      <c r="B271" s="128"/>
      <c r="C271" s="128"/>
      <c r="D271" s="128"/>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row>
    <row r="272" spans="1:69" ht="14.25" customHeight="1">
      <c r="A272" s="128"/>
      <c r="B272" s="128"/>
      <c r="C272" s="128"/>
      <c r="D272" s="128"/>
      <c r="E272" s="128"/>
      <c r="F272" s="128"/>
      <c r="G272" s="128"/>
      <c r="H272" s="128"/>
      <c r="I272" s="128"/>
      <c r="J272" s="128"/>
      <c r="K272" s="128"/>
      <c r="L272" s="128"/>
      <c r="M272" s="128"/>
      <c r="N272" s="128"/>
      <c r="O272" s="128"/>
      <c r="P272" s="128"/>
      <c r="Q272" s="128"/>
      <c r="R272" s="128"/>
      <c r="S272" s="128"/>
      <c r="T272" s="128"/>
      <c r="U272" s="128"/>
      <c r="V272" s="128"/>
      <c r="W272" s="128"/>
      <c r="X272" s="128"/>
      <c r="Y272" s="128"/>
      <c r="Z272" s="128"/>
      <c r="AA272" s="128"/>
      <c r="AB272" s="128"/>
      <c r="AC272" s="128"/>
      <c r="AD272" s="128"/>
      <c r="AE272" s="128"/>
      <c r="AF272" s="128"/>
      <c r="AG272" s="128"/>
      <c r="AH272" s="128"/>
      <c r="AI272" s="128"/>
      <c r="AJ272" s="128"/>
      <c r="AK272" s="128"/>
      <c r="AL272" s="128"/>
      <c r="AM272" s="128"/>
      <c r="AN272" s="128"/>
      <c r="AO272" s="128"/>
      <c r="AP272" s="128"/>
      <c r="AQ272" s="128"/>
      <c r="AR272" s="128"/>
      <c r="AS272" s="128"/>
      <c r="AT272" s="128"/>
      <c r="AU272" s="128"/>
      <c r="AV272" s="128"/>
      <c r="AW272" s="128"/>
      <c r="AX272" s="128"/>
      <c r="AY272" s="128"/>
      <c r="AZ272" s="128"/>
      <c r="BA272" s="128"/>
      <c r="BB272" s="128"/>
      <c r="BC272" s="128"/>
      <c r="BD272" s="128"/>
      <c r="BE272" s="128"/>
      <c r="BF272" s="128"/>
      <c r="BG272" s="128"/>
      <c r="BH272" s="128"/>
      <c r="BI272" s="128"/>
      <c r="BJ272" s="128"/>
      <c r="BK272" s="128"/>
      <c r="BL272" s="128"/>
      <c r="BM272" s="128"/>
      <c r="BN272" s="128"/>
      <c r="BO272" s="128"/>
      <c r="BP272" s="128"/>
      <c r="BQ272" s="128"/>
    </row>
    <row r="273" spans="1:69" ht="14.25" customHeight="1">
      <c r="A273" s="128"/>
      <c r="B273" s="128"/>
      <c r="C273" s="128"/>
      <c r="D273" s="128"/>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28"/>
      <c r="AA273" s="128"/>
      <c r="AB273" s="128"/>
      <c r="AC273" s="128"/>
      <c r="AD273" s="128"/>
      <c r="AE273" s="128"/>
      <c r="AF273" s="128"/>
      <c r="AG273" s="128"/>
      <c r="AH273" s="128"/>
      <c r="AI273" s="128"/>
      <c r="AJ273" s="128"/>
      <c r="AK273" s="128"/>
      <c r="AL273" s="128"/>
      <c r="AM273" s="128"/>
      <c r="AN273" s="128"/>
      <c r="AO273" s="128"/>
      <c r="AP273" s="128"/>
      <c r="AQ273" s="128"/>
      <c r="AR273" s="128"/>
      <c r="AS273" s="128"/>
      <c r="AT273" s="128"/>
      <c r="AU273" s="128"/>
      <c r="AV273" s="128"/>
      <c r="AW273" s="128"/>
      <c r="AX273" s="128"/>
      <c r="AY273" s="128"/>
      <c r="AZ273" s="128"/>
      <c r="BA273" s="128"/>
      <c r="BB273" s="128"/>
      <c r="BC273" s="128"/>
      <c r="BD273" s="128"/>
      <c r="BE273" s="128"/>
      <c r="BF273" s="128"/>
      <c r="BG273" s="128"/>
      <c r="BH273" s="128"/>
      <c r="BI273" s="128"/>
      <c r="BJ273" s="128"/>
      <c r="BK273" s="128"/>
      <c r="BL273" s="128"/>
      <c r="BM273" s="128"/>
      <c r="BN273" s="128"/>
      <c r="BO273" s="128"/>
      <c r="BP273" s="128"/>
      <c r="BQ273" s="128"/>
    </row>
    <row r="274" spans="1:69" ht="15.75" customHeight="1"/>
    <row r="275" spans="1:69" ht="15.75" customHeight="1"/>
    <row r="276" spans="1:69" ht="15.75" customHeight="1"/>
    <row r="277" spans="1:69" ht="15.75" customHeight="1"/>
    <row r="278" spans="1:69" ht="15.75" customHeight="1"/>
    <row r="279" spans="1:69" ht="15.75" customHeight="1"/>
    <row r="280" spans="1:69" ht="15.75" customHeight="1"/>
    <row r="281" spans="1:69" ht="15.75" customHeight="1"/>
    <row r="282" spans="1:69" ht="15.75" customHeight="1"/>
    <row r="283" spans="1:69" ht="15.75" customHeight="1"/>
    <row r="284" spans="1:69" ht="15.75" customHeight="1"/>
    <row r="285" spans="1:69" ht="15.75" customHeight="1"/>
    <row r="286" spans="1:69" ht="15.75" customHeight="1"/>
    <row r="287" spans="1:69" ht="15.75" customHeight="1"/>
    <row r="288" spans="1:69"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7">
    <mergeCell ref="P3:U3"/>
    <mergeCell ref="O4:U4"/>
    <mergeCell ref="AP4:AU4"/>
    <mergeCell ref="M5:U5"/>
    <mergeCell ref="AA5:AF5"/>
    <mergeCell ref="AP5:AT5"/>
    <mergeCell ref="BF5:BK5"/>
    <mergeCell ref="AA11:AF11"/>
    <mergeCell ref="AM11:AN11"/>
    <mergeCell ref="J8:K8"/>
    <mergeCell ref="J9:K9"/>
    <mergeCell ref="Q9:R9"/>
    <mergeCell ref="J10:K10"/>
    <mergeCell ref="J11:K11"/>
    <mergeCell ref="X11:Y11"/>
    <mergeCell ref="AP11:AU11"/>
    <mergeCell ref="BC15:BD15"/>
    <mergeCell ref="BC18:BD18"/>
    <mergeCell ref="J13:K13"/>
    <mergeCell ref="J14:K14"/>
    <mergeCell ref="J15:K15"/>
    <mergeCell ref="X15:Y15"/>
    <mergeCell ref="AM15:AN15"/>
    <mergeCell ref="X18:Y18"/>
    <mergeCell ref="AM18:AN18"/>
    <mergeCell ref="J18:K18"/>
    <mergeCell ref="BM18:BP19"/>
    <mergeCell ref="BC19:BD19"/>
    <mergeCell ref="BC9:BD9"/>
    <mergeCell ref="BC11:BD11"/>
    <mergeCell ref="BF11:BK11"/>
    <mergeCell ref="AW14:AZ14"/>
    <mergeCell ref="BM14:BP14"/>
    <mergeCell ref="AW15:AZ15"/>
    <mergeCell ref="BM15:BP15"/>
    <mergeCell ref="BM32:BP32"/>
    <mergeCell ref="J32:K32"/>
    <mergeCell ref="O32:R32"/>
    <mergeCell ref="X32:Y32"/>
    <mergeCell ref="AA32:AF32"/>
    <mergeCell ref="AH32:AJ32"/>
    <mergeCell ref="AM32:AN32"/>
    <mergeCell ref="AP32:AU32"/>
    <mergeCell ref="J19:K19"/>
    <mergeCell ref="J21:K21"/>
    <mergeCell ref="AW23:AZ23"/>
    <mergeCell ref="AW24:AZ24"/>
    <mergeCell ref="BC24:BD24"/>
    <mergeCell ref="BM24:BP24"/>
    <mergeCell ref="X21:Y21"/>
    <mergeCell ref="AA21:AF21"/>
    <mergeCell ref="AP21:AU21"/>
    <mergeCell ref="BC21:BD21"/>
    <mergeCell ref="BF21:BK21"/>
    <mergeCell ref="BC23:BD23"/>
    <mergeCell ref="BM23:BP23"/>
    <mergeCell ref="J24:K24"/>
    <mergeCell ref="X24:Y24"/>
    <mergeCell ref="AM24:AN24"/>
    <mergeCell ref="AP53:AQ53"/>
    <mergeCell ref="AP54:AQ54"/>
    <mergeCell ref="X34:Y34"/>
    <mergeCell ref="AA34:AF34"/>
    <mergeCell ref="AH34:AK34"/>
    <mergeCell ref="AP34:AU34"/>
    <mergeCell ref="AW32:AZ32"/>
    <mergeCell ref="BC32:BD32"/>
    <mergeCell ref="BF32:BK32"/>
    <mergeCell ref="BC41:BD41"/>
    <mergeCell ref="BF41:BK41"/>
    <mergeCell ref="AW35:AY35"/>
    <mergeCell ref="BC35:BD35"/>
    <mergeCell ref="BF35:BK35"/>
    <mergeCell ref="AM34:AN34"/>
    <mergeCell ref="AM36:AN36"/>
    <mergeCell ref="AM38:AN38"/>
    <mergeCell ref="AP38:AU38"/>
    <mergeCell ref="BM35:BO35"/>
    <mergeCell ref="AW37:AZ37"/>
    <mergeCell ref="BF37:BK37"/>
    <mergeCell ref="BM37:BP37"/>
    <mergeCell ref="AA40:AF40"/>
    <mergeCell ref="AH40:AK40"/>
    <mergeCell ref="AM40:AN40"/>
    <mergeCell ref="AP40:AU40"/>
    <mergeCell ref="J35:K35"/>
    <mergeCell ref="J37:K37"/>
    <mergeCell ref="O37:U37"/>
    <mergeCell ref="X38:Y38"/>
    <mergeCell ref="J40:K40"/>
    <mergeCell ref="O40:R40"/>
    <mergeCell ref="X40:Y40"/>
    <mergeCell ref="O35:U35"/>
    <mergeCell ref="X36:Y36"/>
    <mergeCell ref="AP36:AU36"/>
    <mergeCell ref="BC37:BD37"/>
    <mergeCell ref="BC39:BD39"/>
    <mergeCell ref="BF39:BK39"/>
    <mergeCell ref="AH23:AK23"/>
    <mergeCell ref="AH24:AK24"/>
    <mergeCell ref="AH26:AJ27"/>
    <mergeCell ref="AM26:AN26"/>
    <mergeCell ref="AW26:AY27"/>
    <mergeCell ref="BC26:BD26"/>
    <mergeCell ref="H19:I19"/>
    <mergeCell ref="X19:Y19"/>
    <mergeCell ref="AH19:AK19"/>
    <mergeCell ref="AM19:AN19"/>
    <mergeCell ref="AH20:AK21"/>
    <mergeCell ref="AM21:AN21"/>
    <mergeCell ref="J22:K22"/>
    <mergeCell ref="J23:K23"/>
    <mergeCell ref="X23:Y23"/>
    <mergeCell ref="AM23:AN23"/>
    <mergeCell ref="G21:I24"/>
    <mergeCell ref="H26:I26"/>
    <mergeCell ref="J26:K26"/>
    <mergeCell ref="H27:I27"/>
    <mergeCell ref="J27:K27"/>
    <mergeCell ref="H28:I28"/>
    <mergeCell ref="J28:K28"/>
    <mergeCell ref="BM26:BO27"/>
    <mergeCell ref="J30:K30"/>
    <mergeCell ref="O30:U30"/>
    <mergeCell ref="X30:Y30"/>
    <mergeCell ref="AA30:AF30"/>
    <mergeCell ref="AM30:AN30"/>
    <mergeCell ref="AP30:AU30"/>
    <mergeCell ref="BC30:BD30"/>
    <mergeCell ref="BF30:BK30"/>
    <mergeCell ref="X26:Y26"/>
    <mergeCell ref="X28:Y28"/>
    <mergeCell ref="AA28:AF28"/>
    <mergeCell ref="AM28:AN28"/>
    <mergeCell ref="AP28:AU28"/>
    <mergeCell ref="BC28:BD28"/>
    <mergeCell ref="BF28:BK28"/>
  </mergeCells>
  <pageMargins left="0.25" right="0.25" top="0.75" bottom="0.75" header="0" footer="0"/>
  <pageSetup paperSize="9" scale="32" orientation="landscape"/>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00"/>
  <sheetViews>
    <sheetView showGridLines="0" workbookViewId="0"/>
  </sheetViews>
  <sheetFormatPr baseColWidth="10" defaultColWidth="14.44140625" defaultRowHeight="15" customHeight="1" outlineLevelCol="1"/>
  <cols>
    <col min="1" max="4" width="1.6640625" customWidth="1"/>
    <col min="5" max="5" width="4" customWidth="1"/>
    <col min="6" max="6" width="3.33203125" customWidth="1"/>
    <col min="7" max="7" width="7.6640625" customWidth="1"/>
    <col min="8" max="8" width="11.44140625" customWidth="1"/>
    <col min="9" max="9" width="20" customWidth="1"/>
    <col min="10" max="10" width="15.33203125" customWidth="1"/>
    <col min="11" max="11" width="17" customWidth="1"/>
    <col min="12" max="12" width="4.44140625" customWidth="1"/>
    <col min="13" max="13" width="17.44140625" hidden="1" customWidth="1"/>
    <col min="14" max="14" width="15.33203125" hidden="1" customWidth="1" outlineLevel="1"/>
    <col min="15" max="15" width="15.6640625" hidden="1" customWidth="1" outlineLevel="1"/>
    <col min="16" max="16" width="18.44140625" hidden="1" customWidth="1"/>
    <col min="17" max="20" width="18.44140625" customWidth="1"/>
    <col min="21" max="21" width="20.109375" customWidth="1"/>
    <col min="22" max="22" width="13.6640625" customWidth="1"/>
    <col min="23" max="23" width="5.6640625" customWidth="1"/>
    <col min="24" max="25" width="11.44140625" customWidth="1"/>
    <col min="26" max="26" width="2.33203125" customWidth="1"/>
    <col min="27" max="27" width="18.44140625" hidden="1" customWidth="1"/>
    <col min="28" max="28" width="18.33203125" hidden="1" customWidth="1"/>
    <col min="29" max="30" width="18.44140625" hidden="1" customWidth="1"/>
    <col min="31" max="31" width="16.6640625" hidden="1" customWidth="1"/>
    <col min="32" max="32" width="18.33203125" hidden="1" customWidth="1"/>
    <col min="33" max="33" width="1.6640625" hidden="1" customWidth="1"/>
    <col min="34" max="37" width="11.44140625" hidden="1" customWidth="1"/>
    <col min="38" max="38" width="7.6640625" hidden="1" customWidth="1"/>
    <col min="39" max="39" width="12.6640625" customWidth="1"/>
    <col min="40" max="40" width="22.44140625" customWidth="1"/>
    <col min="41" max="41" width="4.44140625" customWidth="1"/>
    <col min="42" max="42" width="17.44140625" customWidth="1"/>
    <col min="43" max="43" width="20.33203125" customWidth="1"/>
    <col min="44" max="44" width="28.33203125" customWidth="1"/>
    <col min="45" max="45" width="23.33203125" customWidth="1"/>
    <col min="46" max="46" width="23.44140625" customWidth="1"/>
    <col min="47" max="47" width="19" customWidth="1"/>
    <col min="48" max="48" width="3" customWidth="1"/>
    <col min="49" max="49" width="21.44140625" customWidth="1"/>
    <col min="50" max="50" width="14.109375" customWidth="1"/>
    <col min="51" max="51" width="18.6640625" customWidth="1"/>
    <col min="52" max="52" width="11.44140625" customWidth="1"/>
    <col min="53" max="53" width="5.33203125" customWidth="1"/>
    <col min="54" max="54" width="4" customWidth="1"/>
    <col min="55" max="56" width="11.44140625" customWidth="1"/>
    <col min="57" max="57" width="2.6640625" customWidth="1"/>
    <col min="58" max="58" width="15" customWidth="1"/>
    <col min="59" max="59" width="14" customWidth="1"/>
    <col min="60" max="60" width="13.44140625" customWidth="1"/>
    <col min="61" max="62" width="16.6640625" customWidth="1"/>
    <col min="63" max="63" width="16.44140625" customWidth="1"/>
    <col min="64" max="64" width="2.33203125" customWidth="1"/>
    <col min="65" max="69" width="11.44140625" customWidth="1"/>
  </cols>
  <sheetData>
    <row r="1" spans="1:69" ht="14.25" customHeight="1">
      <c r="A1" s="128"/>
      <c r="B1" s="128"/>
      <c r="C1" s="128"/>
      <c r="D1" s="128"/>
      <c r="E1" s="128"/>
      <c r="F1" s="128"/>
      <c r="G1" s="128"/>
      <c r="H1" s="128"/>
      <c r="I1" s="128"/>
      <c r="J1" s="128"/>
      <c r="K1" s="128"/>
      <c r="L1" s="128"/>
      <c r="M1" s="128"/>
      <c r="N1" s="128"/>
      <c r="O1" s="128"/>
      <c r="P1" s="128"/>
      <c r="Q1" s="128"/>
      <c r="R1" s="128"/>
      <c r="S1" s="128"/>
      <c r="T1" s="128"/>
      <c r="U1" s="128"/>
      <c r="V1" s="128"/>
      <c r="W1" s="128"/>
      <c r="X1" s="51"/>
      <c r="Y1" s="128"/>
      <c r="Z1" s="128"/>
      <c r="AA1" s="128"/>
      <c r="AB1" s="128"/>
      <c r="AC1" s="128"/>
      <c r="AD1" s="128"/>
      <c r="AE1" s="128"/>
      <c r="AF1" s="128"/>
      <c r="AG1" s="128"/>
      <c r="AH1" s="128"/>
      <c r="AI1" s="128"/>
      <c r="AJ1" s="128"/>
      <c r="AK1" s="128"/>
      <c r="AL1" s="128"/>
      <c r="AM1" s="128"/>
      <c r="AN1" s="128"/>
      <c r="AO1" s="128"/>
      <c r="AP1" s="128"/>
      <c r="AQ1" s="128"/>
      <c r="AR1" s="128"/>
      <c r="AS1" s="128"/>
      <c r="AT1" s="128"/>
      <c r="AU1" s="128"/>
      <c r="AV1" s="128"/>
      <c r="AW1" s="128"/>
      <c r="AX1" s="128"/>
      <c r="AY1" s="128"/>
      <c r="AZ1" s="128"/>
      <c r="BA1" s="128"/>
      <c r="BB1" s="128"/>
      <c r="BC1" s="128"/>
      <c r="BD1" s="128"/>
      <c r="BE1" s="128"/>
      <c r="BF1" s="128"/>
      <c r="BG1" s="128"/>
      <c r="BH1" s="128"/>
      <c r="BI1" s="128"/>
      <c r="BJ1" s="128"/>
      <c r="BK1" s="128"/>
      <c r="BL1" s="128"/>
      <c r="BM1" s="128"/>
      <c r="BN1" s="128"/>
      <c r="BO1" s="128"/>
      <c r="BP1" s="128"/>
      <c r="BQ1" s="128"/>
    </row>
    <row r="2" spans="1:69" ht="14.25" customHeight="1">
      <c r="A2" s="128"/>
      <c r="B2" s="128"/>
      <c r="C2" s="128"/>
      <c r="D2" s="128"/>
      <c r="E2" s="128"/>
      <c r="F2" s="522"/>
      <c r="G2" s="836"/>
      <c r="H2" s="836"/>
      <c r="I2" s="836"/>
      <c r="J2" s="837"/>
      <c r="K2" s="836"/>
      <c r="L2" s="836"/>
      <c r="M2" s="836"/>
      <c r="N2" s="836"/>
      <c r="O2" s="836"/>
      <c r="P2" s="836"/>
      <c r="Q2" s="836"/>
      <c r="R2" s="836"/>
      <c r="S2" s="836"/>
      <c r="T2" s="836"/>
      <c r="U2" s="836"/>
      <c r="V2" s="836"/>
      <c r="W2" s="838"/>
      <c r="X2" s="839" t="s">
        <v>469</v>
      </c>
      <c r="Y2" s="840"/>
      <c r="Z2" s="836"/>
      <c r="AA2" s="836"/>
      <c r="AB2" s="836"/>
      <c r="AC2" s="836"/>
      <c r="AD2" s="836"/>
      <c r="AE2" s="836"/>
      <c r="AF2" s="836"/>
      <c r="AG2" s="841"/>
      <c r="AH2" s="842"/>
      <c r="AI2" s="842"/>
      <c r="AJ2" s="842"/>
      <c r="AK2" s="842"/>
      <c r="AL2" s="842"/>
      <c r="AM2" s="836"/>
      <c r="AN2" s="836"/>
      <c r="AO2" s="836"/>
      <c r="AP2" s="836"/>
      <c r="AQ2" s="836"/>
      <c r="AR2" s="836"/>
      <c r="AS2" s="836"/>
      <c r="AT2" s="836"/>
      <c r="AU2" s="836"/>
      <c r="AV2" s="841"/>
      <c r="AW2" s="842"/>
      <c r="AX2" s="842"/>
      <c r="AY2" s="842"/>
      <c r="AZ2" s="842"/>
      <c r="BA2" s="842"/>
      <c r="BB2" s="836"/>
      <c r="BC2" s="836"/>
      <c r="BD2" s="836"/>
      <c r="BE2" s="836"/>
      <c r="BF2" s="836"/>
      <c r="BG2" s="836"/>
      <c r="BH2" s="836"/>
      <c r="BI2" s="836"/>
      <c r="BJ2" s="836"/>
      <c r="BK2" s="836"/>
      <c r="BL2" s="841"/>
      <c r="BM2" s="842"/>
      <c r="BN2" s="842"/>
      <c r="BO2" s="842"/>
      <c r="BP2" s="842"/>
      <c r="BQ2" s="843"/>
    </row>
    <row r="3" spans="1:69" ht="17.25" customHeight="1">
      <c r="A3" s="128"/>
      <c r="B3" s="128"/>
      <c r="C3" s="128"/>
      <c r="D3" s="128"/>
      <c r="E3" s="128"/>
      <c r="F3" s="844"/>
      <c r="G3" s="845"/>
      <c r="H3" s="845"/>
      <c r="I3" s="845"/>
      <c r="K3" s="846"/>
      <c r="L3" s="846"/>
      <c r="M3" s="846"/>
      <c r="N3" s="846"/>
      <c r="O3" s="846"/>
      <c r="P3" s="1450" t="s">
        <v>536</v>
      </c>
      <c r="Q3" s="1334"/>
      <c r="R3" s="1334"/>
      <c r="S3" s="1334"/>
      <c r="T3" s="1334"/>
      <c r="U3" s="1334"/>
      <c r="V3" s="846"/>
      <c r="W3" s="847"/>
      <c r="X3" s="848">
        <f>'Expected Growth25'!F39</f>
        <v>5.9200000000000003E-2</v>
      </c>
      <c r="Y3" s="849"/>
      <c r="Z3" s="846"/>
      <c r="AA3" s="846"/>
      <c r="AB3" s="846"/>
      <c r="AC3" s="846" t="s">
        <v>471</v>
      </c>
      <c r="AD3" s="846"/>
      <c r="AE3" s="846"/>
      <c r="AF3" s="846"/>
      <c r="AG3" s="235"/>
      <c r="AH3" s="128"/>
      <c r="AI3" s="128"/>
      <c r="AJ3" s="128"/>
      <c r="AK3" s="128"/>
      <c r="AL3" s="128"/>
      <c r="AM3" s="848">
        <f>'Expected Growth25'!E39</f>
        <v>7.4200000000000002E-2</v>
      </c>
      <c r="AN3" s="846"/>
      <c r="AO3" s="846"/>
      <c r="AP3" s="846"/>
      <c r="AQ3" s="846"/>
      <c r="AR3" s="846"/>
      <c r="AS3" s="846"/>
      <c r="AT3" s="846"/>
      <c r="AU3" s="846"/>
      <c r="AV3" s="235"/>
      <c r="AW3" s="128"/>
      <c r="AX3" s="128"/>
      <c r="AY3" s="128"/>
      <c r="AZ3" s="128"/>
      <c r="BA3" s="128"/>
      <c r="BB3" s="846"/>
      <c r="BC3" s="846"/>
      <c r="BD3" s="846"/>
      <c r="BE3" s="846"/>
      <c r="BF3" s="846"/>
      <c r="BG3" s="846" t="s">
        <v>472</v>
      </c>
      <c r="BH3" s="846"/>
      <c r="BI3" s="846"/>
      <c r="BJ3" s="846"/>
      <c r="BK3" s="846"/>
      <c r="BL3" s="235"/>
      <c r="BM3" s="128"/>
      <c r="BN3" s="128"/>
      <c r="BO3" s="128"/>
      <c r="BP3" s="128"/>
      <c r="BQ3" s="850"/>
    </row>
    <row r="4" spans="1:69" ht="21" customHeight="1">
      <c r="A4" s="128"/>
      <c r="B4" s="128"/>
      <c r="C4" s="128"/>
      <c r="D4" s="128"/>
      <c r="E4" s="128"/>
      <c r="F4" s="342"/>
      <c r="G4" s="851"/>
      <c r="H4" s="851"/>
      <c r="I4" s="851"/>
      <c r="J4" s="852"/>
      <c r="K4" s="1"/>
      <c r="L4" s="1"/>
      <c r="M4" s="1"/>
      <c r="N4" s="1"/>
      <c r="O4" s="1457" t="str">
        <f>'1. Datos'!C2</f>
        <v>GRUPO OVANDO CONTRUCCIÓN- IMOBILIARIA- TRANSPORTES S.A. de C.V.</v>
      </c>
      <c r="P4" s="1345"/>
      <c r="Q4" s="1345"/>
      <c r="R4" s="1345"/>
      <c r="S4" s="1345"/>
      <c r="T4" s="1345"/>
      <c r="U4" s="1345"/>
      <c r="V4" s="853"/>
      <c r="W4" s="128"/>
      <c r="X4" s="128"/>
      <c r="Y4" s="128"/>
      <c r="Z4" s="853"/>
      <c r="AA4" s="853"/>
      <c r="AB4" s="854"/>
      <c r="AC4" s="854"/>
      <c r="AD4" s="854"/>
      <c r="AE4" s="854"/>
      <c r="AF4" s="854"/>
      <c r="AG4" s="235"/>
      <c r="AH4" s="128"/>
      <c r="AI4" s="128"/>
      <c r="AJ4" s="128"/>
      <c r="AK4" s="128"/>
      <c r="AL4" s="128"/>
      <c r="AM4" s="853"/>
      <c r="AN4" s="853"/>
      <c r="AO4" s="853"/>
      <c r="AP4" s="1458" t="str">
        <f>O4</f>
        <v>GRUPO OVANDO CONTRUCCIÓN- IMOBILIARIA- TRANSPORTES S.A. de C.V.</v>
      </c>
      <c r="AQ4" s="1360"/>
      <c r="AR4" s="1360"/>
      <c r="AS4" s="1360"/>
      <c r="AT4" s="1360"/>
      <c r="AU4" s="1361"/>
      <c r="AV4" s="235"/>
      <c r="AW4" s="128"/>
      <c r="AX4" s="128"/>
      <c r="AY4" s="128"/>
      <c r="AZ4" s="128"/>
      <c r="BA4" s="128"/>
      <c r="BB4" s="853"/>
      <c r="BC4" s="853"/>
      <c r="BD4" s="853"/>
      <c r="BE4" s="853"/>
      <c r="BF4" s="853"/>
      <c r="BG4" s="853"/>
      <c r="BH4" s="853"/>
      <c r="BI4" s="853"/>
      <c r="BJ4" s="853"/>
      <c r="BK4" s="853"/>
      <c r="BL4" s="235"/>
      <c r="BM4" s="128"/>
      <c r="BN4" s="128"/>
      <c r="BO4" s="128"/>
      <c r="BP4" s="128"/>
      <c r="BQ4" s="850"/>
    </row>
    <row r="5" spans="1:69" ht="17.25" customHeight="1">
      <c r="A5" s="128"/>
      <c r="B5" s="128"/>
      <c r="C5" s="128"/>
      <c r="D5" s="128"/>
      <c r="E5" s="128"/>
      <c r="F5" s="342"/>
      <c r="G5" s="851"/>
      <c r="H5" s="851"/>
      <c r="I5" s="851"/>
      <c r="J5" s="128"/>
      <c r="K5" s="128"/>
      <c r="L5" s="851"/>
      <c r="M5" s="1459" t="s">
        <v>474</v>
      </c>
      <c r="N5" s="1334"/>
      <c r="O5" s="1334"/>
      <c r="P5" s="1334"/>
      <c r="Q5" s="1334"/>
      <c r="R5" s="1334"/>
      <c r="S5" s="1334"/>
      <c r="T5" s="1334"/>
      <c r="U5" s="1334"/>
      <c r="V5" s="851"/>
      <c r="W5" s="838"/>
      <c r="X5" s="839" t="s">
        <v>482</v>
      </c>
      <c r="Y5" s="840"/>
      <c r="Z5" s="851"/>
      <c r="AA5" s="1455" t="s">
        <v>476</v>
      </c>
      <c r="AB5" s="1347"/>
      <c r="AC5" s="1347"/>
      <c r="AD5" s="1347"/>
      <c r="AE5" s="1347"/>
      <c r="AF5" s="1348"/>
      <c r="AG5" s="235"/>
      <c r="AH5" s="128"/>
      <c r="AI5" s="128"/>
      <c r="AJ5" s="128"/>
      <c r="AK5" s="128"/>
      <c r="AL5" s="128"/>
      <c r="AM5" s="851"/>
      <c r="AN5" s="851"/>
      <c r="AO5" s="851"/>
      <c r="AP5" s="1460" t="s">
        <v>476</v>
      </c>
      <c r="AQ5" s="1350"/>
      <c r="AR5" s="1350"/>
      <c r="AS5" s="1350"/>
      <c r="AT5" s="1350"/>
      <c r="AU5" s="972" t="s">
        <v>225</v>
      </c>
      <c r="AV5" s="235"/>
      <c r="AW5" s="128"/>
      <c r="AX5" s="128"/>
      <c r="AY5" s="128"/>
      <c r="AZ5" s="128"/>
      <c r="BA5" s="128"/>
      <c r="BB5" s="856"/>
      <c r="BC5" s="851"/>
      <c r="BD5" s="851"/>
      <c r="BE5" s="851"/>
      <c r="BF5" s="1455" t="s">
        <v>223</v>
      </c>
      <c r="BG5" s="1347"/>
      <c r="BH5" s="1347"/>
      <c r="BI5" s="1347"/>
      <c r="BJ5" s="1347"/>
      <c r="BK5" s="1348"/>
      <c r="BL5" s="235"/>
      <c r="BM5" s="128"/>
      <c r="BN5" s="128"/>
      <c r="BO5" s="128"/>
      <c r="BP5" s="128"/>
      <c r="BQ5" s="850"/>
    </row>
    <row r="6" spans="1:69" ht="14.25" customHeight="1">
      <c r="A6" s="128"/>
      <c r="B6" s="128"/>
      <c r="C6" s="128"/>
      <c r="D6" s="128"/>
      <c r="E6" s="128"/>
      <c r="F6" s="342"/>
      <c r="G6" s="851"/>
      <c r="H6" s="851"/>
      <c r="I6" s="851"/>
      <c r="J6" s="128"/>
      <c r="K6" s="128"/>
      <c r="L6" s="851"/>
      <c r="M6" s="777">
        <v>1</v>
      </c>
      <c r="N6" s="777">
        <v>1</v>
      </c>
      <c r="O6" s="719">
        <v>1</v>
      </c>
      <c r="P6" s="719">
        <v>1</v>
      </c>
      <c r="Q6" s="719">
        <v>1</v>
      </c>
      <c r="R6" s="719">
        <f>+Q6+1</f>
        <v>2</v>
      </c>
      <c r="S6" s="719">
        <f>+R6+1</f>
        <v>3</v>
      </c>
      <c r="T6" s="719">
        <f>+S6+1</f>
        <v>4</v>
      </c>
      <c r="U6" s="719">
        <f>+T6+1</f>
        <v>5</v>
      </c>
      <c r="V6" s="777"/>
      <c r="W6" s="847"/>
      <c r="X6" s="857" t="e">
        <f>AP18</f>
        <v>#DIV/0!</v>
      </c>
      <c r="Y6" s="858"/>
      <c r="Z6" s="777"/>
      <c r="AA6" s="859">
        <v>1</v>
      </c>
      <c r="AB6" s="777">
        <v>2</v>
      </c>
      <c r="AC6" s="777">
        <v>3</v>
      </c>
      <c r="AD6" s="777">
        <v>4</v>
      </c>
      <c r="AE6" s="777">
        <v>5</v>
      </c>
      <c r="AF6" s="860">
        <v>5</v>
      </c>
      <c r="AG6" s="235"/>
      <c r="AH6" s="128"/>
      <c r="AI6" s="128"/>
      <c r="AJ6" s="128"/>
      <c r="AK6" s="128"/>
      <c r="AL6" s="128"/>
      <c r="AM6" s="777">
        <v>0</v>
      </c>
      <c r="AN6" s="777"/>
      <c r="AO6" s="777"/>
      <c r="AP6" s="861">
        <v>1</v>
      </c>
      <c r="AQ6" s="862">
        <v>2</v>
      </c>
      <c r="AR6" s="862">
        <v>3</v>
      </c>
      <c r="AS6" s="862">
        <v>4</v>
      </c>
      <c r="AT6" s="862">
        <v>5</v>
      </c>
      <c r="AU6" s="863">
        <v>5</v>
      </c>
      <c r="AV6" s="235"/>
      <c r="AW6" s="128"/>
      <c r="AX6" s="128"/>
      <c r="AY6" s="128"/>
      <c r="AZ6" s="128"/>
      <c r="BA6" s="128"/>
      <c r="BB6" s="864"/>
      <c r="BC6" s="777"/>
      <c r="BD6" s="777"/>
      <c r="BE6" s="777"/>
      <c r="BF6" s="859">
        <v>1</v>
      </c>
      <c r="BG6" s="777">
        <v>2</v>
      </c>
      <c r="BH6" s="777">
        <v>3</v>
      </c>
      <c r="BI6" s="777">
        <v>4</v>
      </c>
      <c r="BJ6" s="777">
        <v>5</v>
      </c>
      <c r="BK6" s="777">
        <v>5</v>
      </c>
      <c r="BL6" s="235"/>
      <c r="BM6" s="865" t="s">
        <v>477</v>
      </c>
      <c r="BN6" s="866"/>
      <c r="BO6" s="866"/>
      <c r="BP6" s="867"/>
      <c r="BQ6" s="850"/>
    </row>
    <row r="7" spans="1:69" ht="14.25" customHeight="1">
      <c r="A7" s="128"/>
      <c r="B7" s="128"/>
      <c r="C7" s="128"/>
      <c r="D7" s="128"/>
      <c r="E7" s="128"/>
      <c r="F7" s="342"/>
      <c r="G7" s="851"/>
      <c r="H7" s="851"/>
      <c r="I7" s="851"/>
      <c r="J7" s="128"/>
      <c r="K7" s="128"/>
      <c r="L7" s="851"/>
      <c r="M7" s="777">
        <v>2014</v>
      </c>
      <c r="N7" s="777">
        <v>2015</v>
      </c>
      <c r="O7" s="719">
        <v>2020</v>
      </c>
      <c r="P7" s="719">
        <v>2020</v>
      </c>
      <c r="Q7" s="719">
        <v>2021</v>
      </c>
      <c r="R7" s="719">
        <f>Q7+1</f>
        <v>2022</v>
      </c>
      <c r="S7" s="719">
        <f>R7+1</f>
        <v>2023</v>
      </c>
      <c r="T7" s="719">
        <f>S7+1</f>
        <v>2024</v>
      </c>
      <c r="U7" s="719">
        <f>T7+1</f>
        <v>2025</v>
      </c>
      <c r="V7" s="719"/>
      <c r="W7" s="777"/>
      <c r="X7" s="777"/>
      <c r="Y7" s="777"/>
      <c r="Z7" s="777"/>
      <c r="AA7" s="777"/>
      <c r="AB7" s="777"/>
      <c r="AC7" s="777"/>
      <c r="AD7" s="777"/>
      <c r="AE7" s="777"/>
      <c r="AF7" s="777"/>
      <c r="AG7" s="777"/>
      <c r="AH7" s="777"/>
      <c r="AI7" s="777"/>
      <c r="AJ7" s="777"/>
      <c r="AK7" s="777"/>
      <c r="AL7" s="777"/>
      <c r="AM7" s="777"/>
      <c r="AN7" s="777"/>
      <c r="AO7" s="777"/>
      <c r="AP7" s="868">
        <v>2026</v>
      </c>
      <c r="AQ7" s="869">
        <f>+AP7+1</f>
        <v>2027</v>
      </c>
      <c r="AR7" s="869">
        <f>+AQ7+1</f>
        <v>2028</v>
      </c>
      <c r="AS7" s="869">
        <f>+AR7+1</f>
        <v>2029</v>
      </c>
      <c r="AT7" s="869">
        <f>+AS7+1</f>
        <v>2030</v>
      </c>
      <c r="AU7" s="870">
        <f>+AT7</f>
        <v>2030</v>
      </c>
      <c r="AV7" s="235"/>
      <c r="AW7" s="134" t="s">
        <v>477</v>
      </c>
      <c r="AX7" s="871"/>
      <c r="AY7" s="871"/>
      <c r="AZ7" s="872"/>
      <c r="BA7" s="128"/>
      <c r="BB7" s="864"/>
      <c r="BC7" s="777"/>
      <c r="BD7" s="777"/>
      <c r="BE7" s="777"/>
      <c r="BF7" s="873">
        <f>+AA7</f>
        <v>0</v>
      </c>
      <c r="BG7" s="874">
        <f>+AB7</f>
        <v>0</v>
      </c>
      <c r="BH7" s="874">
        <f>+AC7</f>
        <v>0</v>
      </c>
      <c r="BI7" s="874">
        <f>+AD7</f>
        <v>0</v>
      </c>
      <c r="BJ7" s="874">
        <f>+AE7</f>
        <v>0</v>
      </c>
      <c r="BK7" s="875">
        <f>+BJ7</f>
        <v>0</v>
      </c>
      <c r="BL7" s="235"/>
      <c r="BM7" s="876">
        <v>0.04</v>
      </c>
      <c r="BN7" s="877"/>
      <c r="BO7" s="877"/>
      <c r="BP7" s="878"/>
      <c r="BQ7" s="850"/>
    </row>
    <row r="8" spans="1:69" ht="14.25" customHeight="1">
      <c r="A8" s="128"/>
      <c r="B8" s="128"/>
      <c r="C8" s="128"/>
      <c r="D8" s="128"/>
      <c r="E8" s="128"/>
      <c r="F8" s="342"/>
      <c r="G8" s="851"/>
      <c r="H8" s="851"/>
      <c r="I8" s="851"/>
      <c r="J8" s="1448"/>
      <c r="K8" s="1334"/>
      <c r="L8" s="851"/>
      <c r="M8" s="851"/>
      <c r="N8" s="880"/>
      <c r="O8" s="881"/>
      <c r="P8" s="881"/>
      <c r="Q8" s="881"/>
      <c r="R8" s="881" t="e">
        <f>+R11/Q11-1</f>
        <v>#DIV/0!</v>
      </c>
      <c r="S8" s="881" t="e">
        <f>+S11/R11-1</f>
        <v>#DIV/0!</v>
      </c>
      <c r="T8" s="881" t="e">
        <f>+T11/S11-1</f>
        <v>#DIV/0!</v>
      </c>
      <c r="U8" s="973" t="e">
        <f>+U11/T11-1</f>
        <v>#DIV/0!</v>
      </c>
      <c r="V8" s="882"/>
      <c r="W8" s="777"/>
      <c r="X8" s="777"/>
      <c r="Y8" s="777"/>
      <c r="Z8" s="777"/>
      <c r="AA8" s="777"/>
      <c r="AB8" s="777"/>
      <c r="AC8" s="777"/>
      <c r="AD8" s="777"/>
      <c r="AE8" s="777"/>
      <c r="AF8" s="777"/>
      <c r="AG8" s="777"/>
      <c r="AH8" s="777"/>
      <c r="AI8" s="777"/>
      <c r="AJ8" s="777"/>
      <c r="AK8" s="777"/>
      <c r="AL8" s="777"/>
      <c r="AM8" s="777"/>
      <c r="AN8" s="777"/>
      <c r="AO8" s="777"/>
      <c r="AP8" s="777"/>
      <c r="AQ8" s="777"/>
      <c r="AR8" s="777"/>
      <c r="AS8" s="777"/>
      <c r="AT8" s="777"/>
      <c r="AU8" s="777"/>
      <c r="AV8" s="235"/>
      <c r="AW8" s="162"/>
      <c r="AX8" s="1"/>
      <c r="AY8" s="1"/>
      <c r="AZ8" s="883"/>
      <c r="BA8" s="128"/>
      <c r="BB8" s="864"/>
      <c r="BC8" s="777"/>
      <c r="BD8" s="777"/>
      <c r="BE8" s="777"/>
      <c r="BF8" s="884">
        <f>+AP8</f>
        <v>0</v>
      </c>
      <c r="BG8" s="885">
        <f>+BF8*(1+BG9)</f>
        <v>0</v>
      </c>
      <c r="BH8" s="885">
        <f>+BG8*(1+BH9)</f>
        <v>0</v>
      </c>
      <c r="BI8" s="885">
        <f>+BH8*(1+BI9)</f>
        <v>0</v>
      </c>
      <c r="BJ8" s="885">
        <f>+BI8*(1+BJ9)</f>
        <v>0</v>
      </c>
      <c r="BK8" s="885">
        <f>+BJ8*(1+BK9)</f>
        <v>0</v>
      </c>
      <c r="BL8" s="235"/>
      <c r="BM8" s="886"/>
      <c r="BN8" s="887"/>
      <c r="BO8" s="887"/>
      <c r="BP8" s="887"/>
      <c r="BQ8" s="850"/>
    </row>
    <row r="9" spans="1:69" ht="15.75" customHeight="1">
      <c r="A9" s="128"/>
      <c r="B9" s="128"/>
      <c r="C9" s="128"/>
      <c r="D9" s="128"/>
      <c r="E9" s="128"/>
      <c r="F9" s="342"/>
      <c r="G9" s="851"/>
      <c r="H9" s="851"/>
      <c r="I9" s="851"/>
      <c r="J9" s="1448"/>
      <c r="K9" s="1334"/>
      <c r="L9" s="888"/>
      <c r="M9" s="888"/>
      <c r="N9" s="888"/>
      <c r="O9" s="888"/>
      <c r="P9" s="888"/>
      <c r="Q9" s="1448"/>
      <c r="R9" s="1334"/>
      <c r="S9" s="889"/>
      <c r="T9" s="889"/>
      <c r="U9" s="889"/>
      <c r="V9" s="890"/>
      <c r="W9" s="851"/>
      <c r="X9" s="851"/>
      <c r="Y9" s="851"/>
      <c r="Z9" s="851"/>
      <c r="AA9" s="851"/>
      <c r="AB9" s="851"/>
      <c r="AC9" s="851"/>
      <c r="AD9" s="851"/>
      <c r="AE9" s="851"/>
      <c r="AF9" s="851"/>
      <c r="AG9" s="236"/>
      <c r="AH9" s="128"/>
      <c r="AI9" s="128"/>
      <c r="AJ9" s="128"/>
      <c r="AK9" s="128"/>
      <c r="AL9" s="128"/>
      <c r="AM9" s="777"/>
      <c r="AN9" s="777"/>
      <c r="AO9" s="777"/>
      <c r="AP9" s="777"/>
      <c r="AQ9" s="777"/>
      <c r="AR9" s="777"/>
      <c r="AS9" s="777"/>
      <c r="AT9" s="777"/>
      <c r="AU9" s="777"/>
      <c r="AV9" s="235"/>
      <c r="AW9" s="891">
        <v>5.5399999999999998E-2</v>
      </c>
      <c r="AX9" s="892"/>
      <c r="AY9" s="892"/>
      <c r="AZ9" s="893"/>
      <c r="BA9" s="128"/>
      <c r="BB9" s="856"/>
      <c r="BC9" s="1426" t="s">
        <v>1018</v>
      </c>
      <c r="BD9" s="1361"/>
      <c r="BE9" s="851"/>
      <c r="BF9" s="894">
        <v>0.18329999999999999</v>
      </c>
      <c r="BG9" s="894">
        <f>0.1825*(BG6)^(-0.253)</f>
        <v>0.15314480877194384</v>
      </c>
      <c r="BH9" s="894">
        <f>0.1825*(BH6)^(-0.253)</f>
        <v>0.13821373121915684</v>
      </c>
      <c r="BI9" s="894">
        <f>0.1825*(BI6)^(-0.253)</f>
        <v>0.12851141070572736</v>
      </c>
      <c r="BJ9" s="894">
        <f>0.1825*(BJ6)^(-0.253)</f>
        <v>0.12145725390635112</v>
      </c>
      <c r="BK9" s="894">
        <f>0.1825*(BK6)^(-0.253)</f>
        <v>0.12145725390635112</v>
      </c>
      <c r="BL9" s="235"/>
      <c r="BM9" s="35" t="s">
        <v>478</v>
      </c>
      <c r="BN9" s="128"/>
      <c r="BO9" s="128"/>
      <c r="BP9" s="128"/>
      <c r="BQ9" s="850"/>
    </row>
    <row r="10" spans="1:69" ht="6" customHeight="1">
      <c r="A10" s="128"/>
      <c r="B10" s="128"/>
      <c r="C10" s="128"/>
      <c r="D10" s="128"/>
      <c r="E10" s="128"/>
      <c r="F10" s="342"/>
      <c r="G10" s="851"/>
      <c r="H10" s="851"/>
      <c r="I10" s="851"/>
      <c r="J10" s="1448"/>
      <c r="K10" s="1334"/>
      <c r="L10" s="851"/>
      <c r="M10" s="851"/>
      <c r="N10" s="895"/>
      <c r="O10" s="896"/>
      <c r="P10" s="896"/>
      <c r="Q10" s="896"/>
      <c r="R10" s="896"/>
      <c r="S10" s="896"/>
      <c r="T10" s="896"/>
      <c r="U10" s="896"/>
      <c r="V10" s="974"/>
      <c r="W10" s="856"/>
      <c r="X10" s="851"/>
      <c r="Y10" s="851"/>
      <c r="Z10" s="851"/>
      <c r="AA10" s="851"/>
      <c r="AB10" s="851"/>
      <c r="AC10" s="851"/>
      <c r="AD10" s="851"/>
      <c r="AE10" s="851"/>
      <c r="AF10" s="851"/>
      <c r="AG10" s="236"/>
      <c r="AH10" s="128"/>
      <c r="AI10" s="128"/>
      <c r="AJ10" s="128"/>
      <c r="AK10" s="128"/>
      <c r="AL10" s="128"/>
      <c r="AM10" s="851"/>
      <c r="AN10" s="851"/>
      <c r="AO10" s="851"/>
      <c r="AP10" s="851"/>
      <c r="AQ10" s="851"/>
      <c r="AR10" s="851"/>
      <c r="AS10" s="851"/>
      <c r="AT10" s="851"/>
      <c r="AU10" s="851"/>
      <c r="AV10" s="235"/>
      <c r="AW10" s="897"/>
      <c r="AX10" s="887"/>
      <c r="AY10" s="887"/>
      <c r="AZ10" s="887"/>
      <c r="BA10" s="128"/>
      <c r="BB10" s="856"/>
      <c r="BC10" s="851"/>
      <c r="BD10" s="851"/>
      <c r="BE10" s="851"/>
      <c r="BF10" s="851"/>
      <c r="BG10" s="851"/>
      <c r="BH10" s="851"/>
      <c r="BI10" s="851"/>
      <c r="BJ10" s="851"/>
      <c r="BK10" s="851"/>
      <c r="BL10" s="235"/>
      <c r="BM10" s="128"/>
      <c r="BN10" s="128"/>
      <c r="BO10" s="128"/>
      <c r="BP10" s="128"/>
      <c r="BQ10" s="850"/>
    </row>
    <row r="11" spans="1:69" ht="14.25" customHeight="1">
      <c r="A11" s="128"/>
      <c r="B11" s="128"/>
      <c r="C11" s="128"/>
      <c r="D11" s="128"/>
      <c r="E11" s="128"/>
      <c r="F11" s="342"/>
      <c r="G11" s="851"/>
      <c r="H11" s="851"/>
      <c r="I11" s="851"/>
      <c r="J11" s="1426" t="s">
        <v>375</v>
      </c>
      <c r="K11" s="1361"/>
      <c r="L11" s="851"/>
      <c r="M11" s="783" t="s">
        <v>1015</v>
      </c>
      <c r="N11" s="783" t="e">
        <v>#REF!</v>
      </c>
      <c r="O11" s="783">
        <f>+'1. Datos'!D15</f>
        <v>0</v>
      </c>
      <c r="P11" s="783">
        <f>+'1. Datos'!E19</f>
        <v>0</v>
      </c>
      <c r="Q11" s="783">
        <f>+'1. Datos'!F19</f>
        <v>0</v>
      </c>
      <c r="R11" s="783">
        <f>+'1. Datos'!G19</f>
        <v>0</v>
      </c>
      <c r="S11" s="783">
        <f>+'1. Datos'!H19</f>
        <v>0</v>
      </c>
      <c r="T11" s="783">
        <f>+'1. Datos'!I19</f>
        <v>0</v>
      </c>
      <c r="U11" s="783">
        <f>+'1. Datos'!K19</f>
        <v>0</v>
      </c>
      <c r="V11" s="975"/>
      <c r="W11" s="748"/>
      <c r="X11" s="1426" t="s">
        <v>45</v>
      </c>
      <c r="Y11" s="1361"/>
      <c r="Z11" s="128"/>
      <c r="AA11" s="1446" t="e">
        <f>+#REF!</f>
        <v>#REF!</v>
      </c>
      <c r="AB11" s="1360"/>
      <c r="AC11" s="1360"/>
      <c r="AD11" s="1360"/>
      <c r="AE11" s="1360"/>
      <c r="AF11" s="1361"/>
      <c r="AG11" s="236"/>
      <c r="AH11" s="128"/>
      <c r="AI11" s="128"/>
      <c r="AJ11" s="128"/>
      <c r="AK11" s="128"/>
      <c r="AL11" s="128"/>
      <c r="AM11" s="1426" t="s">
        <v>45</v>
      </c>
      <c r="AN11" s="1361"/>
      <c r="AO11" s="128"/>
      <c r="AP11" s="1446">
        <f>WACC!K26</f>
        <v>0.15953943204093804</v>
      </c>
      <c r="AQ11" s="1360"/>
      <c r="AR11" s="1360"/>
      <c r="AS11" s="1360"/>
      <c r="AT11" s="1360"/>
      <c r="AU11" s="1361"/>
      <c r="AV11" s="235"/>
      <c r="AW11" s="35"/>
      <c r="AX11" s="192" t="s">
        <v>479</v>
      </c>
      <c r="AY11" s="128"/>
      <c r="AZ11" s="128"/>
      <c r="BA11" s="128"/>
      <c r="BB11" s="748"/>
      <c r="BC11" s="1426" t="s">
        <v>45</v>
      </c>
      <c r="BD11" s="1361"/>
      <c r="BE11" s="128"/>
      <c r="BF11" s="1446">
        <f>+AP11</f>
        <v>0.15953943204093804</v>
      </c>
      <c r="BG11" s="1360"/>
      <c r="BH11" s="1360"/>
      <c r="BI11" s="1360"/>
      <c r="BJ11" s="1360"/>
      <c r="BK11" s="1361"/>
      <c r="BL11" s="235"/>
      <c r="BM11" s="898" t="s">
        <v>480</v>
      </c>
      <c r="BN11" s="899" t="e">
        <v>#REF!</v>
      </c>
      <c r="BO11" s="128"/>
      <c r="BP11" s="128"/>
      <c r="BQ11" s="850"/>
    </row>
    <row r="12" spans="1:69" ht="14.25" customHeight="1">
      <c r="A12" s="128"/>
      <c r="B12" s="128"/>
      <c r="C12" s="128"/>
      <c r="D12" s="128"/>
      <c r="E12" s="128"/>
      <c r="F12" s="342"/>
      <c r="G12" s="851"/>
      <c r="H12" s="851"/>
      <c r="I12" s="851"/>
      <c r="J12" s="851"/>
      <c r="K12" s="851"/>
      <c r="L12" s="851"/>
      <c r="M12" s="783"/>
      <c r="N12" s="851"/>
      <c r="O12" s="851"/>
      <c r="P12" s="851"/>
      <c r="Q12" s="851"/>
      <c r="R12" s="851"/>
      <c r="S12" s="851"/>
      <c r="T12" s="851"/>
      <c r="U12" s="851"/>
      <c r="V12" s="976"/>
      <c r="W12" s="128"/>
      <c r="X12" s="879"/>
      <c r="Y12" s="879"/>
      <c r="Z12" s="128"/>
      <c r="AA12" s="900"/>
      <c r="AB12" s="900"/>
      <c r="AC12" s="900"/>
      <c r="AD12" s="900"/>
      <c r="AE12" s="900"/>
      <c r="AF12" s="900"/>
      <c r="AG12" s="236"/>
      <c r="AH12" s="128"/>
      <c r="AI12" s="128"/>
      <c r="AJ12" s="128"/>
      <c r="AK12" s="128"/>
      <c r="AL12" s="128"/>
      <c r="AM12" s="879"/>
      <c r="AN12" s="879"/>
      <c r="AO12" s="128"/>
      <c r="AP12" s="901"/>
      <c r="AQ12" s="901"/>
      <c r="AR12" s="901"/>
      <c r="AS12" s="901"/>
      <c r="AT12" s="901"/>
      <c r="AU12" s="901"/>
      <c r="AV12" s="235"/>
      <c r="AW12" s="128"/>
      <c r="AX12" s="192"/>
      <c r="AY12" s="128" t="s">
        <v>481</v>
      </c>
      <c r="AZ12" s="128"/>
      <c r="BA12" s="128"/>
      <c r="BB12" s="748"/>
      <c r="BC12" s="879"/>
      <c r="BD12" s="879"/>
      <c r="BE12" s="128"/>
      <c r="BF12" s="900"/>
      <c r="BG12" s="900"/>
      <c r="BH12" s="900"/>
      <c r="BI12" s="900"/>
      <c r="BJ12" s="900"/>
      <c r="BK12" s="900"/>
      <c r="BL12" s="235"/>
      <c r="BM12" s="898"/>
      <c r="BN12" s="899"/>
      <c r="BO12" s="128"/>
      <c r="BP12" s="128"/>
      <c r="BQ12" s="850"/>
    </row>
    <row r="13" spans="1:69" ht="5.25" customHeight="1">
      <c r="A13" s="128"/>
      <c r="B13" s="128"/>
      <c r="C13" s="128"/>
      <c r="D13" s="128"/>
      <c r="E13" s="128"/>
      <c r="F13" s="342"/>
      <c r="G13" s="851"/>
      <c r="H13" s="851"/>
      <c r="I13" s="851"/>
      <c r="J13" s="1448"/>
      <c r="K13" s="1334"/>
      <c r="L13" s="851"/>
      <c r="M13" s="783"/>
      <c r="N13" s="783"/>
      <c r="O13" s="783"/>
      <c r="P13" s="783"/>
      <c r="Q13" s="783"/>
      <c r="R13" s="783"/>
      <c r="S13" s="783"/>
      <c r="T13" s="783"/>
      <c r="U13" s="783"/>
      <c r="V13" s="977"/>
      <c r="W13" s="748"/>
      <c r="X13" s="879"/>
      <c r="Y13" s="879"/>
      <c r="Z13" s="128"/>
      <c r="AA13" s="900"/>
      <c r="AB13" s="900"/>
      <c r="AC13" s="900"/>
      <c r="AD13" s="900"/>
      <c r="AE13" s="900"/>
      <c r="AF13" s="900"/>
      <c r="AG13" s="236"/>
      <c r="AH13" s="128"/>
      <c r="AI13" s="128"/>
      <c r="AJ13" s="128"/>
      <c r="AK13" s="128"/>
      <c r="AL13" s="128"/>
      <c r="AM13" s="879"/>
      <c r="AN13" s="879"/>
      <c r="AO13" s="128"/>
      <c r="AP13" s="901"/>
      <c r="AQ13" s="901"/>
      <c r="AR13" s="901"/>
      <c r="AS13" s="901"/>
      <c r="AT13" s="901"/>
      <c r="AU13" s="901"/>
      <c r="AV13" s="235"/>
      <c r="AW13" s="128"/>
      <c r="AX13" s="192"/>
      <c r="AY13" s="128"/>
      <c r="AZ13" s="128"/>
      <c r="BA13" s="128"/>
      <c r="BB13" s="748"/>
      <c r="BC13" s="879"/>
      <c r="BD13" s="879"/>
      <c r="BE13" s="128"/>
      <c r="BF13" s="900"/>
      <c r="BG13" s="900"/>
      <c r="BH13" s="900"/>
      <c r="BI13" s="900"/>
      <c r="BJ13" s="900"/>
      <c r="BK13" s="783"/>
      <c r="BL13" s="235"/>
      <c r="BM13" s="898"/>
      <c r="BN13" s="899"/>
      <c r="BO13" s="128"/>
      <c r="BP13" s="128"/>
      <c r="BQ13" s="850"/>
    </row>
    <row r="14" spans="1:69" ht="14.25" customHeight="1">
      <c r="A14" s="128"/>
      <c r="B14" s="128"/>
      <c r="C14" s="128"/>
      <c r="D14" s="128"/>
      <c r="E14" s="128"/>
      <c r="F14" s="342"/>
      <c r="G14" s="851"/>
      <c r="H14" s="851"/>
      <c r="I14" s="851"/>
      <c r="J14" s="1426" t="s">
        <v>16</v>
      </c>
      <c r="K14" s="1361"/>
      <c r="L14" s="851"/>
      <c r="M14" s="902">
        <v>0.3</v>
      </c>
      <c r="N14" s="902">
        <v>0.3</v>
      </c>
      <c r="O14" s="902">
        <v>0.3</v>
      </c>
      <c r="P14" s="902">
        <v>0.3</v>
      </c>
      <c r="Q14" s="902">
        <v>0.3</v>
      </c>
      <c r="R14" s="902">
        <v>0.3</v>
      </c>
      <c r="S14" s="902">
        <v>0.3</v>
      </c>
      <c r="T14" s="902">
        <v>0.3</v>
      </c>
      <c r="U14" s="902">
        <v>0.3</v>
      </c>
      <c r="V14" s="978"/>
      <c r="W14" s="856"/>
      <c r="X14" s="128"/>
      <c r="Y14" s="128"/>
      <c r="Z14" s="128"/>
      <c r="AA14" s="128"/>
      <c r="AB14" s="128"/>
      <c r="AC14" s="128"/>
      <c r="AD14" s="128"/>
      <c r="AE14" s="128"/>
      <c r="AF14" s="903" t="e">
        <f>+(AE15*(1+X3))/AA11</f>
        <v>#REF!</v>
      </c>
      <c r="AG14" s="236"/>
      <c r="AH14" s="128"/>
      <c r="AI14" s="128"/>
      <c r="AJ14" s="128"/>
      <c r="AK14" s="128"/>
      <c r="AL14" s="128"/>
      <c r="AM14" s="904" t="s">
        <v>482</v>
      </c>
      <c r="AN14" s="905" t="e">
        <f>+'1. Datos'!L192</f>
        <v>#DIV/0!</v>
      </c>
      <c r="AO14" s="128"/>
      <c r="AP14" s="128"/>
      <c r="AQ14" s="128"/>
      <c r="AR14" s="128"/>
      <c r="AS14" s="128"/>
      <c r="AT14" s="128"/>
      <c r="AU14" s="903"/>
      <c r="AV14" s="235"/>
      <c r="AW14" s="1447"/>
      <c r="AX14" s="1334"/>
      <c r="AY14" s="1334"/>
      <c r="AZ14" s="1334"/>
      <c r="BA14" s="128"/>
      <c r="BB14" s="856"/>
      <c r="BC14" s="128"/>
      <c r="BD14" s="128"/>
      <c r="BE14" s="128"/>
      <c r="BF14" s="128"/>
      <c r="BG14" s="128"/>
      <c r="BH14" s="128"/>
      <c r="BI14" s="128"/>
      <c r="BJ14" s="128"/>
      <c r="BK14" s="783"/>
      <c r="BL14" s="235"/>
      <c r="BM14" s="1447"/>
      <c r="BN14" s="1334"/>
      <c r="BO14" s="1334"/>
      <c r="BP14" s="1334"/>
      <c r="BQ14" s="850"/>
    </row>
    <row r="15" spans="1:69" ht="14.25" customHeight="1">
      <c r="A15" s="128"/>
      <c r="B15" s="128"/>
      <c r="C15" s="128"/>
      <c r="D15" s="128"/>
      <c r="E15" s="128"/>
      <c r="F15" s="342"/>
      <c r="G15" s="851"/>
      <c r="H15" s="851"/>
      <c r="I15" s="851"/>
      <c r="J15" s="1426" t="s">
        <v>483</v>
      </c>
      <c r="K15" s="1361"/>
      <c r="L15" s="851"/>
      <c r="M15" s="906" t="e">
        <f>M11*(1-M14)</f>
        <v>#VALUE!</v>
      </c>
      <c r="N15" s="906" t="e">
        <f>N11*(1-N14)</f>
        <v>#REF!</v>
      </c>
      <c r="O15" s="906">
        <f>O11*(1-O14)</f>
        <v>0</v>
      </c>
      <c r="P15" s="906">
        <f>P11*(1-P14)</f>
        <v>0</v>
      </c>
      <c r="Q15" s="906">
        <f>Q11*(1-Q14)</f>
        <v>0</v>
      </c>
      <c r="R15" s="906">
        <f>R11*(1-R14)</f>
        <v>0</v>
      </c>
      <c r="S15" s="906">
        <f>S11*(1-S14)</f>
        <v>0</v>
      </c>
      <c r="T15" s="906">
        <f>T11*(1-T14)</f>
        <v>0</v>
      </c>
      <c r="U15" s="906">
        <f>U11*(1-U14)</f>
        <v>0</v>
      </c>
      <c r="V15" s="979"/>
      <c r="W15" s="907"/>
      <c r="X15" s="1426" t="s">
        <v>484</v>
      </c>
      <c r="Y15" s="1361"/>
      <c r="Z15" s="879"/>
      <c r="AA15" s="584">
        <f>+AA8*$U$16</f>
        <v>0</v>
      </c>
      <c r="AB15" s="584">
        <f>+AB8*$U$16</f>
        <v>0</v>
      </c>
      <c r="AC15" s="584">
        <f>+AC8*$U$16</f>
        <v>0</v>
      </c>
      <c r="AD15" s="584">
        <f>+AD8*$U$16</f>
        <v>0</v>
      </c>
      <c r="AE15" s="584">
        <f>+AE8*$U$16</f>
        <v>0</v>
      </c>
      <c r="AF15" s="584" t="e">
        <f>+(AF8*$U$16)/AA11</f>
        <v>#REF!</v>
      </c>
      <c r="AG15" s="236"/>
      <c r="AH15" s="128"/>
      <c r="AI15" s="128"/>
      <c r="AJ15" s="128"/>
      <c r="AK15" s="128"/>
      <c r="AL15" s="128"/>
      <c r="AM15" s="1426" t="s">
        <v>484</v>
      </c>
      <c r="AN15" s="1361"/>
      <c r="AO15" s="879"/>
      <c r="AP15" s="980">
        <f>+U15</f>
        <v>0</v>
      </c>
      <c r="AQ15" s="585" t="e">
        <f>+AP19</f>
        <v>#DIV/0!</v>
      </c>
      <c r="AR15" s="585" t="e">
        <f>+AQ19</f>
        <v>#DIV/0!</v>
      </c>
      <c r="AS15" s="585" t="e">
        <f>+AR19</f>
        <v>#DIV/0!</v>
      </c>
      <c r="AT15" s="585" t="e">
        <f>+AS19</f>
        <v>#DIV/0!</v>
      </c>
      <c r="AU15" s="585" t="e">
        <f>+AT19</f>
        <v>#DIV/0!</v>
      </c>
      <c r="AV15" s="235"/>
      <c r="AW15" s="1447"/>
      <c r="AX15" s="1334"/>
      <c r="AY15" s="1334"/>
      <c r="AZ15" s="1334"/>
      <c r="BA15" s="128"/>
      <c r="BB15" s="907"/>
      <c r="BC15" s="1426" t="s">
        <v>484</v>
      </c>
      <c r="BD15" s="1361"/>
      <c r="BE15" s="879"/>
      <c r="BF15" s="584">
        <f>+BF8*$U$16</f>
        <v>0</v>
      </c>
      <c r="BG15" s="584">
        <f>+BG8*$U$16</f>
        <v>0</v>
      </c>
      <c r="BH15" s="584">
        <f>+BH8*$U$16</f>
        <v>0</v>
      </c>
      <c r="BI15" s="584">
        <f>+BI8*$U$16</f>
        <v>0</v>
      </c>
      <c r="BJ15" s="584">
        <f>+BJ8*$U$16</f>
        <v>0</v>
      </c>
      <c r="BK15" s="783" t="e">
        <f>((BK8*$U$16)*(1-(X3/BN11))/(BF11-BM7))</f>
        <v>#REF!</v>
      </c>
      <c r="BL15" s="235"/>
      <c r="BM15" s="1447"/>
      <c r="BN15" s="1334"/>
      <c r="BO15" s="1334"/>
      <c r="BP15" s="1334"/>
      <c r="BQ15" s="850"/>
    </row>
    <row r="16" spans="1:69" ht="14.25" customHeight="1">
      <c r="A16" s="128"/>
      <c r="B16" s="128"/>
      <c r="C16" s="128"/>
      <c r="D16" s="128"/>
      <c r="E16" s="128"/>
      <c r="F16" s="342"/>
      <c r="G16" s="851"/>
      <c r="H16" s="851"/>
      <c r="I16" s="851"/>
      <c r="J16" s="851"/>
      <c r="K16" s="851"/>
      <c r="L16" s="851"/>
      <c r="M16" s="783"/>
      <c r="N16" s="851"/>
      <c r="O16" s="851"/>
      <c r="P16" s="851"/>
      <c r="Q16" s="851"/>
      <c r="R16" s="851"/>
      <c r="S16" s="851"/>
      <c r="T16" s="851"/>
      <c r="U16" s="851"/>
      <c r="V16" s="981"/>
      <c r="W16" s="908"/>
      <c r="X16" s="879"/>
      <c r="Y16" s="879"/>
      <c r="Z16" s="879"/>
      <c r="AA16" s="584"/>
      <c r="AB16" s="584"/>
      <c r="AC16" s="584"/>
      <c r="AD16" s="584"/>
      <c r="AE16" s="584"/>
      <c r="AF16" s="584"/>
      <c r="AG16" s="236"/>
      <c r="AH16" s="128"/>
      <c r="AI16" s="128"/>
      <c r="AJ16" s="128"/>
      <c r="AK16" s="128"/>
      <c r="AL16" s="128"/>
      <c r="AM16" s="879"/>
      <c r="AN16" s="879"/>
      <c r="AO16" s="879"/>
      <c r="AP16" s="584"/>
      <c r="AQ16" s="584"/>
      <c r="AR16" s="584"/>
      <c r="AS16" s="584"/>
      <c r="AT16" s="584"/>
      <c r="AU16" s="584"/>
      <c r="AV16" s="235"/>
      <c r="AW16" s="443"/>
      <c r="AX16" s="443"/>
      <c r="AY16" s="443"/>
      <c r="AZ16" s="443"/>
      <c r="BA16" s="128"/>
      <c r="BB16" s="907"/>
      <c r="BC16" s="879"/>
      <c r="BD16" s="879"/>
      <c r="BE16" s="879"/>
      <c r="BF16" s="584"/>
      <c r="BG16" s="584"/>
      <c r="BH16" s="584"/>
      <c r="BI16" s="584"/>
      <c r="BJ16" s="584"/>
      <c r="BK16" s="584"/>
      <c r="BL16" s="235"/>
      <c r="BM16" s="443"/>
      <c r="BN16" s="443"/>
      <c r="BO16" s="443"/>
      <c r="BP16" s="443"/>
      <c r="BQ16" s="850"/>
    </row>
    <row r="17" spans="1:69" ht="4.5" customHeight="1">
      <c r="A17" s="128"/>
      <c r="B17" s="128"/>
      <c r="C17" s="128"/>
      <c r="D17" s="128"/>
      <c r="E17" s="128"/>
      <c r="F17" s="342"/>
      <c r="G17" s="851"/>
      <c r="H17" s="851"/>
      <c r="I17" s="851"/>
      <c r="J17" s="909"/>
      <c r="K17" s="858"/>
      <c r="L17" s="851"/>
      <c r="M17" s="783"/>
      <c r="N17" s="910"/>
      <c r="O17" s="910"/>
      <c r="P17" s="910"/>
      <c r="Q17" s="910"/>
      <c r="R17" s="910"/>
      <c r="S17" s="910"/>
      <c r="T17" s="910"/>
      <c r="U17" s="910"/>
      <c r="V17" s="975"/>
      <c r="W17" s="907"/>
      <c r="X17" s="879"/>
      <c r="Y17" s="879"/>
      <c r="Z17" s="879"/>
      <c r="AA17" s="584"/>
      <c r="AB17" s="584"/>
      <c r="AC17" s="584"/>
      <c r="AD17" s="584"/>
      <c r="AE17" s="584"/>
      <c r="AF17" s="584"/>
      <c r="AG17" s="236"/>
      <c r="AH17" s="128"/>
      <c r="AI17" s="128"/>
      <c r="AJ17" s="128"/>
      <c r="AK17" s="128"/>
      <c r="AL17" s="128"/>
      <c r="AM17" s="879"/>
      <c r="AN17" s="879"/>
      <c r="AO17" s="879"/>
      <c r="AP17" s="584"/>
      <c r="AQ17" s="584"/>
      <c r="AR17" s="584"/>
      <c r="AS17" s="584"/>
      <c r="AT17" s="584"/>
      <c r="AU17" s="584"/>
      <c r="AV17" s="235"/>
      <c r="AW17" s="443"/>
      <c r="AX17" s="443"/>
      <c r="AY17" s="443"/>
      <c r="AZ17" s="443"/>
      <c r="BA17" s="128"/>
      <c r="BB17" s="907"/>
      <c r="BC17" s="879"/>
      <c r="BD17" s="879"/>
      <c r="BE17" s="879"/>
      <c r="BF17" s="584"/>
      <c r="BG17" s="584"/>
      <c r="BH17" s="584"/>
      <c r="BI17" s="584"/>
      <c r="BJ17" s="584"/>
      <c r="BK17" s="584"/>
      <c r="BL17" s="235"/>
      <c r="BM17" s="443"/>
      <c r="BN17" s="443"/>
      <c r="BO17" s="443"/>
      <c r="BP17" s="443"/>
      <c r="BQ17" s="850"/>
    </row>
    <row r="18" spans="1:69" ht="14.25" customHeight="1">
      <c r="A18" s="128"/>
      <c r="B18" s="128"/>
      <c r="C18" s="128"/>
      <c r="D18" s="128"/>
      <c r="E18" s="128"/>
      <c r="F18" s="342"/>
      <c r="G18" s="851"/>
      <c r="H18" s="851"/>
      <c r="I18" s="851"/>
      <c r="J18" s="1426" t="s">
        <v>485</v>
      </c>
      <c r="K18" s="1361"/>
      <c r="L18" s="851"/>
      <c r="M18" s="788" t="e">
        <v>#REF!</v>
      </c>
      <c r="N18" s="911">
        <v>0</v>
      </c>
      <c r="O18" s="911">
        <v>0</v>
      </c>
      <c r="P18" s="911">
        <f>'2.Cálculos (2)'!E27</f>
        <v>0</v>
      </c>
      <c r="Q18" s="911">
        <f>'2.Cálculos (2)'!E27</f>
        <v>0</v>
      </c>
      <c r="R18" s="911">
        <f>'2.Cálculos (2)'!F27</f>
        <v>0</v>
      </c>
      <c r="S18" s="911">
        <f>'2.Cálculos (2)'!G27</f>
        <v>0</v>
      </c>
      <c r="T18" s="911">
        <f>'2.Cálculos (2)'!H27</f>
        <v>0</v>
      </c>
      <c r="U18" s="911">
        <f>'2.Cálculos (2)'!I27</f>
        <v>0</v>
      </c>
      <c r="V18" s="975"/>
      <c r="W18" s="907"/>
      <c r="X18" s="1449"/>
      <c r="Y18" s="1373"/>
      <c r="Z18" s="879"/>
      <c r="AA18" s="657"/>
      <c r="AB18" s="657"/>
      <c r="AC18" s="657"/>
      <c r="AD18" s="657"/>
      <c r="AE18" s="657"/>
      <c r="AF18" s="657"/>
      <c r="AG18" s="236"/>
      <c r="AH18" s="128"/>
      <c r="AI18" s="128"/>
      <c r="AJ18" s="128"/>
      <c r="AK18" s="128"/>
      <c r="AL18" s="128"/>
      <c r="AM18" s="1449"/>
      <c r="AN18" s="1373"/>
      <c r="AO18" s="879"/>
      <c r="AP18" s="913" t="e">
        <f>+AN14</f>
        <v>#DIV/0!</v>
      </c>
      <c r="AQ18" s="913" t="e">
        <f>+AP18</f>
        <v>#DIV/0!</v>
      </c>
      <c r="AR18" s="913">
        <f>+'Expected Growth25'!F38</f>
        <v>6.1800000000000001E-2</v>
      </c>
      <c r="AS18" s="913">
        <f>+AR18</f>
        <v>6.1800000000000001E-2</v>
      </c>
      <c r="AT18" s="913">
        <f>+AS18</f>
        <v>6.1800000000000001E-2</v>
      </c>
      <c r="AU18" s="913">
        <v>4.4299999999999999E-2</v>
      </c>
      <c r="AV18" s="235"/>
      <c r="AW18" s="914" t="s">
        <v>1019</v>
      </c>
      <c r="AX18" s="719"/>
      <c r="AY18" s="719"/>
      <c r="AZ18" s="443"/>
      <c r="BA18" s="128"/>
      <c r="BB18" s="907"/>
      <c r="BC18" s="1449"/>
      <c r="BD18" s="1373"/>
      <c r="BE18" s="879"/>
      <c r="BF18" s="657"/>
      <c r="BG18" s="657"/>
      <c r="BH18" s="657"/>
      <c r="BI18" s="657"/>
      <c r="BJ18" s="657"/>
      <c r="BK18" s="657"/>
      <c r="BL18" s="235"/>
      <c r="BM18" s="1423"/>
      <c r="BN18" s="1347"/>
      <c r="BO18" s="1347"/>
      <c r="BP18" s="1348"/>
      <c r="BQ18" s="850"/>
    </row>
    <row r="19" spans="1:69" ht="35.25" customHeight="1">
      <c r="A19" s="128"/>
      <c r="B19" s="128"/>
      <c r="C19" s="128"/>
      <c r="D19" s="128"/>
      <c r="E19" s="128"/>
      <c r="F19" s="342"/>
      <c r="G19" s="851"/>
      <c r="H19" s="1420"/>
      <c r="I19" s="1361"/>
      <c r="J19" s="1444" t="s">
        <v>486</v>
      </c>
      <c r="K19" s="1361"/>
      <c r="L19" s="851"/>
      <c r="M19" s="906" t="e">
        <f>M15+M18</f>
        <v>#VALUE!</v>
      </c>
      <c r="N19" s="906" t="e">
        <f>N15+N18</f>
        <v>#REF!</v>
      </c>
      <c r="O19" s="906">
        <f>O15+O18</f>
        <v>0</v>
      </c>
      <c r="P19" s="906">
        <f>P15+P18</f>
        <v>0</v>
      </c>
      <c r="Q19" s="906">
        <f>Q15+Q18</f>
        <v>0</v>
      </c>
      <c r="R19" s="906">
        <f>R15+R18</f>
        <v>0</v>
      </c>
      <c r="S19" s="906">
        <f>S15+S18</f>
        <v>0</v>
      </c>
      <c r="T19" s="906">
        <f>T15+T18</f>
        <v>0</v>
      </c>
      <c r="U19" s="906">
        <f>U15+U18</f>
        <v>0</v>
      </c>
      <c r="V19" s="908"/>
      <c r="W19" s="907"/>
      <c r="X19" s="1429" t="s">
        <v>484</v>
      </c>
      <c r="Y19" s="1361"/>
      <c r="Z19" s="879"/>
      <c r="AA19" s="915">
        <f>AA15*(1+AA18)</f>
        <v>0</v>
      </c>
      <c r="AB19" s="915">
        <f>AB15*(1+AB18)</f>
        <v>0</v>
      </c>
      <c r="AC19" s="915">
        <f>AC15*(1+AC18)</f>
        <v>0</v>
      </c>
      <c r="AD19" s="915">
        <f>AD15*(1+AD18)</f>
        <v>0</v>
      </c>
      <c r="AE19" s="915">
        <f>AE15*(1+AE18)</f>
        <v>0</v>
      </c>
      <c r="AF19" s="915" t="e">
        <f>AF15*(1+AF18)</f>
        <v>#REF!</v>
      </c>
      <c r="AG19" s="236"/>
      <c r="AH19" s="1430"/>
      <c r="AI19" s="1373"/>
      <c r="AJ19" s="1373"/>
      <c r="AK19" s="1373"/>
      <c r="AL19" s="128"/>
      <c r="AM19" s="1431" t="s">
        <v>487</v>
      </c>
      <c r="AN19" s="1361"/>
      <c r="AO19" s="879"/>
      <c r="AP19" s="910" t="e">
        <f>AP15*(1+AP18)</f>
        <v>#DIV/0!</v>
      </c>
      <c r="AQ19" s="910" t="e">
        <f>AQ15*(1+AQ18)</f>
        <v>#DIV/0!</v>
      </c>
      <c r="AR19" s="910" t="e">
        <f>AR15*(1+AR18)</f>
        <v>#DIV/0!</v>
      </c>
      <c r="AS19" s="910" t="e">
        <f>AS15*(1+AS18)</f>
        <v>#DIV/0!</v>
      </c>
      <c r="AT19" s="910" t="e">
        <f>AT15*(1+AT18)</f>
        <v>#DIV/0!</v>
      </c>
      <c r="AU19" s="910" t="e">
        <f>+(AU15*(1+AU18))/(AP11-AW9)</f>
        <v>#DIV/0!</v>
      </c>
      <c r="AV19" s="235"/>
      <c r="AW19" s="719"/>
      <c r="AX19" s="916" t="s">
        <v>488</v>
      </c>
      <c r="AY19" s="719"/>
      <c r="AZ19" s="443"/>
      <c r="BA19" s="128"/>
      <c r="BB19" s="907"/>
      <c r="BC19" s="1431" t="s">
        <v>487</v>
      </c>
      <c r="BD19" s="1361"/>
      <c r="BE19" s="879"/>
      <c r="BF19" s="910">
        <f>BF15*(1+BF18)</f>
        <v>0</v>
      </c>
      <c r="BG19" s="910">
        <f>BG15*(1+BG18)</f>
        <v>0</v>
      </c>
      <c r="BH19" s="910">
        <f>BH15*(1+BH18)</f>
        <v>0</v>
      </c>
      <c r="BI19" s="910">
        <f>BI15*(1+BI18)</f>
        <v>0</v>
      </c>
      <c r="BJ19" s="910">
        <f>BJ15*(1+BJ18)</f>
        <v>0</v>
      </c>
      <c r="BK19" s="910" t="e">
        <f>BK15*(1+BK18)</f>
        <v>#REF!</v>
      </c>
      <c r="BL19" s="235"/>
      <c r="BM19" s="1406"/>
      <c r="BN19" s="1373"/>
      <c r="BO19" s="1373"/>
      <c r="BP19" s="1374"/>
      <c r="BQ19" s="850"/>
    </row>
    <row r="20" spans="1:69" ht="14.25" customHeight="1">
      <c r="A20" s="128"/>
      <c r="B20" s="128"/>
      <c r="C20" s="128"/>
      <c r="D20" s="128"/>
      <c r="E20" s="128"/>
      <c r="F20" s="342"/>
      <c r="G20" s="851"/>
      <c r="H20" s="851"/>
      <c r="I20" s="851"/>
      <c r="J20" s="917"/>
      <c r="K20" s="917"/>
      <c r="L20" s="851"/>
      <c r="M20" s="783"/>
      <c r="N20" s="918"/>
      <c r="O20" s="783"/>
      <c r="P20" s="918"/>
      <c r="Q20" s="918"/>
      <c r="R20" s="918"/>
      <c r="S20" s="918"/>
      <c r="T20" s="918"/>
      <c r="U20" s="918"/>
      <c r="V20" s="908"/>
      <c r="W20" s="907"/>
      <c r="X20" s="879"/>
      <c r="Y20" s="879"/>
      <c r="Z20" s="879"/>
      <c r="AA20" s="584"/>
      <c r="AB20" s="584"/>
      <c r="AC20" s="584"/>
      <c r="AD20" s="584"/>
      <c r="AE20" s="584"/>
      <c r="AF20" s="584"/>
      <c r="AG20" s="236"/>
      <c r="AH20" s="1423"/>
      <c r="AI20" s="1347"/>
      <c r="AJ20" s="1347"/>
      <c r="AK20" s="1348"/>
      <c r="AL20" s="128"/>
      <c r="AM20" s="879"/>
      <c r="AN20" s="879"/>
      <c r="AO20" s="879"/>
      <c r="AP20" s="783"/>
      <c r="AQ20" s="783"/>
      <c r="AR20" s="783"/>
      <c r="AS20" s="783"/>
      <c r="AT20" s="783"/>
      <c r="AU20" s="783"/>
      <c r="AV20" s="235"/>
      <c r="AW20" s="128"/>
      <c r="AX20" s="128"/>
      <c r="AY20" s="128"/>
      <c r="AZ20" s="128"/>
      <c r="BA20" s="128"/>
      <c r="BB20" s="907"/>
      <c r="BC20" s="879"/>
      <c r="BD20" s="879"/>
      <c r="BE20" s="879"/>
      <c r="BF20" s="783"/>
      <c r="BG20" s="783"/>
      <c r="BH20" s="783"/>
      <c r="BI20" s="783"/>
      <c r="BJ20" s="783"/>
      <c r="BK20" s="783"/>
      <c r="BL20" s="235"/>
      <c r="BM20" s="128"/>
      <c r="BN20" s="128"/>
      <c r="BO20" s="128"/>
      <c r="BP20" s="128"/>
      <c r="BQ20" s="850"/>
    </row>
    <row r="21" spans="1:69" ht="14.25" customHeight="1">
      <c r="A21" s="128"/>
      <c r="B21" s="128"/>
      <c r="C21" s="128"/>
      <c r="D21" s="128"/>
      <c r="E21" s="128"/>
      <c r="F21" s="382"/>
      <c r="G21" s="1433"/>
      <c r="H21" s="1347"/>
      <c r="I21" s="1348"/>
      <c r="J21" s="1445" t="str">
        <f>'2.Cálculos (2)'!B20</f>
        <v>Δ Capital de Trabajo</v>
      </c>
      <c r="K21" s="1348"/>
      <c r="L21" s="851"/>
      <c r="M21" s="783"/>
      <c r="N21" s="585"/>
      <c r="O21" s="585">
        <f>+'2.Cálculos (2)'!C30</f>
        <v>0</v>
      </c>
      <c r="P21" s="585">
        <f>+'2.Cálculos (2)'!D30</f>
        <v>6046273</v>
      </c>
      <c r="Q21" s="585">
        <f>+'2.Cálculos (2)'!E30</f>
        <v>0</v>
      </c>
      <c r="R21" s="585">
        <f>+'2.Cálculos (2)'!F30</f>
        <v>0</v>
      </c>
      <c r="S21" s="585">
        <f>+'2.Cálculos (2)'!G30</f>
        <v>0</v>
      </c>
      <c r="T21" s="585">
        <f>+'2.Cálculos (2)'!H30</f>
        <v>0</v>
      </c>
      <c r="U21" s="585">
        <f>+'2.Cálculos (2)'!I30</f>
        <v>0</v>
      </c>
      <c r="V21" s="908"/>
      <c r="W21" s="907"/>
      <c r="X21" s="1426" t="s">
        <v>489</v>
      </c>
      <c r="Y21" s="1361"/>
      <c r="Z21" s="879"/>
      <c r="AA21" s="1427" t="e">
        <f>AF19</f>
        <v>#REF!</v>
      </c>
      <c r="AB21" s="1360"/>
      <c r="AC21" s="1360"/>
      <c r="AD21" s="1360"/>
      <c r="AE21" s="1360"/>
      <c r="AF21" s="1361"/>
      <c r="AG21" s="236"/>
      <c r="AH21" s="1406"/>
      <c r="AI21" s="1373"/>
      <c r="AJ21" s="1373"/>
      <c r="AK21" s="1374"/>
      <c r="AL21" s="128"/>
      <c r="AM21" s="1426" t="s">
        <v>489</v>
      </c>
      <c r="AN21" s="1361"/>
      <c r="AO21" s="879"/>
      <c r="AP21" s="1427" t="e">
        <f>AU19</f>
        <v>#DIV/0!</v>
      </c>
      <c r="AQ21" s="1360"/>
      <c r="AR21" s="1360"/>
      <c r="AS21" s="1360"/>
      <c r="AT21" s="1360"/>
      <c r="AU21" s="1361"/>
      <c r="AV21" s="235"/>
      <c r="AW21" s="128"/>
      <c r="AX21" s="128"/>
      <c r="AY21" s="128"/>
      <c r="AZ21" s="128"/>
      <c r="BA21" s="128"/>
      <c r="BB21" s="907"/>
      <c r="BC21" s="1426" t="s">
        <v>489</v>
      </c>
      <c r="BD21" s="1361"/>
      <c r="BE21" s="879"/>
      <c r="BF21" s="1427" t="e">
        <f>BK19</f>
        <v>#REF!</v>
      </c>
      <c r="BG21" s="1360"/>
      <c r="BH21" s="1360"/>
      <c r="BI21" s="1360"/>
      <c r="BJ21" s="1360"/>
      <c r="BK21" s="1361"/>
      <c r="BL21" s="235"/>
      <c r="BM21" s="128"/>
      <c r="BN21" s="128"/>
      <c r="BO21" s="128"/>
      <c r="BP21" s="128"/>
      <c r="BQ21" s="850"/>
    </row>
    <row r="22" spans="1:69" ht="14.25" customHeight="1">
      <c r="A22" s="128"/>
      <c r="B22" s="128"/>
      <c r="C22" s="128"/>
      <c r="D22" s="128"/>
      <c r="E22" s="128"/>
      <c r="F22" s="382"/>
      <c r="G22" s="1416"/>
      <c r="H22" s="1334"/>
      <c r="I22" s="1353"/>
      <c r="J22" s="1424" t="str">
        <f>'2.Cálculos (2)'!B32</f>
        <v>Capex</v>
      </c>
      <c r="K22" s="1361"/>
      <c r="L22" s="851"/>
      <c r="M22" s="783"/>
      <c r="N22" s="585"/>
      <c r="O22" s="585">
        <f>+'2.Cálculos (2)'!C32</f>
        <v>0</v>
      </c>
      <c r="P22" s="585">
        <f>+'2.Cálculos (2)'!D32</f>
        <v>0</v>
      </c>
      <c r="Q22" s="585">
        <f>+'2.Cálculos (2)'!E32</f>
        <v>0</v>
      </c>
      <c r="R22" s="585">
        <f>+'2.Cálculos (2)'!F32</f>
        <v>0</v>
      </c>
      <c r="S22" s="585">
        <f>+'2.Cálculos (2)'!G32</f>
        <v>0</v>
      </c>
      <c r="T22" s="585">
        <f>+'2.Cálculos (2)'!H32</f>
        <v>0</v>
      </c>
      <c r="U22" s="585">
        <f>+'2.Cálculos (2)'!I32</f>
        <v>0</v>
      </c>
      <c r="V22" s="908"/>
      <c r="W22" s="907"/>
      <c r="X22" s="908"/>
      <c r="Y22" s="908"/>
      <c r="Z22" s="908"/>
      <c r="AA22" s="918"/>
      <c r="AB22" s="918"/>
      <c r="AC22" s="918"/>
      <c r="AD22" s="918"/>
      <c r="AE22" s="918"/>
      <c r="AF22" s="918"/>
      <c r="AG22" s="236"/>
      <c r="AH22" s="128"/>
      <c r="AI22" s="128"/>
      <c r="AJ22" s="128"/>
      <c r="AK22" s="128"/>
      <c r="AL22" s="128"/>
      <c r="AM22" s="908"/>
      <c r="AN22" s="908"/>
      <c r="AO22" s="908"/>
      <c r="AP22" s="920"/>
      <c r="AQ22" s="920"/>
      <c r="AR22" s="920"/>
      <c r="AS22" s="920"/>
      <c r="AT22" s="920"/>
      <c r="AU22" s="921"/>
      <c r="AV22" s="235"/>
      <c r="AW22" s="128"/>
      <c r="AX22" s="128"/>
      <c r="AY22" s="128"/>
      <c r="AZ22" s="128"/>
      <c r="BA22" s="128"/>
      <c r="BB22" s="907"/>
      <c r="BC22" s="908"/>
      <c r="BD22" s="908"/>
      <c r="BE22" s="908"/>
      <c r="BF22" s="918"/>
      <c r="BG22" s="918"/>
      <c r="BH22" s="918"/>
      <c r="BI22" s="918"/>
      <c r="BJ22" s="918"/>
      <c r="BK22" s="918"/>
      <c r="BL22" s="235"/>
      <c r="BM22" s="128"/>
      <c r="BN22" s="128"/>
      <c r="BO22" s="128"/>
      <c r="BP22" s="128"/>
      <c r="BQ22" s="850"/>
    </row>
    <row r="23" spans="1:69" ht="14.25" customHeight="1">
      <c r="A23" s="128"/>
      <c r="B23" s="128"/>
      <c r="C23" s="128"/>
      <c r="D23" s="128"/>
      <c r="E23" s="128"/>
      <c r="F23" s="382"/>
      <c r="G23" s="1416"/>
      <c r="H23" s="1334"/>
      <c r="I23" s="1353"/>
      <c r="J23" s="1432"/>
      <c r="K23" s="1334"/>
      <c r="L23" s="851"/>
      <c r="M23" s="783"/>
      <c r="N23" s="922"/>
      <c r="O23" s="922"/>
      <c r="P23" s="922"/>
      <c r="Q23" s="922"/>
      <c r="R23" s="922"/>
      <c r="S23" s="922"/>
      <c r="T23" s="922"/>
      <c r="U23" s="922"/>
      <c r="V23" s="908"/>
      <c r="W23" s="907"/>
      <c r="X23" s="1426" t="s">
        <v>490</v>
      </c>
      <c r="Y23" s="1361"/>
      <c r="Z23" s="879"/>
      <c r="AA23" s="584" t="e">
        <f>AA19*$O$32</f>
        <v>#DIV/0!</v>
      </c>
      <c r="AB23" s="584" t="e">
        <f>AB19*$O$32</f>
        <v>#DIV/0!</v>
      </c>
      <c r="AC23" s="584" t="e">
        <f>AC19*$O$32</f>
        <v>#DIV/0!</v>
      </c>
      <c r="AD23" s="584" t="e">
        <f>AD19*$O$32</f>
        <v>#DIV/0!</v>
      </c>
      <c r="AE23" s="584" t="e">
        <f>AE19*$O$32</f>
        <v>#DIV/0!</v>
      </c>
      <c r="AF23" s="584" t="e">
        <f>AF19*$O$32</f>
        <v>#REF!</v>
      </c>
      <c r="AG23" s="236"/>
      <c r="AH23" s="1420"/>
      <c r="AI23" s="1360"/>
      <c r="AJ23" s="1360"/>
      <c r="AK23" s="1361"/>
      <c r="AL23" s="128"/>
      <c r="AM23" s="1426" t="s">
        <v>490</v>
      </c>
      <c r="AN23" s="1361"/>
      <c r="AO23" s="879"/>
      <c r="AP23" s="783" t="e">
        <f>AP19-AP24</f>
        <v>#DIV/0!</v>
      </c>
      <c r="AQ23" s="783" t="e">
        <f>AQ19-AQ24</f>
        <v>#DIV/0!</v>
      </c>
      <c r="AR23" s="783" t="e">
        <f>AR19-AR24</f>
        <v>#DIV/0!</v>
      </c>
      <c r="AS23" s="783" t="e">
        <f>AS19-AS24</f>
        <v>#DIV/0!</v>
      </c>
      <c r="AT23" s="783" t="e">
        <f>AT19-AT24</f>
        <v>#DIV/0!</v>
      </c>
      <c r="AU23" s="783" t="e">
        <f>AU19-AU24</f>
        <v>#DIV/0!</v>
      </c>
      <c r="AV23" s="235"/>
      <c r="AW23" s="1420"/>
      <c r="AX23" s="1360"/>
      <c r="AY23" s="1360"/>
      <c r="AZ23" s="1361"/>
      <c r="BA23" s="128"/>
      <c r="BB23" s="907"/>
      <c r="BC23" s="1426" t="s">
        <v>490</v>
      </c>
      <c r="BD23" s="1361"/>
      <c r="BE23" s="879"/>
      <c r="BF23" s="783" t="e">
        <f>BF19*$O$32</f>
        <v>#DIV/0!</v>
      </c>
      <c r="BG23" s="783" t="e">
        <f>BG19*$O$32</f>
        <v>#DIV/0!</v>
      </c>
      <c r="BH23" s="783" t="e">
        <f>BH19*$O$32</f>
        <v>#DIV/0!</v>
      </c>
      <c r="BI23" s="783" t="e">
        <f>BI19*$O$32</f>
        <v>#DIV/0!</v>
      </c>
      <c r="BJ23" s="783" t="e">
        <f>BJ19*$O$32</f>
        <v>#DIV/0!</v>
      </c>
      <c r="BK23" s="783" t="e">
        <f>BK19*$O$32</f>
        <v>#REF!</v>
      </c>
      <c r="BL23" s="235"/>
      <c r="BM23" s="1420"/>
      <c r="BN23" s="1360"/>
      <c r="BO23" s="1360"/>
      <c r="BP23" s="1361"/>
      <c r="BQ23" s="850"/>
    </row>
    <row r="24" spans="1:69" ht="14.25" customHeight="1">
      <c r="A24" s="128"/>
      <c r="B24" s="128"/>
      <c r="C24" s="128"/>
      <c r="D24" s="128"/>
      <c r="E24" s="128"/>
      <c r="F24" s="382"/>
      <c r="G24" s="1406"/>
      <c r="H24" s="1373"/>
      <c r="I24" s="1374"/>
      <c r="J24" s="1424" t="s">
        <v>491</v>
      </c>
      <c r="K24" s="1361"/>
      <c r="L24" s="851"/>
      <c r="M24" s="783"/>
      <c r="N24" s="923"/>
      <c r="O24" s="923">
        <f>SUM(O21:O23)</f>
        <v>0</v>
      </c>
      <c r="P24" s="923">
        <f>SUM(P21:P23)</f>
        <v>6046273</v>
      </c>
      <c r="Q24" s="923">
        <f>SUM(Q21:Q23)</f>
        <v>0</v>
      </c>
      <c r="R24" s="923">
        <f>SUM(R21:R23)</f>
        <v>0</v>
      </c>
      <c r="S24" s="923">
        <f>SUM(S21:S23)</f>
        <v>0</v>
      </c>
      <c r="T24" s="923">
        <f>SUM(T21:T23)</f>
        <v>0</v>
      </c>
      <c r="U24" s="923">
        <f>SUM(U21:U23)</f>
        <v>0</v>
      </c>
      <c r="V24" s="908"/>
      <c r="W24" s="907"/>
      <c r="X24" s="1426" t="s">
        <v>492</v>
      </c>
      <c r="Y24" s="1361"/>
      <c r="Z24" s="879"/>
      <c r="AA24" s="584" t="e">
        <f>AA19-AA23</f>
        <v>#DIV/0!</v>
      </c>
      <c r="AB24" s="584" t="e">
        <f>AB19-AB23</f>
        <v>#DIV/0!</v>
      </c>
      <c r="AC24" s="584" t="e">
        <f>AC19-AC23</f>
        <v>#DIV/0!</v>
      </c>
      <c r="AD24" s="584" t="e">
        <f>AD19-AD23</f>
        <v>#DIV/0!</v>
      </c>
      <c r="AE24" s="584" t="e">
        <f>AE19-AE23</f>
        <v>#DIV/0!</v>
      </c>
      <c r="AF24" s="584" t="e">
        <f>AF19-AF23</f>
        <v>#REF!</v>
      </c>
      <c r="AG24" s="236"/>
      <c r="AH24" s="1420"/>
      <c r="AI24" s="1360"/>
      <c r="AJ24" s="1360"/>
      <c r="AK24" s="1361"/>
      <c r="AL24" s="128"/>
      <c r="AM24" s="1426" t="s">
        <v>492</v>
      </c>
      <c r="AN24" s="1361"/>
      <c r="AO24" s="879"/>
      <c r="AP24" s="783" t="e">
        <f>AP19*$O$35</f>
        <v>#DIV/0!</v>
      </c>
      <c r="AQ24" s="783" t="e">
        <f>AQ19*$O$35</f>
        <v>#DIV/0!</v>
      </c>
      <c r="AR24" s="783" t="e">
        <f>AR19*$O$35</f>
        <v>#DIV/0!</v>
      </c>
      <c r="AS24" s="783" t="e">
        <f>AS19*$O$35</f>
        <v>#DIV/0!</v>
      </c>
      <c r="AT24" s="783" t="e">
        <f>AT19*$O$35</f>
        <v>#DIV/0!</v>
      </c>
      <c r="AU24" s="783" t="e">
        <f>AU19*$O$35</f>
        <v>#DIV/0!</v>
      </c>
      <c r="AV24" s="235"/>
      <c r="AW24" s="1420"/>
      <c r="AX24" s="1360"/>
      <c r="AY24" s="1360"/>
      <c r="AZ24" s="1361"/>
      <c r="BA24" s="128"/>
      <c r="BB24" s="907"/>
      <c r="BC24" s="1426" t="s">
        <v>492</v>
      </c>
      <c r="BD24" s="1361"/>
      <c r="BE24" s="879"/>
      <c r="BF24" s="783" t="e">
        <f>BF19-BF23</f>
        <v>#DIV/0!</v>
      </c>
      <c r="BG24" s="783" t="e">
        <f>BG19-BG23</f>
        <v>#DIV/0!</v>
      </c>
      <c r="BH24" s="783" t="e">
        <f>BH19-BH23</f>
        <v>#DIV/0!</v>
      </c>
      <c r="BI24" s="783" t="e">
        <f>BI19-BI23</f>
        <v>#DIV/0!</v>
      </c>
      <c r="BJ24" s="783" t="e">
        <f>BJ19-BJ23</f>
        <v>#DIV/0!</v>
      </c>
      <c r="BK24" s="783" t="e">
        <f>BK19-BK23</f>
        <v>#REF!</v>
      </c>
      <c r="BL24" s="235"/>
      <c r="BM24" s="1420"/>
      <c r="BN24" s="1360"/>
      <c r="BO24" s="1360"/>
      <c r="BP24" s="1361"/>
      <c r="BQ24" s="850"/>
    </row>
    <row r="25" spans="1:69" ht="14.25" customHeight="1">
      <c r="A25" s="128"/>
      <c r="B25" s="128"/>
      <c r="C25" s="128"/>
      <c r="D25" s="128"/>
      <c r="E25" s="128"/>
      <c r="F25" s="342"/>
      <c r="G25" s="851"/>
      <c r="H25" s="851"/>
      <c r="I25" s="851"/>
      <c r="J25" s="917"/>
      <c r="K25" s="917"/>
      <c r="L25" s="851"/>
      <c r="M25" s="783"/>
      <c r="N25" s="788"/>
      <c r="O25" s="788"/>
      <c r="P25" s="924"/>
      <c r="Q25" s="924"/>
      <c r="R25" s="924"/>
      <c r="S25" s="924"/>
      <c r="T25" s="924"/>
      <c r="U25" s="924"/>
      <c r="V25" s="908"/>
      <c r="W25" s="907"/>
      <c r="X25" s="908"/>
      <c r="Y25" s="908"/>
      <c r="Z25" s="908"/>
      <c r="AA25" s="918"/>
      <c r="AB25" s="918"/>
      <c r="AC25" s="918"/>
      <c r="AD25" s="918"/>
      <c r="AE25" s="918"/>
      <c r="AF25" s="918"/>
      <c r="AG25" s="236"/>
      <c r="AH25" s="128"/>
      <c r="AI25" s="128"/>
      <c r="AJ25" s="128"/>
      <c r="AK25" s="128"/>
      <c r="AL25" s="128"/>
      <c r="AM25" s="908"/>
      <c r="AN25" s="908"/>
      <c r="AO25" s="908"/>
      <c r="AP25" s="918"/>
      <c r="AQ25" s="918"/>
      <c r="AR25" s="918"/>
      <c r="AS25" s="918"/>
      <c r="AT25" s="918"/>
      <c r="AU25" s="918"/>
      <c r="AV25" s="235"/>
      <c r="AW25" s="128"/>
      <c r="AX25" s="128"/>
      <c r="AY25" s="128"/>
      <c r="AZ25" s="128"/>
      <c r="BA25" s="128"/>
      <c r="BB25" s="907"/>
      <c r="BC25" s="908"/>
      <c r="BD25" s="908"/>
      <c r="BE25" s="908"/>
      <c r="BF25" s="918"/>
      <c r="BG25" s="918"/>
      <c r="BH25" s="918"/>
      <c r="BI25" s="918"/>
      <c r="BJ25" s="918"/>
      <c r="BK25" s="918"/>
      <c r="BL25" s="235"/>
      <c r="BM25" s="128"/>
      <c r="BN25" s="128"/>
      <c r="BO25" s="128"/>
      <c r="BP25" s="128"/>
      <c r="BQ25" s="850"/>
    </row>
    <row r="26" spans="1:69" ht="14.25" customHeight="1">
      <c r="A26" s="128"/>
      <c r="B26" s="128"/>
      <c r="C26" s="128"/>
      <c r="D26" s="128"/>
      <c r="E26" s="128"/>
      <c r="F26" s="342"/>
      <c r="G26" s="851"/>
      <c r="H26" s="1420"/>
      <c r="I26" s="1361"/>
      <c r="J26" s="1421" t="s">
        <v>493</v>
      </c>
      <c r="K26" s="1361"/>
      <c r="L26" s="851"/>
      <c r="M26" s="783"/>
      <c r="N26" s="923"/>
      <c r="O26" s="923">
        <f>+O19-O24</f>
        <v>0</v>
      </c>
      <c r="P26" s="923">
        <f>+P19-P24</f>
        <v>-6046273</v>
      </c>
      <c r="Q26" s="923">
        <f>+Q19-Q24</f>
        <v>0</v>
      </c>
      <c r="R26" s="923">
        <f>+R19-R24</f>
        <v>0</v>
      </c>
      <c r="S26" s="923">
        <f>+S19-S24</f>
        <v>0</v>
      </c>
      <c r="T26" s="923">
        <f>T19+T24</f>
        <v>0</v>
      </c>
      <c r="U26" s="923">
        <f>U19+U24</f>
        <v>0</v>
      </c>
      <c r="V26" s="908"/>
      <c r="W26" s="907"/>
      <c r="X26" s="1426" t="s">
        <v>494</v>
      </c>
      <c r="Y26" s="1361"/>
      <c r="Z26" s="879"/>
      <c r="AA26" s="584" t="e">
        <f>AA23/((1+$AA$11)^AA6)</f>
        <v>#DIV/0!</v>
      </c>
      <c r="AB26" s="584" t="e">
        <f>AB23/((1+$AA$11)^AB6)</f>
        <v>#DIV/0!</v>
      </c>
      <c r="AC26" s="584" t="e">
        <f>AC23/((1+$AA$11)^AC6)</f>
        <v>#DIV/0!</v>
      </c>
      <c r="AD26" s="584" t="e">
        <f>AD23/((1+$AA$11)^AD6)</f>
        <v>#DIV/0!</v>
      </c>
      <c r="AE26" s="584" t="e">
        <f>AE23/((1+$AA$11)^AE6)</f>
        <v>#DIV/0!</v>
      </c>
      <c r="AF26" s="584" t="e">
        <f>AF23/((1+$AA$11)^AF6)</f>
        <v>#REF!</v>
      </c>
      <c r="AG26" s="236"/>
      <c r="AH26" s="1423"/>
      <c r="AI26" s="1347"/>
      <c r="AJ26" s="1348"/>
      <c r="AK26" s="128"/>
      <c r="AL26" s="128"/>
      <c r="AM26" s="1428" t="s">
        <v>494</v>
      </c>
      <c r="AN26" s="1361"/>
      <c r="AO26" s="879"/>
      <c r="AP26" s="783" t="e">
        <f>AP23/((1+$AP$11)^AP6)</f>
        <v>#DIV/0!</v>
      </c>
      <c r="AQ26" s="783" t="e">
        <f>AQ23/((1+$AP$11)^AQ6)</f>
        <v>#DIV/0!</v>
      </c>
      <c r="AR26" s="783" t="e">
        <f>AR23/((1+$AP$11)^AR6)</f>
        <v>#DIV/0!</v>
      </c>
      <c r="AS26" s="783" t="e">
        <f>AS23/((1+$AP$11)^AS6)</f>
        <v>#DIV/0!</v>
      </c>
      <c r="AT26" s="783" t="e">
        <f>AT23/((1+$AP$11)^AT6)</f>
        <v>#DIV/0!</v>
      </c>
      <c r="AU26" s="783" t="e">
        <f>AU23/((1+$AP$11)^AU6)</f>
        <v>#DIV/0!</v>
      </c>
      <c r="AV26" s="235"/>
      <c r="AW26" s="1423"/>
      <c r="AX26" s="1347"/>
      <c r="AY26" s="1348"/>
      <c r="AZ26" s="128"/>
      <c r="BA26" s="128"/>
      <c r="BB26" s="907"/>
      <c r="BC26" s="1426" t="s">
        <v>494</v>
      </c>
      <c r="BD26" s="1361"/>
      <c r="BE26" s="879"/>
      <c r="BF26" s="783" t="e">
        <f>BF23/((1+$AA$11)^BF6)</f>
        <v>#DIV/0!</v>
      </c>
      <c r="BG26" s="783" t="e">
        <f>BG23/((1+$AA$11)^BG6)</f>
        <v>#DIV/0!</v>
      </c>
      <c r="BH26" s="783" t="e">
        <f>BH23/((1+$AA$11)^BH6)</f>
        <v>#DIV/0!</v>
      </c>
      <c r="BI26" s="783" t="e">
        <f>BI23/((1+$AA$11)^BI6)</f>
        <v>#DIV/0!</v>
      </c>
      <c r="BJ26" s="783" t="e">
        <f>BJ23/((1+$AA$11)^BJ6)</f>
        <v>#DIV/0!</v>
      </c>
      <c r="BK26" s="783" t="e">
        <f>BK23/((1+$AA$11)^BK6)</f>
        <v>#REF!</v>
      </c>
      <c r="BL26" s="235"/>
      <c r="BM26" s="1423"/>
      <c r="BN26" s="1347"/>
      <c r="BO26" s="1348"/>
      <c r="BP26" s="128"/>
      <c r="BQ26" s="850"/>
    </row>
    <row r="27" spans="1:69" ht="14.25" customHeight="1">
      <c r="A27" s="128"/>
      <c r="B27" s="128"/>
      <c r="C27" s="128"/>
      <c r="D27" s="128"/>
      <c r="E27" s="128"/>
      <c r="F27" s="342"/>
      <c r="G27" s="851"/>
      <c r="H27" s="1420"/>
      <c r="I27" s="1361"/>
      <c r="J27" s="1421" t="s">
        <v>495</v>
      </c>
      <c r="K27" s="1361"/>
      <c r="L27" s="851"/>
      <c r="M27" s="783"/>
      <c r="N27" s="925"/>
      <c r="O27" s="925" t="e">
        <f>1-(O26/O15)</f>
        <v>#DIV/0!</v>
      </c>
      <c r="P27" s="925">
        <f>1-(P15/P26)</f>
        <v>1</v>
      </c>
      <c r="Q27" s="925" t="e">
        <f>1-(Q15/Q26)</f>
        <v>#DIV/0!</v>
      </c>
      <c r="R27" s="925" t="e">
        <f>1-(R15/R26)</f>
        <v>#DIV/0!</v>
      </c>
      <c r="S27" s="925" t="e">
        <f>1-(S15/S26)</f>
        <v>#DIV/0!</v>
      </c>
      <c r="T27" s="925" t="e">
        <f>1-(T15/T26)</f>
        <v>#DIV/0!</v>
      </c>
      <c r="U27" s="925" t="e">
        <f>1-(U15/U26)</f>
        <v>#DIV/0!</v>
      </c>
      <c r="V27" s="908"/>
      <c r="W27" s="907"/>
      <c r="X27" s="128"/>
      <c r="Y27" s="128"/>
      <c r="Z27" s="908"/>
      <c r="AA27" s="918"/>
      <c r="AB27" s="918"/>
      <c r="AC27" s="918"/>
      <c r="AD27" s="918"/>
      <c r="AE27" s="918"/>
      <c r="AF27" s="918"/>
      <c r="AG27" s="236"/>
      <c r="AH27" s="1406"/>
      <c r="AI27" s="1373"/>
      <c r="AJ27" s="1374"/>
      <c r="AK27" s="128"/>
      <c r="AL27" s="128"/>
      <c r="AM27" s="47"/>
      <c r="AN27" s="47"/>
      <c r="AO27" s="908"/>
      <c r="AP27" s="918"/>
      <c r="AQ27" s="918"/>
      <c r="AR27" s="918"/>
      <c r="AS27" s="918"/>
      <c r="AT27" s="918"/>
      <c r="AU27" s="918"/>
      <c r="AV27" s="235"/>
      <c r="AW27" s="1406"/>
      <c r="AX27" s="1373"/>
      <c r="AY27" s="1374"/>
      <c r="AZ27" s="128"/>
      <c r="BA27" s="128"/>
      <c r="BB27" s="907"/>
      <c r="BC27" s="128"/>
      <c r="BD27" s="128"/>
      <c r="BE27" s="908"/>
      <c r="BF27" s="918"/>
      <c r="BG27" s="918"/>
      <c r="BH27" s="918"/>
      <c r="BI27" s="918"/>
      <c r="BJ27" s="918"/>
      <c r="BK27" s="918"/>
      <c r="BL27" s="235"/>
      <c r="BM27" s="1406"/>
      <c r="BN27" s="1373"/>
      <c r="BO27" s="1374"/>
      <c r="BP27" s="128"/>
      <c r="BQ27" s="850"/>
    </row>
    <row r="28" spans="1:69" ht="14.25" customHeight="1">
      <c r="A28" s="128"/>
      <c r="B28" s="128"/>
      <c r="C28" s="128"/>
      <c r="D28" s="128"/>
      <c r="E28" s="128"/>
      <c r="F28" s="342"/>
      <c r="G28" s="851"/>
      <c r="H28" s="1422"/>
      <c r="I28" s="1361"/>
      <c r="J28" s="1421" t="s">
        <v>496</v>
      </c>
      <c r="K28" s="1361"/>
      <c r="L28" s="740"/>
      <c r="M28" s="783"/>
      <c r="N28" s="926"/>
      <c r="O28" s="927" t="e">
        <f>1-O27</f>
        <v>#DIV/0!</v>
      </c>
      <c r="P28" s="927">
        <f>1-P27</f>
        <v>0</v>
      </c>
      <c r="Q28" s="927" t="e">
        <f>1-Q27</f>
        <v>#DIV/0!</v>
      </c>
      <c r="R28" s="927" t="e">
        <f>1-R27</f>
        <v>#DIV/0!</v>
      </c>
      <c r="S28" s="927" t="e">
        <f>1-S27</f>
        <v>#DIV/0!</v>
      </c>
      <c r="T28" s="927" t="e">
        <f>1-T27</f>
        <v>#DIV/0!</v>
      </c>
      <c r="U28" s="927" t="e">
        <f>1-U27</f>
        <v>#DIV/0!</v>
      </c>
      <c r="V28" s="908"/>
      <c r="W28" s="907"/>
      <c r="X28" s="1426" t="s">
        <v>497</v>
      </c>
      <c r="Y28" s="1361"/>
      <c r="Z28" s="128"/>
      <c r="AA28" s="1427" t="e">
        <f>SUM(AA26:AF26)</f>
        <v>#DIV/0!</v>
      </c>
      <c r="AB28" s="1360"/>
      <c r="AC28" s="1360"/>
      <c r="AD28" s="1360"/>
      <c r="AE28" s="1360"/>
      <c r="AF28" s="1361"/>
      <c r="AG28" s="236"/>
      <c r="AH28" s="128"/>
      <c r="AI28" s="128"/>
      <c r="AJ28" s="128"/>
      <c r="AK28" s="128"/>
      <c r="AL28" s="128"/>
      <c r="AM28" s="1428" t="s">
        <v>497</v>
      </c>
      <c r="AN28" s="1361"/>
      <c r="AO28" s="128"/>
      <c r="AP28" s="1427" t="e">
        <f>IF(SUM(AP26:AU26)&gt;0,SUM(AP26:AU26),0)</f>
        <v>#DIV/0!</v>
      </c>
      <c r="AQ28" s="1360"/>
      <c r="AR28" s="1360"/>
      <c r="AS28" s="1360"/>
      <c r="AT28" s="1360"/>
      <c r="AU28" s="1361"/>
      <c r="AV28" s="235"/>
      <c r="AW28" s="128"/>
      <c r="AX28" s="128"/>
      <c r="AY28" s="128"/>
      <c r="AZ28" s="128"/>
      <c r="BA28" s="128"/>
      <c r="BB28" s="907"/>
      <c r="BC28" s="1426" t="s">
        <v>497</v>
      </c>
      <c r="BD28" s="1361"/>
      <c r="BE28" s="128"/>
      <c r="BF28" s="1427" t="e">
        <f>SUM(BF26:BK26)</f>
        <v>#DIV/0!</v>
      </c>
      <c r="BG28" s="1360"/>
      <c r="BH28" s="1360"/>
      <c r="BI28" s="1360"/>
      <c r="BJ28" s="1360"/>
      <c r="BK28" s="1361"/>
      <c r="BL28" s="235"/>
      <c r="BM28" s="128"/>
      <c r="BN28" s="128"/>
      <c r="BO28" s="128"/>
      <c r="BP28" s="128"/>
      <c r="BQ28" s="850"/>
    </row>
    <row r="29" spans="1:69" ht="14.25" customHeight="1">
      <c r="A29" s="128"/>
      <c r="B29" s="128"/>
      <c r="C29" s="128"/>
      <c r="D29" s="128"/>
      <c r="E29" s="128"/>
      <c r="F29" s="342"/>
      <c r="G29" s="851"/>
      <c r="H29" s="128"/>
      <c r="I29" s="851"/>
      <c r="J29" s="917"/>
      <c r="K29" s="917"/>
      <c r="L29" s="851"/>
      <c r="M29" s="783"/>
      <c r="N29" s="851"/>
      <c r="O29" s="928"/>
      <c r="P29" s="925"/>
      <c r="Q29" s="925"/>
      <c r="R29" s="925"/>
      <c r="S29" s="925"/>
      <c r="T29" s="925"/>
      <c r="U29" s="908"/>
      <c r="V29" s="908"/>
      <c r="W29" s="907"/>
      <c r="X29" s="128"/>
      <c r="Y29" s="128"/>
      <c r="Z29" s="128"/>
      <c r="AA29" s="584"/>
      <c r="AB29" s="584"/>
      <c r="AC29" s="584"/>
      <c r="AD29" s="584"/>
      <c r="AE29" s="584"/>
      <c r="AF29" s="918"/>
      <c r="AG29" s="236"/>
      <c r="AH29" s="128"/>
      <c r="AI29" s="128"/>
      <c r="AJ29" s="128"/>
      <c r="AK29" s="128"/>
      <c r="AL29" s="128"/>
      <c r="AM29" s="47"/>
      <c r="AN29" s="47"/>
      <c r="AO29" s="128"/>
      <c r="AP29" s="783"/>
      <c r="AQ29" s="783"/>
      <c r="AR29" s="783"/>
      <c r="AS29" s="783"/>
      <c r="AT29" s="783"/>
      <c r="AU29" s="918"/>
      <c r="AV29" s="235"/>
      <c r="AW29" s="128"/>
      <c r="AX29" s="128"/>
      <c r="AY29" s="128"/>
      <c r="AZ29" s="128"/>
      <c r="BA29" s="128"/>
      <c r="BB29" s="907"/>
      <c r="BC29" s="128"/>
      <c r="BD29" s="128"/>
      <c r="BE29" s="128"/>
      <c r="BF29" s="783"/>
      <c r="BG29" s="783"/>
      <c r="BH29" s="783"/>
      <c r="BI29" s="783"/>
      <c r="BJ29" s="783"/>
      <c r="BK29" s="918"/>
      <c r="BL29" s="235"/>
      <c r="BM29" s="128"/>
      <c r="BN29" s="128"/>
      <c r="BO29" s="128"/>
      <c r="BP29" s="128"/>
      <c r="BQ29" s="850"/>
    </row>
    <row r="30" spans="1:69" ht="14.25" customHeight="1">
      <c r="A30" s="128"/>
      <c r="B30" s="128"/>
      <c r="C30" s="128"/>
      <c r="D30" s="128"/>
      <c r="E30" s="128"/>
      <c r="F30" s="342"/>
      <c r="G30" s="851"/>
      <c r="H30" s="851"/>
      <c r="I30" s="851"/>
      <c r="J30" s="1424" t="s">
        <v>498</v>
      </c>
      <c r="K30" s="1361"/>
      <c r="L30" s="851"/>
      <c r="M30" s="851"/>
      <c r="N30" s="851"/>
      <c r="O30" s="1425" t="e">
        <f>+AVERAGE(U28,R28,Q28,ABS(T28))</f>
        <v>#DIV/0!</v>
      </c>
      <c r="P30" s="1360"/>
      <c r="Q30" s="1360"/>
      <c r="R30" s="1360"/>
      <c r="S30" s="1360"/>
      <c r="T30" s="1360"/>
      <c r="U30" s="1361"/>
      <c r="V30" s="908"/>
      <c r="W30" s="907"/>
      <c r="X30" s="1426" t="s">
        <v>499</v>
      </c>
      <c r="Y30" s="1361"/>
      <c r="Z30" s="908"/>
      <c r="AA30" s="1427" t="e">
        <v>#REF!</v>
      </c>
      <c r="AB30" s="1360"/>
      <c r="AC30" s="1360"/>
      <c r="AD30" s="1360"/>
      <c r="AE30" s="1360"/>
      <c r="AF30" s="1361"/>
      <c r="AG30" s="236"/>
      <c r="AH30" s="128"/>
      <c r="AI30" s="128"/>
      <c r="AJ30" s="128"/>
      <c r="AK30" s="128"/>
      <c r="AL30" s="128"/>
      <c r="AM30" s="1428" t="s">
        <v>500</v>
      </c>
      <c r="AN30" s="1361"/>
      <c r="AO30" s="908"/>
      <c r="AP30" s="1427">
        <f>+'1. Datos'!J119</f>
        <v>0</v>
      </c>
      <c r="AQ30" s="1360"/>
      <c r="AR30" s="1360"/>
      <c r="AS30" s="1360"/>
      <c r="AT30" s="1360"/>
      <c r="AU30" s="1361"/>
      <c r="AV30" s="235"/>
      <c r="AW30" s="128"/>
      <c r="AX30" s="128"/>
      <c r="AY30" s="128"/>
      <c r="AZ30" s="128"/>
      <c r="BA30" s="128"/>
      <c r="BB30" s="907"/>
      <c r="BC30" s="1426" t="s">
        <v>499</v>
      </c>
      <c r="BD30" s="1361"/>
      <c r="BE30" s="908"/>
      <c r="BF30" s="1427" t="e">
        <v>#REF!</v>
      </c>
      <c r="BG30" s="1360"/>
      <c r="BH30" s="1360"/>
      <c r="BI30" s="1360"/>
      <c r="BJ30" s="1360"/>
      <c r="BK30" s="1361"/>
      <c r="BL30" s="235"/>
      <c r="BM30" s="128"/>
      <c r="BN30" s="128"/>
      <c r="BO30" s="128"/>
      <c r="BP30" s="128"/>
      <c r="BQ30" s="850"/>
    </row>
    <row r="31" spans="1:69" ht="14.25" customHeight="1">
      <c r="A31" s="128"/>
      <c r="B31" s="128"/>
      <c r="C31" s="128"/>
      <c r="D31" s="128"/>
      <c r="E31" s="128"/>
      <c r="F31" s="342"/>
      <c r="G31" s="851"/>
      <c r="H31" s="851"/>
      <c r="I31" s="851"/>
      <c r="J31" s="929"/>
      <c r="K31" s="929"/>
      <c r="L31" s="851"/>
      <c r="M31" s="851"/>
      <c r="N31" s="851"/>
      <c r="O31" s="928"/>
      <c r="P31" s="925"/>
      <c r="Q31" s="925"/>
      <c r="R31" s="925"/>
      <c r="S31" s="925"/>
      <c r="T31" s="925"/>
      <c r="U31" s="908"/>
      <c r="V31" s="908"/>
      <c r="W31" s="907"/>
      <c r="X31" s="930"/>
      <c r="Y31" s="930"/>
      <c r="Z31" s="908"/>
      <c r="AA31" s="918"/>
      <c r="AB31" s="918"/>
      <c r="AC31" s="918"/>
      <c r="AD31" s="918"/>
      <c r="AE31" s="918"/>
      <c r="AF31" s="918"/>
      <c r="AG31" s="236"/>
      <c r="AH31" s="128"/>
      <c r="AI31" s="128"/>
      <c r="AJ31" s="128"/>
      <c r="AK31" s="128"/>
      <c r="AL31" s="128"/>
      <c r="AM31" s="931"/>
      <c r="AN31" s="931"/>
      <c r="AO31" s="908"/>
      <c r="AP31" s="918"/>
      <c r="AQ31" s="918"/>
      <c r="AR31" s="918"/>
      <c r="AS31" s="918"/>
      <c r="AT31" s="918"/>
      <c r="AU31" s="918"/>
      <c r="AV31" s="235"/>
      <c r="AW31" s="128"/>
      <c r="AX31" s="128"/>
      <c r="AY31" s="128"/>
      <c r="AZ31" s="128"/>
      <c r="BA31" s="128"/>
      <c r="BB31" s="907"/>
      <c r="BC31" s="908"/>
      <c r="BD31" s="908"/>
      <c r="BE31" s="908"/>
      <c r="BF31" s="918"/>
      <c r="BG31" s="918"/>
      <c r="BH31" s="918"/>
      <c r="BI31" s="918"/>
      <c r="BJ31" s="918"/>
      <c r="BK31" s="918"/>
      <c r="BL31" s="235"/>
      <c r="BM31" s="128"/>
      <c r="BN31" s="128"/>
      <c r="BO31" s="128"/>
      <c r="BP31" s="128"/>
      <c r="BQ31" s="850"/>
    </row>
    <row r="32" spans="1:69" ht="14.25" hidden="1" customHeight="1">
      <c r="A32" s="128"/>
      <c r="B32" s="128"/>
      <c r="C32" s="128"/>
      <c r="D32" s="128"/>
      <c r="E32" s="128"/>
      <c r="F32" s="342"/>
      <c r="G32" s="851"/>
      <c r="H32" s="851"/>
      <c r="I32" s="851"/>
      <c r="J32" s="1424" t="s">
        <v>501</v>
      </c>
      <c r="K32" s="1361"/>
      <c r="L32" s="851"/>
      <c r="M32" s="851"/>
      <c r="N32" s="851"/>
      <c r="O32" s="1425" t="e">
        <f>+AVERAGE(N28:R28)</f>
        <v>#DIV/0!</v>
      </c>
      <c r="P32" s="1360"/>
      <c r="Q32" s="1360"/>
      <c r="R32" s="1361"/>
      <c r="S32" s="925"/>
      <c r="T32" s="925"/>
      <c r="U32" s="851"/>
      <c r="V32" s="851"/>
      <c r="W32" s="856"/>
      <c r="X32" s="1426" t="s">
        <v>410</v>
      </c>
      <c r="Y32" s="1361"/>
      <c r="Z32" s="908"/>
      <c r="AA32" s="1427" t="e">
        <f>#REF!</f>
        <v>#REF!</v>
      </c>
      <c r="AB32" s="1360"/>
      <c r="AC32" s="1360"/>
      <c r="AD32" s="1360"/>
      <c r="AE32" s="1360"/>
      <c r="AF32" s="1361"/>
      <c r="AG32" s="236"/>
      <c r="AH32" s="1420"/>
      <c r="AI32" s="1360"/>
      <c r="AJ32" s="1361"/>
      <c r="AK32" s="128"/>
      <c r="AL32" s="128"/>
      <c r="AM32" s="1431" t="s">
        <v>1020</v>
      </c>
      <c r="AN32" s="1361"/>
      <c r="AO32" s="908"/>
      <c r="AP32" s="1427" t="e">
        <f>ROUND(#REF!+#REF!,-3)</f>
        <v>#REF!</v>
      </c>
      <c r="AQ32" s="1360"/>
      <c r="AR32" s="1360"/>
      <c r="AS32" s="1360"/>
      <c r="AT32" s="1360"/>
      <c r="AU32" s="1361"/>
      <c r="AV32" s="235"/>
      <c r="AW32" s="1420"/>
      <c r="AX32" s="1360"/>
      <c r="AY32" s="1360"/>
      <c r="AZ32" s="1361"/>
      <c r="BA32" s="128"/>
      <c r="BB32" s="856"/>
      <c r="BC32" s="1438" t="s">
        <v>502</v>
      </c>
      <c r="BD32" s="1361"/>
      <c r="BE32" s="908"/>
      <c r="BF32" s="1427" t="e">
        <f>BF28-BF30</f>
        <v>#DIV/0!</v>
      </c>
      <c r="BG32" s="1360"/>
      <c r="BH32" s="1360"/>
      <c r="BI32" s="1360"/>
      <c r="BJ32" s="1360"/>
      <c r="BK32" s="1361"/>
      <c r="BL32" s="235"/>
      <c r="BM32" s="1420"/>
      <c r="BN32" s="1360"/>
      <c r="BO32" s="1360"/>
      <c r="BP32" s="1361"/>
      <c r="BQ32" s="850"/>
    </row>
    <row r="33" spans="1:69" ht="24.75" hidden="1" customHeight="1">
      <c r="A33" s="128"/>
      <c r="B33" s="128"/>
      <c r="C33" s="128"/>
      <c r="D33" s="128"/>
      <c r="E33" s="128"/>
      <c r="F33" s="342"/>
      <c r="G33" s="851"/>
      <c r="H33" s="851"/>
      <c r="I33" s="851"/>
      <c r="J33" s="51" t="s">
        <v>503</v>
      </c>
      <c r="K33" s="128"/>
      <c r="L33" s="128"/>
      <c r="M33" s="128"/>
      <c r="N33" s="128"/>
      <c r="O33" s="128"/>
      <c r="P33" s="932"/>
      <c r="Q33" s="932"/>
      <c r="R33" s="932"/>
      <c r="S33" s="925"/>
      <c r="T33" s="925"/>
      <c r="U33" s="851"/>
      <c r="V33" s="851"/>
      <c r="W33" s="856"/>
      <c r="X33" s="930"/>
      <c r="Y33" s="930"/>
      <c r="Z33" s="908"/>
      <c r="AA33" s="918"/>
      <c r="AB33" s="918"/>
      <c r="AC33" s="918"/>
      <c r="AD33" s="918"/>
      <c r="AE33" s="918"/>
      <c r="AF33" s="918"/>
      <c r="AG33" s="236"/>
      <c r="AH33" s="128"/>
      <c r="AI33" s="128"/>
      <c r="AJ33" s="128"/>
      <c r="AK33" s="128"/>
      <c r="AL33" s="128"/>
      <c r="AM33" s="930"/>
      <c r="AN33" s="930"/>
      <c r="AO33" s="908"/>
      <c r="AP33" s="918"/>
      <c r="AQ33" s="918"/>
      <c r="AR33" s="918"/>
      <c r="AS33" s="918"/>
      <c r="AT33" s="918"/>
      <c r="AU33" s="918"/>
      <c r="AV33" s="235"/>
      <c r="AW33" s="128"/>
      <c r="AX33" s="128"/>
      <c r="AY33" s="128"/>
      <c r="AZ33" s="128"/>
      <c r="BA33" s="128"/>
      <c r="BB33" s="856"/>
      <c r="BC33" s="933"/>
      <c r="BD33" s="933"/>
      <c r="BE33" s="934"/>
      <c r="BF33" s="935"/>
      <c r="BG33" s="935"/>
      <c r="BH33" s="935"/>
      <c r="BI33" s="935"/>
      <c r="BJ33" s="935"/>
      <c r="BK33" s="935"/>
      <c r="BL33" s="235"/>
      <c r="BM33" s="128"/>
      <c r="BN33" s="128"/>
      <c r="BO33" s="128"/>
      <c r="BP33" s="128"/>
      <c r="BQ33" s="850"/>
    </row>
    <row r="34" spans="1:69" ht="18" customHeight="1">
      <c r="A34" s="128"/>
      <c r="B34" s="128"/>
      <c r="C34" s="128"/>
      <c r="D34" s="128"/>
      <c r="E34" s="128"/>
      <c r="F34" s="342"/>
      <c r="G34" s="851"/>
      <c r="H34" s="851"/>
      <c r="I34" s="851"/>
      <c r="J34" s="128"/>
      <c r="K34" s="128"/>
      <c r="L34" s="128"/>
      <c r="M34" s="128"/>
      <c r="N34" s="128"/>
      <c r="O34" s="925"/>
      <c r="P34" s="723"/>
      <c r="Q34" s="723"/>
      <c r="R34" s="723"/>
      <c r="S34" s="925"/>
      <c r="T34" s="925"/>
      <c r="U34" s="851"/>
      <c r="V34" s="851"/>
      <c r="W34" s="856"/>
      <c r="X34" s="1426"/>
      <c r="Y34" s="1361"/>
      <c r="Z34" s="908"/>
      <c r="AA34" s="1427" t="e">
        <f>AA26+AA24</f>
        <v>#DIV/0!</v>
      </c>
      <c r="AB34" s="1360"/>
      <c r="AC34" s="1360"/>
      <c r="AD34" s="1360"/>
      <c r="AE34" s="1360"/>
      <c r="AF34" s="1361"/>
      <c r="AG34" s="236"/>
      <c r="AH34" s="1420"/>
      <c r="AI34" s="1360"/>
      <c r="AJ34" s="1360"/>
      <c r="AK34" s="1361"/>
      <c r="AL34" s="342"/>
      <c r="AM34" s="1438" t="s">
        <v>504</v>
      </c>
      <c r="AN34" s="1361"/>
      <c r="AO34" s="908"/>
      <c r="AP34" s="1427" t="e">
        <f>+AP28-AP30</f>
        <v>#DIV/0!</v>
      </c>
      <c r="AQ34" s="1360"/>
      <c r="AR34" s="1360"/>
      <c r="AS34" s="1360"/>
      <c r="AT34" s="1360"/>
      <c r="AU34" s="1361"/>
      <c r="AV34" s="235"/>
      <c r="AW34" s="128"/>
      <c r="AX34" s="128"/>
      <c r="AY34" s="128"/>
      <c r="AZ34" s="128"/>
      <c r="BA34" s="128"/>
      <c r="BB34" s="856"/>
      <c r="BC34" s="936"/>
      <c r="BD34" s="936"/>
      <c r="BE34" s="937"/>
      <c r="BF34" s="938"/>
      <c r="BG34" s="938"/>
      <c r="BH34" s="938"/>
      <c r="BI34" s="938"/>
      <c r="BJ34" s="938"/>
      <c r="BK34" s="938"/>
      <c r="BL34" s="235"/>
      <c r="BM34" s="128"/>
      <c r="BN34" s="128"/>
      <c r="BO34" s="128"/>
      <c r="BP34" s="128"/>
      <c r="BQ34" s="850"/>
    </row>
    <row r="35" spans="1:69" ht="18" customHeight="1">
      <c r="A35" s="128"/>
      <c r="B35" s="128"/>
      <c r="C35" s="128"/>
      <c r="D35" s="128"/>
      <c r="E35" s="128"/>
      <c r="F35" s="342"/>
      <c r="G35" s="851"/>
      <c r="H35" s="851"/>
      <c r="I35" s="851"/>
      <c r="J35" s="1424" t="s">
        <v>495</v>
      </c>
      <c r="K35" s="1361"/>
      <c r="L35" s="851"/>
      <c r="M35" s="851"/>
      <c r="N35" s="925"/>
      <c r="O35" s="1425" t="e">
        <f>1-O30</f>
        <v>#DIV/0!</v>
      </c>
      <c r="P35" s="1360"/>
      <c r="Q35" s="1360"/>
      <c r="R35" s="1360"/>
      <c r="S35" s="1360"/>
      <c r="T35" s="1360"/>
      <c r="U35" s="1361"/>
      <c r="V35" s="851"/>
      <c r="W35" s="856"/>
      <c r="X35" s="128"/>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235"/>
      <c r="AW35" s="1420"/>
      <c r="AX35" s="1360"/>
      <c r="AY35" s="1361"/>
      <c r="AZ35" s="128"/>
      <c r="BA35" s="128"/>
      <c r="BB35" s="856"/>
      <c r="BC35" s="1426" t="s">
        <v>410</v>
      </c>
      <c r="BD35" s="1361"/>
      <c r="BE35" s="908"/>
      <c r="BF35" s="1427" t="e">
        <f>BF32</f>
        <v>#DIV/0!</v>
      </c>
      <c r="BG35" s="1360"/>
      <c r="BH35" s="1360"/>
      <c r="BI35" s="1360"/>
      <c r="BJ35" s="1360"/>
      <c r="BK35" s="1361"/>
      <c r="BL35" s="235"/>
      <c r="BM35" s="1420"/>
      <c r="BN35" s="1360"/>
      <c r="BO35" s="1361"/>
      <c r="BP35" s="128"/>
      <c r="BQ35" s="850"/>
    </row>
    <row r="36" spans="1:69" ht="27.75" customHeight="1">
      <c r="A36" s="128"/>
      <c r="B36" s="128"/>
      <c r="C36" s="128"/>
      <c r="D36" s="128"/>
      <c r="E36" s="128"/>
      <c r="F36" s="342"/>
      <c r="G36" s="851"/>
      <c r="H36" s="851"/>
      <c r="I36" s="851"/>
      <c r="J36" s="940"/>
      <c r="K36" s="128"/>
      <c r="L36" s="128"/>
      <c r="M36" s="128"/>
      <c r="N36" s="128"/>
      <c r="O36" s="128"/>
      <c r="P36" s="851"/>
      <c r="Q36" s="851"/>
      <c r="R36" s="851"/>
      <c r="S36" s="925"/>
      <c r="T36" s="925"/>
      <c r="U36" s="851"/>
      <c r="V36" s="851"/>
      <c r="W36" s="856"/>
      <c r="X36" s="1434"/>
      <c r="Y36" s="1361"/>
      <c r="Z36" s="128"/>
      <c r="AA36" s="128"/>
      <c r="AB36" s="128"/>
      <c r="AC36" s="128"/>
      <c r="AD36" s="128"/>
      <c r="AE36" s="128"/>
      <c r="AF36" s="128"/>
      <c r="AG36" s="128"/>
      <c r="AH36" s="128"/>
      <c r="AI36" s="128"/>
      <c r="AJ36" s="128"/>
      <c r="AK36" s="128"/>
      <c r="AL36" s="128"/>
      <c r="AM36" s="1434" t="s">
        <v>505</v>
      </c>
      <c r="AN36" s="1361"/>
      <c r="AO36" s="128"/>
      <c r="AP36" s="1439" t="e">
        <f>+ROUND(AP34,-3)</f>
        <v>#DIV/0!</v>
      </c>
      <c r="AQ36" s="1360"/>
      <c r="AR36" s="1360"/>
      <c r="AS36" s="1360"/>
      <c r="AT36" s="1360"/>
      <c r="AU36" s="1361"/>
      <c r="AV36" s="235"/>
      <c r="AW36" s="128"/>
      <c r="AX36" s="128"/>
      <c r="AY36" s="128"/>
      <c r="AZ36" s="128"/>
      <c r="BA36" s="128"/>
      <c r="BB36" s="856"/>
      <c r="BC36" s="930"/>
      <c r="BD36" s="930"/>
      <c r="BE36" s="908"/>
      <c r="BF36" s="918"/>
      <c r="BG36" s="918"/>
      <c r="BH36" s="918"/>
      <c r="BI36" s="918"/>
      <c r="BJ36" s="918"/>
      <c r="BK36" s="918"/>
      <c r="BL36" s="235"/>
      <c r="BM36" s="128"/>
      <c r="BN36" s="128"/>
      <c r="BO36" s="128"/>
      <c r="BP36" s="128"/>
      <c r="BQ36" s="850"/>
    </row>
    <row r="37" spans="1:69" ht="15.75" customHeight="1">
      <c r="A37" s="128"/>
      <c r="B37" s="128"/>
      <c r="C37" s="128"/>
      <c r="D37" s="128"/>
      <c r="E37" s="128"/>
      <c r="F37" s="342"/>
      <c r="G37" s="851"/>
      <c r="H37" s="851"/>
      <c r="I37" s="851"/>
      <c r="J37" s="1424" t="s">
        <v>506</v>
      </c>
      <c r="K37" s="1361"/>
      <c r="L37" s="851"/>
      <c r="M37" s="851"/>
      <c r="N37" s="925"/>
      <c r="O37" s="1425">
        <f>+'reinvestment us'!D38</f>
        <v>0.84197588607134954</v>
      </c>
      <c r="P37" s="1360"/>
      <c r="Q37" s="1360"/>
      <c r="R37" s="1360"/>
      <c r="S37" s="1360"/>
      <c r="T37" s="1360"/>
      <c r="U37" s="1361"/>
      <c r="V37" s="851"/>
      <c r="W37" s="851"/>
      <c r="X37" s="128"/>
      <c r="Y37" s="128"/>
      <c r="Z37" s="128"/>
      <c r="AA37" s="128"/>
      <c r="AB37" s="128"/>
      <c r="AC37" s="128"/>
      <c r="AD37" s="128"/>
      <c r="AE37" s="128"/>
      <c r="AF37" s="128"/>
      <c r="AG37" s="128"/>
      <c r="AH37" s="128"/>
      <c r="AI37" s="128"/>
      <c r="AJ37" s="128"/>
      <c r="AK37" s="128"/>
      <c r="AL37" s="128"/>
      <c r="AM37" s="128"/>
      <c r="AN37" s="128"/>
      <c r="AO37" s="128"/>
      <c r="AP37" s="128"/>
      <c r="AQ37" s="128"/>
      <c r="AR37" s="128"/>
      <c r="AS37" s="128"/>
      <c r="AT37" s="128"/>
      <c r="AU37" s="128"/>
      <c r="AV37" s="235"/>
      <c r="AW37" s="1420"/>
      <c r="AX37" s="1360"/>
      <c r="AY37" s="1360"/>
      <c r="AZ37" s="1361"/>
      <c r="BA37" s="342"/>
      <c r="BB37" s="856"/>
      <c r="BC37" s="1426" t="s">
        <v>406</v>
      </c>
      <c r="BD37" s="1361"/>
      <c r="BE37" s="908"/>
      <c r="BF37" s="1427" t="e">
        <f>BF32+BF30</f>
        <v>#DIV/0!</v>
      </c>
      <c r="BG37" s="1360"/>
      <c r="BH37" s="1360"/>
      <c r="BI37" s="1360"/>
      <c r="BJ37" s="1360"/>
      <c r="BK37" s="1361"/>
      <c r="BL37" s="235"/>
      <c r="BM37" s="1420"/>
      <c r="BN37" s="1360"/>
      <c r="BO37" s="1360"/>
      <c r="BP37" s="1361"/>
      <c r="BQ37" s="382"/>
    </row>
    <row r="38" spans="1:69" ht="26.25" hidden="1" customHeight="1">
      <c r="A38" s="128"/>
      <c r="B38" s="128"/>
      <c r="C38" s="128"/>
      <c r="D38" s="128"/>
      <c r="E38" s="128"/>
      <c r="F38" s="342"/>
      <c r="G38" s="851"/>
      <c r="H38" s="851"/>
      <c r="I38" s="851"/>
      <c r="J38" s="925"/>
      <c r="K38" s="925"/>
      <c r="L38" s="925"/>
      <c r="M38" s="740"/>
      <c r="N38" s="925"/>
      <c r="O38" s="925"/>
      <c r="P38" s="925"/>
      <c r="Q38" s="925"/>
      <c r="R38" s="925"/>
      <c r="S38" s="925"/>
      <c r="T38" s="925"/>
      <c r="U38" s="851"/>
      <c r="V38" s="851"/>
      <c r="W38" s="851"/>
      <c r="X38" s="1434"/>
      <c r="Y38" s="1361"/>
      <c r="Z38" s="128"/>
      <c r="AA38" s="128"/>
      <c r="AB38" s="128"/>
      <c r="AC38" s="128"/>
      <c r="AD38" s="128"/>
      <c r="AE38" s="128"/>
      <c r="AF38" s="128"/>
      <c r="AG38" s="128"/>
      <c r="AH38" s="128"/>
      <c r="AI38" s="128"/>
      <c r="AJ38" s="128"/>
      <c r="AK38" s="128"/>
      <c r="AL38" s="128"/>
      <c r="AM38" s="1434" t="s">
        <v>507</v>
      </c>
      <c r="AN38" s="1361"/>
      <c r="AO38" s="128"/>
      <c r="AP38" s="1439" t="e">
        <f>+AP36+AP30</f>
        <v>#DIV/0!</v>
      </c>
      <c r="AQ38" s="1360"/>
      <c r="AR38" s="1360"/>
      <c r="AS38" s="1360"/>
      <c r="AT38" s="1360"/>
      <c r="AU38" s="1361"/>
      <c r="AV38" s="128"/>
      <c r="AW38" s="443"/>
      <c r="AX38" s="443"/>
      <c r="AY38" s="443"/>
      <c r="AZ38" s="443"/>
      <c r="BA38" s="128"/>
      <c r="BB38" s="851"/>
      <c r="BC38" s="912"/>
      <c r="BD38" s="912"/>
      <c r="BE38" s="908"/>
      <c r="BF38" s="941"/>
      <c r="BG38" s="941"/>
      <c r="BH38" s="941"/>
      <c r="BI38" s="941"/>
      <c r="BJ38" s="941"/>
      <c r="BK38" s="941"/>
      <c r="BL38" s="235"/>
      <c r="BM38" s="443"/>
      <c r="BN38" s="443"/>
      <c r="BO38" s="443"/>
      <c r="BP38" s="443"/>
      <c r="BQ38" s="850"/>
    </row>
    <row r="39" spans="1:69" ht="15.75" hidden="1" customHeight="1">
      <c r="A39" s="128"/>
      <c r="B39" s="128"/>
      <c r="C39" s="128"/>
      <c r="D39" s="128"/>
      <c r="E39" s="128"/>
      <c r="F39" s="342"/>
      <c r="G39" s="851"/>
      <c r="H39" s="851"/>
      <c r="I39" s="851"/>
      <c r="J39" s="925"/>
      <c r="K39" s="925"/>
      <c r="L39" s="925"/>
      <c r="M39" s="851"/>
      <c r="N39" s="925"/>
      <c r="O39" s="925"/>
      <c r="P39" s="925"/>
      <c r="Q39" s="925"/>
      <c r="R39" s="925"/>
      <c r="S39" s="925"/>
      <c r="T39" s="925"/>
      <c r="U39" s="851"/>
      <c r="V39" s="851"/>
      <c r="W39" s="851"/>
      <c r="X39" s="942"/>
      <c r="Y39" s="942"/>
      <c r="Z39" s="942"/>
      <c r="AA39" s="942"/>
      <c r="AB39" s="942"/>
      <c r="AC39" s="942"/>
      <c r="AD39" s="942"/>
      <c r="AE39" s="942"/>
      <c r="AF39" s="942"/>
      <c r="AG39" s="943"/>
      <c r="AH39" s="944"/>
      <c r="AI39" s="944"/>
      <c r="AJ39" s="944"/>
      <c r="AK39" s="944"/>
      <c r="AL39" s="944"/>
      <c r="AM39" s="942"/>
      <c r="AN39" s="942"/>
      <c r="AO39" s="942"/>
      <c r="AP39" s="942"/>
      <c r="AQ39" s="942"/>
      <c r="AR39" s="942"/>
      <c r="AS39" s="942"/>
      <c r="AT39" s="942"/>
      <c r="AU39" s="942"/>
      <c r="AV39" s="235"/>
      <c r="AW39" s="443" t="s">
        <v>508</v>
      </c>
      <c r="AX39" s="443"/>
      <c r="AY39" s="443"/>
      <c r="AZ39" s="443"/>
      <c r="BA39" s="128"/>
      <c r="BB39" s="851"/>
      <c r="BC39" s="1426" t="s">
        <v>509</v>
      </c>
      <c r="BD39" s="1361"/>
      <c r="BE39" s="908"/>
      <c r="BF39" s="1436" t="e">
        <f>+AP36</f>
        <v>#DIV/0!</v>
      </c>
      <c r="BG39" s="1360"/>
      <c r="BH39" s="1360"/>
      <c r="BI39" s="1360"/>
      <c r="BJ39" s="1360"/>
      <c r="BK39" s="1361"/>
      <c r="BL39" s="235"/>
      <c r="BM39" s="443"/>
      <c r="BN39" s="443"/>
      <c r="BO39" s="443"/>
      <c r="BP39" s="443"/>
      <c r="BQ39" s="850"/>
    </row>
    <row r="40" spans="1:69" ht="14.25" hidden="1" customHeight="1">
      <c r="A40" s="128"/>
      <c r="B40" s="128"/>
      <c r="C40" s="128"/>
      <c r="D40" s="128"/>
      <c r="E40" s="128"/>
      <c r="F40" s="342"/>
      <c r="G40" s="851"/>
      <c r="H40" s="851"/>
      <c r="I40" s="851"/>
      <c r="J40" s="1424"/>
      <c r="K40" s="1361"/>
      <c r="L40" s="851"/>
      <c r="M40" s="851"/>
      <c r="N40" s="851"/>
      <c r="O40" s="1425"/>
      <c r="P40" s="1360"/>
      <c r="Q40" s="1360"/>
      <c r="R40" s="1361"/>
      <c r="S40" s="851"/>
      <c r="T40" s="851"/>
      <c r="U40" s="851"/>
      <c r="V40" s="851"/>
      <c r="W40" s="851"/>
      <c r="X40" s="1426" t="s">
        <v>406</v>
      </c>
      <c r="Y40" s="1361"/>
      <c r="Z40" s="908"/>
      <c r="AA40" s="1427" t="e">
        <f>#REF!+AA30</f>
        <v>#REF!</v>
      </c>
      <c r="AB40" s="1360"/>
      <c r="AC40" s="1360"/>
      <c r="AD40" s="1360"/>
      <c r="AE40" s="1360"/>
      <c r="AF40" s="1361"/>
      <c r="AG40" s="236"/>
      <c r="AH40" s="1420"/>
      <c r="AI40" s="1360"/>
      <c r="AJ40" s="1360"/>
      <c r="AK40" s="1361"/>
      <c r="AL40" s="342"/>
      <c r="AM40" s="1428" t="s">
        <v>510</v>
      </c>
      <c r="AN40" s="1361"/>
      <c r="AO40" s="908"/>
      <c r="AP40" s="1427" t="e">
        <f>+AP32+AP34</f>
        <v>#REF!</v>
      </c>
      <c r="AQ40" s="1360"/>
      <c r="AR40" s="1360"/>
      <c r="AS40" s="1360"/>
      <c r="AT40" s="1360"/>
      <c r="AU40" s="1361"/>
      <c r="AV40" s="235"/>
      <c r="AW40" s="443"/>
      <c r="AX40" s="443"/>
      <c r="AY40" s="443"/>
      <c r="AZ40" s="443"/>
      <c r="BA40" s="128"/>
      <c r="BB40" s="851"/>
      <c r="BC40" s="912"/>
      <c r="BD40" s="912"/>
      <c r="BE40" s="908"/>
      <c r="BF40" s="941"/>
      <c r="BG40" s="941"/>
      <c r="BH40" s="941"/>
      <c r="BI40" s="941"/>
      <c r="BJ40" s="941"/>
      <c r="BK40" s="941"/>
      <c r="BL40" s="235"/>
      <c r="BM40" s="443"/>
      <c r="BN40" s="443"/>
      <c r="BO40" s="443"/>
      <c r="BP40" s="443"/>
      <c r="BQ40" s="850"/>
    </row>
    <row r="41" spans="1:69" ht="14.25" hidden="1" customHeight="1">
      <c r="A41" s="128"/>
      <c r="B41" s="128"/>
      <c r="C41" s="128"/>
      <c r="D41" s="128"/>
      <c r="E41" s="128"/>
      <c r="F41" s="342"/>
      <c r="G41" s="851"/>
      <c r="H41" s="851"/>
      <c r="I41" s="851"/>
      <c r="J41" s="719"/>
      <c r="K41" s="851"/>
      <c r="L41" s="851"/>
      <c r="M41" s="851"/>
      <c r="N41" s="851"/>
      <c r="O41" s="851"/>
      <c r="P41" s="851"/>
      <c r="Q41" s="851"/>
      <c r="R41" s="851"/>
      <c r="S41" s="851"/>
      <c r="T41" s="851"/>
      <c r="U41" s="851"/>
      <c r="V41" s="851"/>
      <c r="W41" s="945"/>
      <c r="X41" s="946"/>
      <c r="Y41" s="946"/>
      <c r="Z41" s="946"/>
      <c r="AA41" s="946"/>
      <c r="AB41" s="128"/>
      <c r="AC41" s="946" t="e">
        <v>#REF!</v>
      </c>
      <c r="AD41" s="946"/>
      <c r="AE41" s="946"/>
      <c r="AF41" s="946"/>
      <c r="AG41" s="128"/>
      <c r="AH41" s="128"/>
      <c r="AI41" s="128"/>
      <c r="AJ41" s="128"/>
      <c r="AK41" s="128"/>
      <c r="AL41" s="128"/>
      <c r="AM41" s="128"/>
      <c r="AN41" s="128"/>
      <c r="AO41" s="128"/>
      <c r="AP41" s="128"/>
      <c r="AQ41" s="128"/>
      <c r="AR41" s="128"/>
      <c r="AS41" s="128"/>
      <c r="AT41" s="128"/>
      <c r="AU41" s="128"/>
      <c r="AV41" s="235"/>
      <c r="AW41" s="443"/>
      <c r="AX41" s="443"/>
      <c r="AY41" s="443"/>
      <c r="AZ41" s="443"/>
      <c r="BA41" s="128"/>
      <c r="BB41" s="851"/>
      <c r="BC41" s="1426" t="s">
        <v>511</v>
      </c>
      <c r="BD41" s="1361"/>
      <c r="BE41" s="908"/>
      <c r="BF41" s="1437" t="e">
        <f>BF35/BF39</f>
        <v>#DIV/0!</v>
      </c>
      <c r="BG41" s="1360"/>
      <c r="BH41" s="1360"/>
      <c r="BI41" s="1360"/>
      <c r="BJ41" s="1360"/>
      <c r="BK41" s="1361"/>
      <c r="BL41" s="235"/>
      <c r="BM41" s="443"/>
      <c r="BN41" s="443"/>
      <c r="BO41" s="443"/>
      <c r="BP41" s="443"/>
      <c r="BQ41" s="850"/>
    </row>
    <row r="42" spans="1:69" ht="19.5" hidden="1" customHeight="1">
      <c r="A42" s="128"/>
      <c r="B42" s="128"/>
      <c r="C42" s="128"/>
      <c r="D42" s="128"/>
      <c r="E42" s="128"/>
      <c r="F42" s="947"/>
      <c r="G42" s="942"/>
      <c r="H42" s="942"/>
      <c r="I42" s="942"/>
      <c r="J42" s="869"/>
      <c r="K42" s="942"/>
      <c r="L42" s="945"/>
      <c r="M42" s="945"/>
      <c r="N42" s="945"/>
      <c r="O42" s="945"/>
      <c r="P42" s="945"/>
      <c r="Q42" s="945"/>
      <c r="R42" s="945"/>
      <c r="S42" s="945"/>
      <c r="T42" s="945"/>
      <c r="U42" s="945"/>
      <c r="V42" s="945"/>
      <c r="W42" s="128"/>
      <c r="X42" s="128"/>
      <c r="Y42" s="128"/>
      <c r="Z42" s="128"/>
      <c r="AA42" s="128"/>
      <c r="AB42" s="128"/>
      <c r="AC42" s="128"/>
      <c r="AD42" s="128"/>
      <c r="AE42" s="128"/>
      <c r="AF42" s="128"/>
      <c r="AG42" s="128"/>
      <c r="AH42" s="128"/>
      <c r="AI42" s="128"/>
      <c r="AJ42" s="128"/>
      <c r="AK42" s="128"/>
      <c r="AL42" s="128"/>
      <c r="AM42" s="128"/>
      <c r="AN42" s="128"/>
      <c r="AO42" s="128"/>
      <c r="AP42" s="128"/>
      <c r="AQ42" s="128"/>
      <c r="AR42" s="128"/>
      <c r="AS42" s="128"/>
      <c r="AT42" s="128"/>
      <c r="AU42" s="128"/>
      <c r="AV42" s="943"/>
      <c r="AW42" s="944"/>
      <c r="AX42" s="944"/>
      <c r="AY42" s="944"/>
      <c r="AZ42" s="944"/>
      <c r="BA42" s="944"/>
      <c r="BB42" s="945"/>
      <c r="BC42" s="942"/>
      <c r="BD42" s="942"/>
      <c r="BE42" s="942"/>
      <c r="BF42" s="942"/>
      <c r="BG42" s="942"/>
      <c r="BH42" s="942"/>
      <c r="BI42" s="942"/>
      <c r="BJ42" s="942"/>
      <c r="BK42" s="942"/>
      <c r="BL42" s="943"/>
      <c r="BM42" s="944"/>
      <c r="BN42" s="944"/>
      <c r="BO42" s="944"/>
      <c r="BP42" s="944"/>
      <c r="BQ42" s="858"/>
    </row>
    <row r="43" spans="1:69" ht="19.5" hidden="1" customHeight="1">
      <c r="A43" s="128"/>
      <c r="B43" s="128"/>
      <c r="C43" s="128"/>
      <c r="D43" s="128"/>
      <c r="E43" s="128"/>
      <c r="F43" s="128"/>
      <c r="G43" s="128"/>
      <c r="H43" s="128"/>
      <c r="I43" s="128"/>
      <c r="J43" s="128"/>
      <c r="K43" s="128"/>
      <c r="L43" s="128"/>
      <c r="M43" s="128"/>
      <c r="N43" s="128"/>
      <c r="O43" s="128"/>
      <c r="P43" s="128"/>
      <c r="Q43" s="128"/>
      <c r="R43" s="128"/>
      <c r="S43" s="128"/>
      <c r="T43" s="128"/>
      <c r="U43" s="128"/>
      <c r="V43" s="128"/>
      <c r="W43" s="128"/>
      <c r="X43" s="128"/>
      <c r="Y43" s="128"/>
      <c r="Z43" s="128"/>
      <c r="AA43" s="128"/>
      <c r="AB43" s="128"/>
      <c r="AC43" s="128"/>
      <c r="AD43" s="128"/>
      <c r="AE43" s="128"/>
      <c r="AF43" s="128"/>
      <c r="AG43" s="128"/>
      <c r="AH43" s="128"/>
      <c r="AI43" s="128"/>
      <c r="AJ43" s="128"/>
      <c r="AK43" s="128"/>
      <c r="AL43" s="128"/>
      <c r="AM43" s="128"/>
      <c r="AN43" s="128"/>
      <c r="AO43" s="128"/>
      <c r="AP43" s="128"/>
      <c r="AQ43" s="128"/>
      <c r="AR43" s="128"/>
      <c r="AS43" s="128"/>
      <c r="AT43" s="128"/>
      <c r="AU43" s="128"/>
      <c r="AV43" s="128"/>
      <c r="AW43" s="128"/>
      <c r="AX43" s="128"/>
      <c r="AY43" s="128"/>
      <c r="AZ43" s="128"/>
      <c r="BA43" s="128"/>
      <c r="BB43" s="128"/>
      <c r="BC43" s="128"/>
      <c r="BD43" s="128"/>
      <c r="BE43" s="128"/>
      <c r="BF43" s="128"/>
      <c r="BG43" s="128"/>
      <c r="BH43" s="128"/>
      <c r="BI43" s="128"/>
      <c r="BJ43" s="128"/>
      <c r="BK43" s="128"/>
      <c r="BL43" s="128"/>
      <c r="BM43" s="128"/>
      <c r="BN43" s="128"/>
      <c r="BO43" s="128"/>
      <c r="BP43" s="128"/>
      <c r="BQ43" s="128"/>
    </row>
    <row r="44" spans="1:69" ht="19.5" hidden="1" customHeight="1">
      <c r="A44" s="128"/>
      <c r="B44" s="128"/>
      <c r="C44" s="128"/>
      <c r="D44" s="128"/>
      <c r="E44" s="128"/>
      <c r="F44" s="128"/>
      <c r="G44" s="128"/>
      <c r="H44" s="128"/>
      <c r="I44" s="128"/>
      <c r="J44" s="128"/>
      <c r="K44" s="128"/>
      <c r="L44" s="128"/>
      <c r="M44" s="128"/>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row>
    <row r="45" spans="1:69" ht="19.5" hidden="1" customHeight="1">
      <c r="A45" s="128"/>
      <c r="B45" s="128"/>
      <c r="C45" s="128"/>
      <c r="D45" s="128"/>
      <c r="E45" s="128"/>
      <c r="F45" s="128"/>
      <c r="G45" s="128"/>
      <c r="H45" s="128"/>
      <c r="I45" s="630"/>
      <c r="J45" s="630"/>
      <c r="K45" s="630"/>
      <c r="L45" s="128"/>
      <c r="M45" s="128"/>
      <c r="N45" s="128"/>
      <c r="O45" s="128"/>
      <c r="P45" s="128"/>
      <c r="Q45" s="128"/>
      <c r="R45" s="128"/>
      <c r="S45" s="128"/>
      <c r="T45" s="128"/>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28"/>
      <c r="AX45" s="128"/>
      <c r="AY45" s="128"/>
      <c r="AZ45" s="128"/>
      <c r="BA45" s="128"/>
      <c r="BB45" s="128"/>
      <c r="BC45" s="128"/>
      <c r="BD45" s="128"/>
      <c r="BE45" s="128"/>
      <c r="BF45" s="128"/>
      <c r="BG45" s="128"/>
      <c r="BH45" s="128"/>
      <c r="BI45" s="128"/>
      <c r="BJ45" s="128"/>
      <c r="BK45" s="128"/>
      <c r="BL45" s="128"/>
      <c r="BM45" s="128"/>
      <c r="BN45" s="128"/>
      <c r="BO45" s="128"/>
      <c r="BP45" s="128"/>
      <c r="BQ45" s="128"/>
    </row>
    <row r="46" spans="1:69" ht="19.5" customHeight="1">
      <c r="A46" s="128"/>
      <c r="B46" s="128"/>
      <c r="C46" s="128"/>
      <c r="D46" s="128"/>
      <c r="E46" s="128"/>
      <c r="F46" s="128"/>
      <c r="G46" s="128"/>
      <c r="H46" s="128"/>
      <c r="I46" s="630"/>
      <c r="J46" s="630"/>
      <c r="K46" s="630"/>
      <c r="L46" s="128"/>
      <c r="M46" s="128"/>
      <c r="N46" s="128"/>
      <c r="O46" s="128"/>
      <c r="P46" s="128"/>
      <c r="Q46" s="128"/>
      <c r="R46" s="128"/>
      <c r="S46" s="128"/>
      <c r="T46" s="128"/>
      <c r="U46" s="128"/>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8"/>
      <c r="AR46" s="680" t="e">
        <f>+AP28*30%</f>
        <v>#DIV/0!</v>
      </c>
      <c r="AS46" s="128"/>
      <c r="AT46" s="128"/>
      <c r="AU46" s="128"/>
      <c r="AV46" s="128"/>
      <c r="AW46" s="128"/>
      <c r="AX46" s="128"/>
      <c r="AY46" s="128"/>
      <c r="AZ46" s="128"/>
      <c r="BA46" s="128"/>
      <c r="BB46" s="128"/>
      <c r="BC46" s="128"/>
      <c r="BD46" s="128"/>
      <c r="BE46" s="128"/>
      <c r="BF46" s="128"/>
      <c r="BG46" s="128"/>
      <c r="BH46" s="128"/>
      <c r="BI46" s="128"/>
      <c r="BJ46" s="128"/>
      <c r="BK46" s="128"/>
      <c r="BL46" s="128"/>
      <c r="BM46" s="128"/>
      <c r="BN46" s="128"/>
      <c r="BO46" s="128"/>
      <c r="BP46" s="128"/>
      <c r="BQ46" s="128"/>
    </row>
    <row r="47" spans="1:69" ht="14.25" customHeight="1">
      <c r="A47" s="128"/>
      <c r="B47" s="128"/>
      <c r="C47" s="128"/>
      <c r="D47" s="128"/>
      <c r="E47" s="128"/>
      <c r="F47" s="128"/>
      <c r="G47" s="128"/>
      <c r="H47" s="128"/>
      <c r="I47" s="128"/>
      <c r="J47" s="128"/>
      <c r="K47" s="128"/>
      <c r="L47" s="128"/>
      <c r="M47" s="128"/>
      <c r="N47" s="128"/>
      <c r="O47" s="128"/>
      <c r="P47" s="128"/>
      <c r="Q47" s="128"/>
      <c r="R47" s="128"/>
      <c r="S47" s="128"/>
      <c r="T47" s="128"/>
      <c r="U47" s="128"/>
      <c r="V47" s="128"/>
      <c r="W47" s="128"/>
      <c r="X47" s="128"/>
      <c r="Y47" s="128"/>
      <c r="Z47" s="128"/>
      <c r="AA47" s="128"/>
      <c r="AB47" s="128"/>
      <c r="AC47" s="128"/>
      <c r="AD47" s="128"/>
      <c r="AE47" s="128"/>
      <c r="AF47" s="128"/>
      <c r="AG47" s="128"/>
      <c r="AH47" s="128"/>
      <c r="AI47" s="128"/>
      <c r="AJ47" s="128"/>
      <c r="AK47" s="128"/>
      <c r="AL47" s="128"/>
      <c r="AM47" s="128"/>
      <c r="AN47" s="128"/>
      <c r="AO47" s="128"/>
      <c r="AP47" s="128"/>
      <c r="AQ47" s="128"/>
      <c r="AR47" s="128"/>
      <c r="AS47" s="783"/>
      <c r="AT47" s="948"/>
      <c r="AU47" s="949"/>
      <c r="AV47" s="128"/>
      <c r="AW47" s="128"/>
      <c r="AX47" s="128"/>
      <c r="AY47" s="128"/>
      <c r="AZ47" s="128"/>
      <c r="BA47" s="128"/>
      <c r="BB47" s="128"/>
      <c r="BC47" s="128"/>
      <c r="BD47" s="128"/>
      <c r="BE47" s="128"/>
      <c r="BF47" s="128"/>
      <c r="BG47" s="128"/>
      <c r="BH47" s="128"/>
      <c r="BI47" s="128"/>
      <c r="BJ47" s="128"/>
      <c r="BK47" s="128"/>
      <c r="BL47" s="128"/>
      <c r="BM47" s="128"/>
      <c r="BN47" s="128"/>
      <c r="BO47" s="128"/>
      <c r="BP47" s="128"/>
      <c r="BQ47" s="128"/>
    </row>
    <row r="48" spans="1:69" ht="14.25" customHeight="1">
      <c r="A48" s="128"/>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c r="AL48" s="128"/>
      <c r="AM48" s="128"/>
      <c r="AN48" s="128"/>
      <c r="AO48" s="128"/>
      <c r="AP48" s="152" t="s">
        <v>512</v>
      </c>
      <c r="AQ48" s="950" t="e">
        <f>AP36</f>
        <v>#DIV/0!</v>
      </c>
      <c r="AR48" s="128"/>
      <c r="AS48" s="128"/>
      <c r="AT48" s="128"/>
      <c r="AU48" s="128"/>
      <c r="AV48" s="128"/>
      <c r="AW48" s="128"/>
      <c r="AX48" s="128"/>
      <c r="AY48" s="128"/>
      <c r="AZ48" s="128"/>
      <c r="BA48" s="128"/>
      <c r="BB48" s="128"/>
      <c r="BC48" s="128"/>
      <c r="BD48" s="128"/>
      <c r="BE48" s="128"/>
      <c r="BF48" s="128"/>
      <c r="BG48" s="128"/>
      <c r="BH48" s="128"/>
      <c r="BI48" s="128"/>
      <c r="BJ48" s="128"/>
      <c r="BK48" s="128"/>
      <c r="BL48" s="128"/>
      <c r="BM48" s="128"/>
      <c r="BN48" s="128"/>
      <c r="BO48" s="128"/>
      <c r="BP48" s="128"/>
      <c r="BQ48" s="128"/>
    </row>
    <row r="49" spans="1:69" ht="14.25" customHeight="1">
      <c r="A49" s="128"/>
      <c r="B49" s="128"/>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28"/>
      <c r="AA49" s="128"/>
      <c r="AB49" s="128"/>
      <c r="AC49" s="128"/>
      <c r="AD49" s="128"/>
      <c r="AE49" s="128"/>
      <c r="AF49" s="128"/>
      <c r="AG49" s="128"/>
      <c r="AH49" s="128"/>
      <c r="AI49" s="128"/>
      <c r="AJ49" s="128"/>
      <c r="AK49" s="128"/>
      <c r="AL49" s="128"/>
      <c r="AM49" s="128"/>
      <c r="AN49" s="128"/>
      <c r="AO49" s="128"/>
      <c r="AP49" s="152" t="s">
        <v>513</v>
      </c>
      <c r="AQ49" s="951"/>
      <c r="AR49" s="128"/>
      <c r="AS49" s="128"/>
      <c r="AT49" s="128"/>
      <c r="AU49" s="128"/>
      <c r="AV49" s="128"/>
      <c r="AW49" s="128"/>
      <c r="AX49" s="128"/>
      <c r="AY49" s="128"/>
      <c r="AZ49" s="128"/>
      <c r="BA49" s="128"/>
      <c r="BB49" s="128"/>
      <c r="BC49" s="128"/>
      <c r="BD49" s="128"/>
      <c r="BE49" s="128"/>
      <c r="BF49" s="128"/>
      <c r="BG49" s="128"/>
      <c r="BH49" s="128"/>
      <c r="BI49" s="128"/>
      <c r="BJ49" s="128"/>
      <c r="BK49" s="128"/>
      <c r="BL49" s="128"/>
      <c r="BM49" s="128"/>
      <c r="BN49" s="128"/>
      <c r="BO49" s="128"/>
      <c r="BP49" s="128"/>
      <c r="BQ49" s="128"/>
    </row>
    <row r="50" spans="1:69" ht="14.25" customHeight="1">
      <c r="A50" s="128"/>
      <c r="B50" s="128"/>
      <c r="C50" s="128"/>
      <c r="D50" s="128"/>
      <c r="E50" s="128"/>
      <c r="F50" s="128"/>
      <c r="G50" s="128"/>
      <c r="H50" s="128"/>
      <c r="I50" s="128"/>
      <c r="J50" s="128"/>
      <c r="K50" s="128"/>
      <c r="L50" s="128"/>
      <c r="M50" s="128"/>
      <c r="N50" s="128"/>
      <c r="O50" s="128"/>
      <c r="P50" s="128"/>
      <c r="Q50" s="128"/>
      <c r="R50" s="128"/>
      <c r="S50" s="128"/>
      <c r="T50" s="128"/>
      <c r="U50" s="128"/>
      <c r="V50" s="128"/>
      <c r="W50" s="128"/>
      <c r="X50" s="128"/>
      <c r="Y50" s="128"/>
      <c r="Z50" s="128"/>
      <c r="AA50" s="128"/>
      <c r="AB50" s="128"/>
      <c r="AC50" s="128"/>
      <c r="AD50" s="128"/>
      <c r="AE50" s="128"/>
      <c r="AF50" s="128"/>
      <c r="AG50" s="128"/>
      <c r="AH50" s="128"/>
      <c r="AI50" s="128"/>
      <c r="AJ50" s="128"/>
      <c r="AK50" s="128"/>
      <c r="AL50" s="128"/>
      <c r="AM50" s="128"/>
      <c r="AN50" s="128"/>
      <c r="AO50" s="128"/>
      <c r="AP50" s="128"/>
      <c r="AQ50" s="128"/>
      <c r="AR50" s="128"/>
      <c r="AS50" s="128"/>
      <c r="AT50" s="128"/>
      <c r="AU50" s="128"/>
      <c r="AV50" s="128"/>
      <c r="AW50" s="128"/>
      <c r="AX50" s="128"/>
      <c r="AY50" s="128"/>
      <c r="AZ50" s="128"/>
      <c r="BA50" s="128"/>
      <c r="BB50" s="128"/>
      <c r="BC50" s="128"/>
      <c r="BD50" s="128"/>
      <c r="BE50" s="128"/>
      <c r="BF50" s="128"/>
      <c r="BG50" s="128"/>
      <c r="BH50" s="128"/>
      <c r="BI50" s="128"/>
      <c r="BJ50" s="128"/>
      <c r="BK50" s="128"/>
      <c r="BL50" s="128"/>
      <c r="BM50" s="128"/>
      <c r="BN50" s="128"/>
      <c r="BO50" s="128"/>
      <c r="BP50" s="128"/>
      <c r="BQ50" s="128"/>
    </row>
    <row r="51" spans="1:69" ht="14.25" customHeight="1">
      <c r="A51" s="128"/>
      <c r="B51" s="128"/>
      <c r="C51" s="128"/>
      <c r="D51" s="128"/>
      <c r="E51" s="128"/>
      <c r="F51" s="128"/>
      <c r="G51" s="128"/>
      <c r="H51" s="128"/>
      <c r="I51" s="128"/>
      <c r="J51" s="128"/>
      <c r="K51" s="128"/>
      <c r="L51" s="128"/>
      <c r="M51" s="128"/>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952" t="s">
        <v>514</v>
      </c>
      <c r="AO51" s="128"/>
      <c r="AP51" s="152" t="s">
        <v>515</v>
      </c>
      <c r="AQ51" s="953"/>
      <c r="AR51" s="152"/>
      <c r="AS51" s="152"/>
      <c r="AT51" s="152"/>
      <c r="AU51" s="152"/>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row>
    <row r="52" spans="1:69" ht="14.25" customHeight="1">
      <c r="A52" s="128"/>
      <c r="B52" s="128"/>
      <c r="C52" s="128"/>
      <c r="D52" s="128"/>
      <c r="E52" s="128"/>
      <c r="F52" s="128"/>
      <c r="G52" s="128"/>
      <c r="H52" s="128"/>
      <c r="I52" s="128"/>
      <c r="J52" s="128"/>
      <c r="K52" s="128"/>
      <c r="L52" s="128"/>
      <c r="M52" s="128"/>
      <c r="N52" s="128"/>
      <c r="O52" s="128"/>
      <c r="P52" s="128"/>
      <c r="Q52" s="128"/>
      <c r="R52" s="128"/>
      <c r="S52" s="128"/>
      <c r="T52" s="128"/>
      <c r="U52" s="128"/>
      <c r="V52" s="128"/>
      <c r="W52" s="128"/>
      <c r="X52" s="128"/>
      <c r="Y52" s="128"/>
      <c r="Z52" s="128"/>
      <c r="AA52" s="128"/>
      <c r="AB52" s="128"/>
      <c r="AC52" s="128"/>
      <c r="AD52" s="128"/>
      <c r="AE52" s="128"/>
      <c r="AF52" s="128"/>
      <c r="AG52" s="128"/>
      <c r="AH52" s="128"/>
      <c r="AI52" s="128"/>
      <c r="AJ52" s="128"/>
      <c r="AK52" s="128"/>
      <c r="AL52" s="128"/>
      <c r="AM52" s="128"/>
      <c r="AN52" s="952">
        <f>+AS48*'EV SALES'!E46</f>
        <v>0</v>
      </c>
      <c r="AO52" s="128"/>
      <c r="AP52" s="128"/>
      <c r="AQ52" s="128"/>
      <c r="AR52" s="954"/>
      <c r="AS52" s="955" t="s">
        <v>516</v>
      </c>
      <c r="AT52" s="955" t="s">
        <v>66</v>
      </c>
      <c r="AU52" s="955" t="s">
        <v>517</v>
      </c>
      <c r="AV52" s="128"/>
      <c r="AW52" s="128"/>
      <c r="AX52" s="128"/>
      <c r="AY52" s="128"/>
      <c r="AZ52" s="128"/>
      <c r="BA52" s="128"/>
      <c r="BB52" s="128"/>
      <c r="BC52" s="128"/>
      <c r="BD52" s="128"/>
      <c r="BE52" s="128"/>
      <c r="BF52" s="128"/>
      <c r="BG52" s="128"/>
      <c r="BH52" s="128"/>
      <c r="BI52" s="128"/>
      <c r="BJ52" s="128"/>
      <c r="BK52" s="128"/>
      <c r="BL52" s="128"/>
      <c r="BM52" s="128"/>
      <c r="BN52" s="128"/>
      <c r="BO52" s="128"/>
      <c r="BP52" s="128"/>
      <c r="BQ52" s="128"/>
    </row>
    <row r="53" spans="1:69" ht="14.25" customHeight="1">
      <c r="A53" s="128"/>
      <c r="B53" s="128"/>
      <c r="C53" s="128"/>
      <c r="D53" s="128"/>
      <c r="E53" s="128"/>
      <c r="F53" s="128"/>
      <c r="G53" s="128"/>
      <c r="H53" s="128"/>
      <c r="I53" s="128"/>
      <c r="J53" s="128"/>
      <c r="K53" s="128"/>
      <c r="L53" s="128"/>
      <c r="M53" s="128"/>
      <c r="N53" s="128"/>
      <c r="O53" s="128"/>
      <c r="P53" s="128"/>
      <c r="Q53" s="128"/>
      <c r="R53" s="128"/>
      <c r="S53" s="128"/>
      <c r="T53" s="128"/>
      <c r="U53" s="128"/>
      <c r="V53" s="128"/>
      <c r="W53" s="128"/>
      <c r="X53" s="128"/>
      <c r="Y53" s="128"/>
      <c r="Z53" s="128"/>
      <c r="AA53" s="128"/>
      <c r="AB53" s="128"/>
      <c r="AC53" s="128"/>
      <c r="AD53" s="128"/>
      <c r="AE53" s="128"/>
      <c r="AF53" s="128"/>
      <c r="AG53" s="128"/>
      <c r="AH53" s="128"/>
      <c r="AI53" s="128"/>
      <c r="AJ53" s="128"/>
      <c r="AK53" s="128"/>
      <c r="AL53" s="128"/>
      <c r="AM53" s="128"/>
      <c r="AN53" s="128"/>
      <c r="AO53" s="128"/>
      <c r="AP53" s="1440" t="s">
        <v>518</v>
      </c>
      <c r="AQ53" s="1340"/>
      <c r="AR53" s="956">
        <v>0.8</v>
      </c>
      <c r="AS53" s="956" t="e">
        <f>AP18</f>
        <v>#DIV/0!</v>
      </c>
      <c r="AT53" s="956">
        <f>'Expected Growth25'!E38</f>
        <v>9.2700000000000005E-2</v>
      </c>
      <c r="AU53" s="956">
        <v>1</v>
      </c>
      <c r="AV53" s="128"/>
      <c r="AW53" s="128"/>
      <c r="AX53" s="128"/>
      <c r="AY53" s="128"/>
      <c r="AZ53" s="128"/>
      <c r="BA53" s="128"/>
      <c r="BB53" s="128"/>
      <c r="BC53" s="128"/>
      <c r="BD53" s="128"/>
      <c r="BE53" s="128"/>
      <c r="BF53" s="128"/>
      <c r="BG53" s="128"/>
      <c r="BH53" s="128"/>
      <c r="BI53" s="128"/>
      <c r="BJ53" s="128"/>
      <c r="BK53" s="128"/>
      <c r="BL53" s="128"/>
      <c r="BM53" s="128"/>
      <c r="BN53" s="128"/>
      <c r="BO53" s="128"/>
      <c r="BP53" s="128"/>
      <c r="BQ53" s="128"/>
    </row>
    <row r="54" spans="1:69" ht="14.25" customHeight="1">
      <c r="A54" s="128"/>
      <c r="B54" s="128"/>
      <c r="C54" s="128"/>
      <c r="D54" s="128"/>
      <c r="E54" s="128"/>
      <c r="F54" s="128"/>
      <c r="G54" s="128"/>
      <c r="H54" s="128"/>
      <c r="I54" s="128"/>
      <c r="J54" s="128"/>
      <c r="K54" s="128"/>
      <c r="L54" s="128"/>
      <c r="M54" s="128"/>
      <c r="N54" s="128"/>
      <c r="O54" s="128"/>
      <c r="P54" s="128"/>
      <c r="Q54" s="128"/>
      <c r="R54" s="128"/>
      <c r="S54" s="128"/>
      <c r="T54" s="128"/>
      <c r="U54" s="128"/>
      <c r="V54" s="128"/>
      <c r="W54" s="128"/>
      <c r="X54" s="128"/>
      <c r="Y54" s="128"/>
      <c r="Z54" s="128"/>
      <c r="AA54" s="128"/>
      <c r="AB54" s="128"/>
      <c r="AC54" s="128"/>
      <c r="AD54" s="128"/>
      <c r="AE54" s="128"/>
      <c r="AF54" s="128"/>
      <c r="AG54" s="128"/>
      <c r="AH54" s="128"/>
      <c r="AI54" s="128"/>
      <c r="AJ54" s="128"/>
      <c r="AK54" s="128"/>
      <c r="AL54" s="128"/>
      <c r="AM54" s="128"/>
      <c r="AN54" s="128"/>
      <c r="AO54" s="128"/>
      <c r="AP54" s="1441" t="s">
        <v>519</v>
      </c>
      <c r="AQ54" s="1442"/>
      <c r="AR54" s="956">
        <v>0.2</v>
      </c>
      <c r="AS54" s="1" t="s">
        <v>537</v>
      </c>
      <c r="AT54" s="953">
        <f>'operating margin'!E39</f>
        <v>6.0445902978457006E-2</v>
      </c>
      <c r="AU54" s="956">
        <v>1</v>
      </c>
      <c r="AV54" s="128"/>
      <c r="AW54" s="128"/>
      <c r="AX54" s="128"/>
      <c r="AY54" s="128"/>
      <c r="AZ54" s="128"/>
      <c r="BA54" s="128"/>
      <c r="BB54" s="128"/>
      <c r="BC54" s="128"/>
      <c r="BD54" s="128"/>
      <c r="BE54" s="128"/>
      <c r="BF54" s="128"/>
      <c r="BG54" s="128"/>
      <c r="BH54" s="128"/>
      <c r="BI54" s="128"/>
      <c r="BJ54" s="128"/>
      <c r="BK54" s="128"/>
      <c r="BL54" s="128"/>
      <c r="BM54" s="128"/>
      <c r="BN54" s="128"/>
      <c r="BO54" s="128"/>
      <c r="BP54" s="128"/>
      <c r="BQ54" s="128"/>
    </row>
    <row r="55" spans="1:69" ht="14.25" customHeight="1">
      <c r="A55" s="128"/>
      <c r="B55" s="128"/>
      <c r="C55" s="128"/>
      <c r="D55" s="128"/>
      <c r="E55" s="128"/>
      <c r="F55" s="128"/>
      <c r="G55" s="128"/>
      <c r="H55" s="128"/>
      <c r="I55" s="128"/>
      <c r="J55" s="128"/>
      <c r="K55" s="128"/>
      <c r="L55" s="128"/>
      <c r="M55" s="128"/>
      <c r="N55" s="128"/>
      <c r="O55" s="128"/>
      <c r="P55" s="128"/>
      <c r="Q55" s="128"/>
      <c r="R55" s="128"/>
      <c r="S55" s="128"/>
      <c r="T55" s="128"/>
      <c r="U55" s="128"/>
      <c r="V55" s="128"/>
      <c r="W55" s="128"/>
      <c r="X55" s="128"/>
      <c r="Y55" s="128"/>
      <c r="Z55" s="128"/>
      <c r="AA55" s="128"/>
      <c r="AB55" s="128"/>
      <c r="AC55" s="128"/>
      <c r="AD55" s="128"/>
      <c r="AE55" s="128"/>
      <c r="AF55" s="128"/>
      <c r="AG55" s="128"/>
      <c r="AH55" s="128"/>
      <c r="AI55" s="128"/>
      <c r="AJ55" s="128"/>
      <c r="AK55" s="128"/>
      <c r="AL55" s="128"/>
      <c r="AM55" s="128"/>
      <c r="AN55" s="128"/>
      <c r="AO55" s="128"/>
      <c r="AP55" s="1"/>
      <c r="AQ55" s="1"/>
      <c r="AR55" s="63"/>
      <c r="AS55" s="63"/>
      <c r="AT55" s="63" t="s">
        <v>520</v>
      </c>
      <c r="AU55" s="953">
        <v>0.8</v>
      </c>
      <c r="AV55" s="128"/>
      <c r="AW55" s="128"/>
      <c r="AX55" s="128"/>
      <c r="AY55" s="128"/>
      <c r="AZ55" s="128"/>
      <c r="BA55" s="128"/>
      <c r="BB55" s="128"/>
      <c r="BC55" s="128"/>
      <c r="BD55" s="128"/>
      <c r="BE55" s="128"/>
      <c r="BF55" s="128"/>
      <c r="BG55" s="128"/>
      <c r="BH55" s="128"/>
      <c r="BI55" s="128"/>
      <c r="BJ55" s="128"/>
      <c r="BK55" s="128"/>
      <c r="BL55" s="128"/>
      <c r="BM55" s="128"/>
      <c r="BN55" s="128"/>
      <c r="BO55" s="128"/>
      <c r="BP55" s="128"/>
      <c r="BQ55" s="128"/>
    </row>
    <row r="56" spans="1:69" ht="14.25" customHeight="1">
      <c r="A56" s="128"/>
      <c r="B56" s="128"/>
      <c r="C56" s="128"/>
      <c r="D56" s="128"/>
      <c r="E56" s="128"/>
      <c r="F56" s="128"/>
      <c r="G56" s="128"/>
      <c r="H56" s="128"/>
      <c r="I56" s="128"/>
      <c r="J56" s="128"/>
      <c r="K56" s="128"/>
      <c r="L56" s="128"/>
      <c r="M56" s="128"/>
      <c r="N56" s="128"/>
      <c r="O56" s="128"/>
      <c r="P56" s="128"/>
      <c r="Q56" s="128"/>
      <c r="R56" s="128"/>
      <c r="S56" s="128"/>
      <c r="T56" s="128"/>
      <c r="U56" s="128"/>
      <c r="V56" s="128"/>
      <c r="W56" s="128"/>
      <c r="X56" s="128"/>
      <c r="Y56" s="128"/>
      <c r="Z56" s="128"/>
      <c r="AA56" s="128"/>
      <c r="AB56" s="128"/>
      <c r="AC56" s="128"/>
      <c r="AD56" s="128"/>
      <c r="AE56" s="128"/>
      <c r="AF56" s="128"/>
      <c r="AG56" s="128"/>
      <c r="AH56" s="128"/>
      <c r="AI56" s="128"/>
      <c r="AJ56" s="128"/>
      <c r="AK56" s="128"/>
      <c r="AL56" s="128"/>
      <c r="AM56" s="128"/>
      <c r="AN56" s="128"/>
      <c r="AO56" s="128"/>
      <c r="AP56" s="1"/>
      <c r="AQ56" s="1"/>
      <c r="AR56" s="1"/>
      <c r="AS56" s="1"/>
      <c r="AT56" s="1"/>
      <c r="AU56" s="1"/>
      <c r="AV56" s="128"/>
      <c r="AW56" s="128"/>
      <c r="AX56" s="128"/>
      <c r="AY56" s="128"/>
      <c r="AZ56" s="128"/>
      <c r="BA56" s="128"/>
      <c r="BB56" s="128"/>
      <c r="BC56" s="128"/>
      <c r="BD56" s="128"/>
      <c r="BE56" s="128"/>
      <c r="BF56" s="128"/>
      <c r="BG56" s="128"/>
      <c r="BH56" s="128"/>
      <c r="BI56" s="128"/>
      <c r="BJ56" s="128"/>
      <c r="BK56" s="128"/>
      <c r="BL56" s="128"/>
      <c r="BM56" s="128"/>
      <c r="BN56" s="128"/>
      <c r="BO56" s="128"/>
      <c r="BP56" s="128"/>
      <c r="BQ56" s="128"/>
    </row>
    <row r="57" spans="1:69" ht="14.25" customHeight="1">
      <c r="A57" s="128"/>
      <c r="B57" s="128"/>
      <c r="C57" s="128"/>
      <c r="D57" s="128"/>
      <c r="E57" s="128"/>
      <c r="F57" s="128"/>
      <c r="G57" s="128"/>
      <c r="H57" s="128"/>
      <c r="I57" s="128"/>
      <c r="J57" s="128"/>
      <c r="K57" s="128"/>
      <c r="L57" s="128"/>
      <c r="M57" s="128"/>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
      <c r="AQ57" s="1"/>
      <c r="AR57" s="1"/>
      <c r="AS57" s="1"/>
      <c r="AT57" s="1"/>
      <c r="AU57" s="1"/>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row>
    <row r="58" spans="1:69" ht="14.25" customHeight="1">
      <c r="A58" s="128"/>
      <c r="B58" s="128"/>
      <c r="C58" s="128"/>
      <c r="D58" s="128"/>
      <c r="E58" s="128"/>
      <c r="F58" s="128"/>
      <c r="G58" s="128"/>
      <c r="H58" s="128"/>
      <c r="I58" s="128"/>
      <c r="J58" s="128"/>
      <c r="K58" s="128"/>
      <c r="L58" s="128"/>
      <c r="M58" s="128"/>
      <c r="N58" s="128"/>
      <c r="O58" s="128"/>
      <c r="P58" s="128"/>
      <c r="Q58" s="128"/>
      <c r="R58" s="128"/>
      <c r="S58" s="128"/>
      <c r="T58" s="128"/>
      <c r="U58" s="128"/>
      <c r="V58" s="128"/>
      <c r="W58" s="128"/>
      <c r="X58" s="128"/>
      <c r="Y58" s="128"/>
      <c r="Z58" s="128"/>
      <c r="AA58" s="128"/>
      <c r="AB58" s="128"/>
      <c r="AC58" s="128"/>
      <c r="AD58" s="128"/>
      <c r="AE58" s="128"/>
      <c r="AF58" s="128"/>
      <c r="AG58" s="128"/>
      <c r="AH58" s="128"/>
      <c r="AI58" s="128"/>
      <c r="AJ58" s="128"/>
      <c r="AK58" s="128"/>
      <c r="AL58" s="128"/>
      <c r="AM58" s="128"/>
      <c r="AN58" s="128"/>
      <c r="AO58" s="128"/>
      <c r="AP58" s="958"/>
      <c r="AQ58" s="959" t="s">
        <v>521</v>
      </c>
      <c r="AR58" s="959" t="s">
        <v>522</v>
      </c>
      <c r="AS58" s="959" t="s">
        <v>538</v>
      </c>
      <c r="AT58" s="1"/>
      <c r="AU58" s="1"/>
      <c r="AV58" s="128"/>
      <c r="AW58" s="128"/>
      <c r="AX58" s="128"/>
      <c r="AY58" s="128"/>
      <c r="AZ58" s="128"/>
      <c r="BA58" s="128"/>
      <c r="BB58" s="128"/>
      <c r="BC58" s="128"/>
      <c r="BD58" s="128"/>
      <c r="BE58" s="128"/>
      <c r="BF58" s="128"/>
      <c r="BG58" s="128"/>
      <c r="BH58" s="128"/>
      <c r="BI58" s="128"/>
      <c r="BJ58" s="128"/>
      <c r="BK58" s="128"/>
      <c r="BL58" s="128"/>
      <c r="BM58" s="128"/>
      <c r="BN58" s="128"/>
      <c r="BO58" s="128"/>
      <c r="BP58" s="128"/>
      <c r="BQ58" s="128"/>
    </row>
    <row r="59" spans="1:69" ht="14.25" customHeight="1">
      <c r="A59" s="128"/>
      <c r="B59" s="128"/>
      <c r="C59" s="128"/>
      <c r="D59" s="128"/>
      <c r="E59" s="128"/>
      <c r="F59" s="128"/>
      <c r="G59" s="128"/>
      <c r="H59" s="128"/>
      <c r="I59" s="128"/>
      <c r="J59" s="128"/>
      <c r="K59" s="128"/>
      <c r="L59" s="128"/>
      <c r="M59" s="128"/>
      <c r="N59" s="128"/>
      <c r="O59" s="128"/>
      <c r="P59" s="128"/>
      <c r="Q59" s="128"/>
      <c r="R59" s="128"/>
      <c r="S59" s="128"/>
      <c r="T59" s="128"/>
      <c r="U59" s="128"/>
      <c r="V59" s="128"/>
      <c r="W59" s="128"/>
      <c r="X59" s="128"/>
      <c r="Y59" s="128"/>
      <c r="Z59" s="128"/>
      <c r="AA59" s="128"/>
      <c r="AB59" s="128"/>
      <c r="AC59" s="128"/>
      <c r="AD59" s="128"/>
      <c r="AE59" s="128"/>
      <c r="AF59" s="128"/>
      <c r="AG59" s="128"/>
      <c r="AH59" s="128"/>
      <c r="AI59" s="128"/>
      <c r="AJ59" s="128"/>
      <c r="AK59" s="128"/>
      <c r="AL59" s="128"/>
      <c r="AM59" s="128"/>
      <c r="AN59" s="128"/>
      <c r="AO59" s="128"/>
      <c r="AP59" s="608" t="s">
        <v>524</v>
      </c>
      <c r="AQ59" s="960" t="e">
        <f>AP36/U11</f>
        <v>#DIV/0!</v>
      </c>
      <c r="AR59" s="961">
        <f>'Industry Averages (3)'!E39</f>
        <v>13.87488635539866</v>
      </c>
      <c r="AS59" s="982">
        <f>AR59</f>
        <v>13.87488635539866</v>
      </c>
      <c r="AT59" s="323">
        <f>AR59*AP15</f>
        <v>0</v>
      </c>
      <c r="AU59" s="1"/>
      <c r="AV59" s="128"/>
      <c r="AW59" s="128"/>
      <c r="AX59" s="128"/>
      <c r="AY59" s="128"/>
      <c r="AZ59" s="128"/>
      <c r="BA59" s="128"/>
      <c r="BB59" s="128"/>
      <c r="BC59" s="128"/>
      <c r="BD59" s="128"/>
      <c r="BE59" s="128"/>
      <c r="BF59" s="128"/>
      <c r="BG59" s="128"/>
      <c r="BH59" s="128"/>
      <c r="BI59" s="128"/>
      <c r="BJ59" s="128"/>
      <c r="BK59" s="128"/>
      <c r="BL59" s="128"/>
      <c r="BM59" s="128"/>
      <c r="BN59" s="128"/>
      <c r="BO59" s="128"/>
      <c r="BP59" s="128"/>
      <c r="BQ59" s="128"/>
    </row>
    <row r="60" spans="1:69" ht="14.25" customHeight="1">
      <c r="A60" s="128"/>
      <c r="B60" s="128"/>
      <c r="C60" s="128"/>
      <c r="D60" s="128"/>
      <c r="E60" s="128"/>
      <c r="F60" s="128"/>
      <c r="G60" s="128"/>
      <c r="H60" s="128"/>
      <c r="I60" s="128"/>
      <c r="J60" s="128"/>
      <c r="K60" s="128"/>
      <c r="L60" s="128"/>
      <c r="M60" s="128"/>
      <c r="N60" s="128"/>
      <c r="O60" s="128"/>
      <c r="P60" s="128"/>
      <c r="Q60" s="128"/>
      <c r="R60" s="128"/>
      <c r="S60" s="128"/>
      <c r="T60" s="128"/>
      <c r="U60" s="128"/>
      <c r="V60" s="128"/>
      <c r="W60" s="128"/>
      <c r="X60" s="128"/>
      <c r="Y60" s="128"/>
      <c r="Z60" s="128"/>
      <c r="AA60" s="128"/>
      <c r="AB60" s="128"/>
      <c r="AC60" s="128"/>
      <c r="AD60" s="128"/>
      <c r="AE60" s="128"/>
      <c r="AF60" s="128"/>
      <c r="AG60" s="128"/>
      <c r="AH60" s="128"/>
      <c r="AI60" s="128"/>
      <c r="AJ60" s="128"/>
      <c r="AK60" s="128"/>
      <c r="AL60" s="128"/>
      <c r="AM60" s="128"/>
      <c r="AN60" s="128"/>
      <c r="AO60" s="128"/>
      <c r="AP60" s="608" t="s">
        <v>525</v>
      </c>
      <c r="AQ60" s="323" t="e">
        <f>AP36/'1. Datos'!I6</f>
        <v>#DIV/0!</v>
      </c>
      <c r="AR60" s="965">
        <f>'Multiplos damodaran'!E42</f>
        <v>1.41</v>
      </c>
      <c r="AS60" s="982">
        <f>AR60</f>
        <v>1.41</v>
      </c>
      <c r="AT60" s="983">
        <f>'1. Datos'!J6*AR60</f>
        <v>0</v>
      </c>
      <c r="AU60" s="1">
        <f>(AT60+AT59)/2</f>
        <v>0</v>
      </c>
      <c r="AV60" s="128"/>
      <c r="AW60" s="128"/>
      <c r="AX60" s="128"/>
      <c r="AY60" s="128"/>
      <c r="AZ60" s="128"/>
      <c r="BA60" s="128"/>
      <c r="BB60" s="128"/>
      <c r="BC60" s="128"/>
      <c r="BD60" s="128"/>
      <c r="BE60" s="128"/>
      <c r="BF60" s="128"/>
      <c r="BG60" s="128"/>
      <c r="BH60" s="128"/>
      <c r="BI60" s="128"/>
      <c r="BJ60" s="128"/>
      <c r="BK60" s="128"/>
      <c r="BL60" s="128"/>
      <c r="BM60" s="128"/>
      <c r="BN60" s="128"/>
      <c r="BO60" s="128"/>
      <c r="BP60" s="128"/>
      <c r="BQ60" s="128"/>
    </row>
    <row r="61" spans="1:69" ht="14.25" customHeight="1">
      <c r="A61" s="128"/>
      <c r="B61" s="128"/>
      <c r="C61" s="128"/>
      <c r="D61" s="128"/>
      <c r="E61" s="128"/>
      <c r="F61" s="128"/>
      <c r="G61" s="128"/>
      <c r="H61" s="128"/>
      <c r="I61" s="128"/>
      <c r="J61" s="128"/>
      <c r="K61" s="128"/>
      <c r="L61" s="128"/>
      <c r="M61" s="128"/>
      <c r="N61" s="128"/>
      <c r="O61" s="128"/>
      <c r="P61" s="128"/>
      <c r="Q61" s="128"/>
      <c r="R61" s="128"/>
      <c r="S61" s="128"/>
      <c r="T61" s="128"/>
      <c r="U61" s="128"/>
      <c r="V61" s="128"/>
      <c r="W61" s="128"/>
      <c r="X61" s="128"/>
      <c r="Y61" s="128"/>
      <c r="Z61" s="128"/>
      <c r="AA61" s="128"/>
      <c r="AB61" s="128"/>
      <c r="AC61" s="128"/>
      <c r="AD61" s="128"/>
      <c r="AE61" s="128"/>
      <c r="AF61" s="128"/>
      <c r="AG61" s="128"/>
      <c r="AH61" s="128"/>
      <c r="AI61" s="128"/>
      <c r="AJ61" s="128"/>
      <c r="AK61" s="128"/>
      <c r="AL61" s="128"/>
      <c r="AM61" s="128"/>
      <c r="AN61" s="128"/>
      <c r="AO61" s="128"/>
      <c r="AP61" s="1"/>
      <c r="AQ61" s="1"/>
      <c r="AR61" s="1"/>
      <c r="AS61" s="1"/>
      <c r="AT61" s="1"/>
      <c r="AU61" s="1"/>
      <c r="AV61" s="128"/>
      <c r="AW61" s="128"/>
      <c r="AX61" s="128"/>
      <c r="AY61" s="128"/>
      <c r="AZ61" s="128"/>
      <c r="BA61" s="128"/>
      <c r="BB61" s="128"/>
      <c r="BC61" s="128"/>
      <c r="BD61" s="128"/>
      <c r="BE61" s="128"/>
      <c r="BF61" s="128"/>
      <c r="BG61" s="128"/>
      <c r="BH61" s="128"/>
      <c r="BI61" s="128"/>
      <c r="BJ61" s="128"/>
      <c r="BK61" s="128"/>
      <c r="BL61" s="128"/>
      <c r="BM61" s="128"/>
      <c r="BN61" s="128"/>
      <c r="BO61" s="128"/>
      <c r="BP61" s="128"/>
      <c r="BQ61" s="128"/>
    </row>
    <row r="62" spans="1:69" ht="14.25" customHeight="1">
      <c r="A62" s="128"/>
      <c r="B62" s="128"/>
      <c r="C62" s="128"/>
      <c r="D62" s="128"/>
      <c r="E62" s="128"/>
      <c r="F62" s="128"/>
      <c r="G62" s="128"/>
      <c r="H62" s="128"/>
      <c r="I62" s="128"/>
      <c r="J62" s="128"/>
      <c r="K62" s="128"/>
      <c r="L62" s="128"/>
      <c r="M62" s="128"/>
      <c r="N62" s="128"/>
      <c r="O62" s="128"/>
      <c r="P62" s="128"/>
      <c r="Q62" s="128"/>
      <c r="R62" s="128"/>
      <c r="S62" s="128"/>
      <c r="T62" s="128"/>
      <c r="U62" s="128"/>
      <c r="V62" s="128"/>
      <c r="W62" s="128"/>
      <c r="X62" s="128"/>
      <c r="Y62" s="128"/>
      <c r="Z62" s="128"/>
      <c r="AA62" s="128"/>
      <c r="AB62" s="128"/>
      <c r="AC62" s="128"/>
      <c r="AD62" s="128"/>
      <c r="AE62" s="128"/>
      <c r="AF62" s="128"/>
      <c r="AG62" s="128"/>
      <c r="AH62" s="128"/>
      <c r="AI62" s="128"/>
      <c r="AJ62" s="128"/>
      <c r="AK62" s="128"/>
      <c r="AL62" s="128"/>
      <c r="AM62" s="128"/>
      <c r="AN62" s="128"/>
      <c r="AO62" s="128"/>
      <c r="AP62" s="1"/>
      <c r="AQ62" s="1"/>
      <c r="AR62" s="958" t="s">
        <v>539</v>
      </c>
      <c r="AS62" s="958"/>
      <c r="AT62" s="1"/>
      <c r="AU62" s="1"/>
      <c r="AV62" s="128"/>
      <c r="AW62" s="128"/>
      <c r="AX62" s="128"/>
      <c r="AY62" s="128"/>
      <c r="AZ62" s="128"/>
      <c r="BA62" s="128"/>
      <c r="BB62" s="128"/>
      <c r="BC62" s="128"/>
      <c r="BD62" s="128"/>
      <c r="BE62" s="128"/>
      <c r="BF62" s="128"/>
      <c r="BG62" s="128"/>
      <c r="BH62" s="128"/>
      <c r="BI62" s="128"/>
      <c r="BJ62" s="128"/>
      <c r="BK62" s="128"/>
      <c r="BL62" s="128"/>
      <c r="BM62" s="128"/>
      <c r="BN62" s="128"/>
      <c r="BO62" s="128"/>
      <c r="BP62" s="128"/>
      <c r="BQ62" s="128"/>
    </row>
    <row r="63" spans="1:69" ht="14.25" customHeight="1">
      <c r="A63" s="128"/>
      <c r="B63" s="128"/>
      <c r="C63" s="128"/>
      <c r="D63" s="128"/>
      <c r="E63" s="128"/>
      <c r="F63" s="128"/>
      <c r="G63" s="128"/>
      <c r="H63" s="128"/>
      <c r="I63" s="128"/>
      <c r="J63" s="128"/>
      <c r="K63" s="128"/>
      <c r="L63" s="128"/>
      <c r="M63" s="128"/>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
      <c r="AQ63" s="966"/>
      <c r="AR63" s="967" t="s">
        <v>212</v>
      </c>
      <c r="AS63" s="968" t="e">
        <f>AP36</f>
        <v>#DIV/0!</v>
      </c>
      <c r="AT63" s="323"/>
      <c r="AU63" s="1"/>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row>
    <row r="64" spans="1:69" ht="14.25" customHeight="1">
      <c r="A64" s="128"/>
      <c r="B64" s="128"/>
      <c r="C64" s="128"/>
      <c r="D64" s="128"/>
      <c r="E64" s="128"/>
      <c r="F64" s="128"/>
      <c r="G64" s="128"/>
      <c r="H64" s="128"/>
      <c r="I64" s="128"/>
      <c r="J64" s="128"/>
      <c r="K64" s="128"/>
      <c r="L64" s="128"/>
      <c r="M64" s="128"/>
      <c r="N64" s="128"/>
      <c r="O64" s="128"/>
      <c r="P64" s="128"/>
      <c r="Q64" s="128"/>
      <c r="R64" s="128"/>
      <c r="S64" s="128"/>
      <c r="T64" s="128"/>
      <c r="U64" s="128"/>
      <c r="V64" s="128"/>
      <c r="W64" s="128"/>
      <c r="X64" s="128"/>
      <c r="Y64" s="128"/>
      <c r="Z64" s="128"/>
      <c r="AA64" s="128"/>
      <c r="AB64" s="128"/>
      <c r="AC64" s="128"/>
      <c r="AD64" s="128"/>
      <c r="AE64" s="128"/>
      <c r="AF64" s="128"/>
      <c r="AG64" s="128"/>
      <c r="AH64" s="128"/>
      <c r="AI64" s="128"/>
      <c r="AJ64" s="128"/>
      <c r="AK64" s="128"/>
      <c r="AL64" s="128"/>
      <c r="AM64" s="128"/>
      <c r="AN64" s="128"/>
      <c r="AO64" s="128"/>
      <c r="AP64" s="1"/>
      <c r="AQ64" s="966"/>
      <c r="AR64" s="967" t="s">
        <v>213</v>
      </c>
      <c r="AS64" s="968">
        <f>+AT59</f>
        <v>0</v>
      </c>
      <c r="AT64" s="323"/>
      <c r="AU64" s="1"/>
      <c r="AV64" s="128"/>
      <c r="AW64" s="128"/>
      <c r="AX64" s="128"/>
      <c r="AY64" s="128"/>
      <c r="AZ64" s="128"/>
      <c r="BA64" s="128"/>
      <c r="BB64" s="128"/>
      <c r="BC64" s="128"/>
      <c r="BD64" s="128"/>
      <c r="BE64" s="128"/>
      <c r="BF64" s="128"/>
      <c r="BG64" s="128"/>
      <c r="BH64" s="128"/>
      <c r="BI64" s="128"/>
      <c r="BJ64" s="128"/>
      <c r="BK64" s="128"/>
      <c r="BL64" s="128"/>
      <c r="BM64" s="128"/>
      <c r="BN64" s="128"/>
      <c r="BO64" s="128"/>
      <c r="BP64" s="128"/>
      <c r="BQ64" s="128"/>
    </row>
    <row r="65" spans="1:69" ht="14.25" customHeight="1">
      <c r="A65" s="128"/>
      <c r="B65" s="128"/>
      <c r="C65" s="128"/>
      <c r="D65" s="128"/>
      <c r="E65" s="128"/>
      <c r="F65" s="128"/>
      <c r="G65" s="128"/>
      <c r="H65" s="128"/>
      <c r="I65" s="128"/>
      <c r="J65" s="128"/>
      <c r="K65" s="128"/>
      <c r="L65" s="128"/>
      <c r="M65" s="128"/>
      <c r="N65" s="128"/>
      <c r="O65" s="128"/>
      <c r="P65" s="128"/>
      <c r="Q65" s="128"/>
      <c r="R65" s="128"/>
      <c r="S65" s="128"/>
      <c r="T65" s="128"/>
      <c r="U65" s="128"/>
      <c r="V65" s="128"/>
      <c r="W65" s="128"/>
      <c r="X65" s="128"/>
      <c r="Y65" s="128"/>
      <c r="Z65" s="128"/>
      <c r="AA65" s="128"/>
      <c r="AB65" s="128"/>
      <c r="AC65" s="128"/>
      <c r="AD65" s="128"/>
      <c r="AE65" s="128"/>
      <c r="AF65" s="128"/>
      <c r="AG65" s="128"/>
      <c r="AH65" s="128"/>
      <c r="AI65" s="128"/>
      <c r="AJ65" s="128"/>
      <c r="AK65" s="128"/>
      <c r="AL65" s="128"/>
      <c r="AM65" s="128"/>
      <c r="AN65" s="128"/>
      <c r="AO65" s="128"/>
      <c r="AP65" s="128"/>
      <c r="AQ65" s="128"/>
      <c r="AR65" s="128"/>
      <c r="AS65" s="128"/>
      <c r="AT65" s="949"/>
      <c r="AU65" s="128"/>
      <c r="AV65" s="128"/>
      <c r="AW65" s="128"/>
      <c r="AX65" s="128"/>
      <c r="AY65" s="128"/>
      <c r="AZ65" s="128"/>
      <c r="BA65" s="128"/>
      <c r="BB65" s="128"/>
      <c r="BC65" s="128"/>
      <c r="BD65" s="128"/>
      <c r="BE65" s="128"/>
      <c r="BF65" s="128"/>
      <c r="BG65" s="128"/>
      <c r="BH65" s="128"/>
      <c r="BI65" s="128"/>
      <c r="BJ65" s="128"/>
      <c r="BK65" s="128"/>
      <c r="BL65" s="128"/>
      <c r="BM65" s="128"/>
      <c r="BN65" s="128"/>
      <c r="BO65" s="128"/>
      <c r="BP65" s="128"/>
      <c r="BQ65" s="128"/>
    </row>
    <row r="66" spans="1:69" ht="14.25" customHeight="1">
      <c r="A66" s="128"/>
      <c r="B66" s="128"/>
      <c r="C66" s="128"/>
      <c r="D66" s="128"/>
      <c r="E66" s="128"/>
      <c r="F66" s="128"/>
      <c r="G66" s="128"/>
      <c r="H66" s="128"/>
      <c r="I66" s="128"/>
      <c r="J66" s="128"/>
      <c r="K66" s="128"/>
      <c r="L66" s="128"/>
      <c r="M66" s="128"/>
      <c r="N66" s="128"/>
      <c r="O66" s="128"/>
      <c r="P66" s="128"/>
      <c r="Q66" s="128"/>
      <c r="R66" s="128"/>
      <c r="S66" s="128"/>
      <c r="T66" s="128"/>
      <c r="U66" s="128"/>
      <c r="V66" s="128"/>
      <c r="W66" s="128"/>
      <c r="X66" s="128"/>
      <c r="Y66" s="128"/>
      <c r="Z66" s="128"/>
      <c r="AA66" s="128"/>
      <c r="AB66" s="128"/>
      <c r="AC66" s="128"/>
      <c r="AD66" s="128"/>
      <c r="AE66" s="128"/>
      <c r="AF66" s="128"/>
      <c r="AG66" s="128"/>
      <c r="AH66" s="128"/>
      <c r="AI66" s="128"/>
      <c r="AJ66" s="128"/>
      <c r="AK66" s="128"/>
      <c r="AL66" s="128"/>
      <c r="AM66" s="128"/>
      <c r="AN66" s="128"/>
      <c r="AO66" s="128"/>
      <c r="AP66" s="128"/>
      <c r="AQ66" s="128"/>
      <c r="AR66" s="128"/>
      <c r="AS66" s="949"/>
      <c r="AT66" s="128"/>
      <c r="AU66" s="128"/>
      <c r="AV66" s="128"/>
      <c r="AW66" s="128"/>
      <c r="AX66" s="128"/>
      <c r="AY66" s="128"/>
      <c r="AZ66" s="128"/>
      <c r="BA66" s="128"/>
      <c r="BB66" s="128"/>
      <c r="BC66" s="128"/>
      <c r="BD66" s="128"/>
      <c r="BE66" s="128"/>
      <c r="BF66" s="128"/>
      <c r="BG66" s="128"/>
      <c r="BH66" s="128"/>
      <c r="BI66" s="128"/>
      <c r="BJ66" s="128"/>
      <c r="BK66" s="128"/>
      <c r="BL66" s="128"/>
      <c r="BM66" s="128"/>
      <c r="BN66" s="128"/>
      <c r="BO66" s="128"/>
      <c r="BP66" s="128"/>
      <c r="BQ66" s="128"/>
    </row>
    <row r="67" spans="1:69" ht="14.25" customHeight="1">
      <c r="A67" s="128"/>
      <c r="B67" s="128"/>
      <c r="C67" s="128"/>
      <c r="D67" s="128"/>
      <c r="E67" s="128"/>
      <c r="F67" s="128"/>
      <c r="G67" s="128"/>
      <c r="H67" s="128"/>
      <c r="I67" s="128"/>
      <c r="J67" s="128"/>
      <c r="K67" s="128"/>
      <c r="L67" s="128"/>
      <c r="M67" s="128"/>
      <c r="N67" s="128"/>
      <c r="O67" s="128"/>
      <c r="P67" s="128"/>
      <c r="Q67" s="128"/>
      <c r="R67" s="128"/>
      <c r="S67" s="128"/>
      <c r="T67" s="128"/>
      <c r="U67" s="128"/>
      <c r="V67" s="128"/>
      <c r="W67" s="128"/>
      <c r="X67" s="128"/>
      <c r="Y67" s="128"/>
      <c r="Z67" s="128"/>
      <c r="AA67" s="128"/>
      <c r="AB67" s="128"/>
      <c r="AC67" s="128"/>
      <c r="AD67" s="128"/>
      <c r="AE67" s="128"/>
      <c r="AF67" s="128"/>
      <c r="AG67" s="128"/>
      <c r="AH67" s="128"/>
      <c r="AI67" s="128"/>
      <c r="AJ67" s="128"/>
      <c r="AK67" s="128"/>
      <c r="AL67" s="128"/>
      <c r="AM67" s="128"/>
      <c r="AN67" s="128"/>
      <c r="AO67" s="128"/>
      <c r="AP67" s="128"/>
      <c r="AQ67" s="128"/>
      <c r="AR67" s="984"/>
      <c r="AS67" s="128"/>
      <c r="AT67" s="128"/>
      <c r="AU67" s="128"/>
      <c r="AV67" s="128"/>
      <c r="AW67" s="128"/>
      <c r="AX67" s="128"/>
      <c r="AY67" s="128"/>
      <c r="AZ67" s="128"/>
      <c r="BA67" s="128"/>
      <c r="BB67" s="128"/>
      <c r="BC67" s="128"/>
      <c r="BD67" s="128"/>
      <c r="BE67" s="128"/>
      <c r="BF67" s="128"/>
      <c r="BG67" s="128"/>
      <c r="BH67" s="128"/>
      <c r="BI67" s="128"/>
      <c r="BJ67" s="128"/>
      <c r="BK67" s="128"/>
      <c r="BL67" s="128"/>
      <c r="BM67" s="128"/>
      <c r="BN67" s="128"/>
      <c r="BO67" s="128"/>
      <c r="BP67" s="128"/>
      <c r="BQ67" s="128"/>
    </row>
    <row r="68" spans="1:69" ht="14.25" customHeight="1">
      <c r="A68" s="128"/>
      <c r="B68" s="128"/>
      <c r="C68" s="128"/>
      <c r="D68" s="128"/>
      <c r="E68" s="128"/>
      <c r="F68" s="128"/>
      <c r="G68" s="128"/>
      <c r="H68" s="128"/>
      <c r="I68" s="128"/>
      <c r="J68" s="128"/>
      <c r="K68" s="128"/>
      <c r="L68" s="128"/>
      <c r="M68" s="128"/>
      <c r="N68" s="128"/>
      <c r="O68" s="128"/>
      <c r="P68" s="128"/>
      <c r="Q68" s="128"/>
      <c r="R68" s="128"/>
      <c r="S68" s="128"/>
      <c r="T68" s="128"/>
      <c r="U68" s="128"/>
      <c r="V68" s="128"/>
      <c r="W68" s="128"/>
      <c r="X68" s="128"/>
      <c r="Y68" s="128"/>
      <c r="Z68" s="128"/>
      <c r="AA68" s="128"/>
      <c r="AB68" s="128"/>
      <c r="AC68" s="128"/>
      <c r="AD68" s="128"/>
      <c r="AE68" s="128"/>
      <c r="AF68" s="128"/>
      <c r="AG68" s="128"/>
      <c r="AH68" s="128"/>
      <c r="AI68" s="128"/>
      <c r="AJ68" s="128"/>
      <c r="AK68" s="128"/>
      <c r="AL68" s="128"/>
      <c r="AM68" s="128"/>
      <c r="AN68" s="128"/>
      <c r="AO68" s="128"/>
      <c r="AP68" s="128"/>
      <c r="AQ68" s="128"/>
      <c r="AR68" s="128"/>
      <c r="AS68" s="128"/>
      <c r="AT68" s="128"/>
      <c r="AU68" s="128"/>
      <c r="AV68" s="128"/>
      <c r="AW68" s="128"/>
      <c r="AX68" s="128"/>
      <c r="AY68" s="128"/>
      <c r="AZ68" s="128"/>
      <c r="BA68" s="128"/>
      <c r="BB68" s="128"/>
      <c r="BC68" s="128"/>
      <c r="BD68" s="128"/>
      <c r="BE68" s="128"/>
      <c r="BF68" s="128"/>
      <c r="BG68" s="128"/>
      <c r="BH68" s="128"/>
      <c r="BI68" s="128"/>
      <c r="BJ68" s="128"/>
      <c r="BK68" s="128"/>
      <c r="BL68" s="128"/>
      <c r="BM68" s="128"/>
      <c r="BN68" s="128"/>
      <c r="BO68" s="128"/>
      <c r="BP68" s="128"/>
      <c r="BQ68" s="128"/>
    </row>
    <row r="69" spans="1:69" ht="39" customHeight="1">
      <c r="A69" s="128"/>
      <c r="B69" s="128"/>
      <c r="C69" s="128"/>
      <c r="D69" s="128"/>
      <c r="E69" s="128"/>
      <c r="F69" s="128"/>
      <c r="G69" s="128"/>
      <c r="H69" s="128"/>
      <c r="I69" s="128"/>
      <c r="J69" s="128"/>
      <c r="K69" s="128"/>
      <c r="L69" s="128"/>
      <c r="M69" s="128"/>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970" t="s">
        <v>530</v>
      </c>
      <c r="AR69" s="970"/>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row>
    <row r="70" spans="1:69" ht="39" customHeight="1">
      <c r="A70" s="128"/>
      <c r="B70" s="128"/>
      <c r="C70" s="128"/>
      <c r="D70" s="128"/>
      <c r="E70" s="128"/>
      <c r="F70" s="128"/>
      <c r="G70" s="128"/>
      <c r="H70" s="128"/>
      <c r="I70" s="128"/>
      <c r="J70" s="128"/>
      <c r="K70" s="128"/>
      <c r="L70" s="128"/>
      <c r="M70" s="128"/>
      <c r="N70" s="128"/>
      <c r="O70" s="128"/>
      <c r="P70" s="128"/>
      <c r="Q70" s="128"/>
      <c r="R70" s="128"/>
      <c r="S70" s="128"/>
      <c r="T70" s="128"/>
      <c r="U70" s="128"/>
      <c r="V70" s="128"/>
      <c r="W70" s="128"/>
      <c r="X70" s="128"/>
      <c r="Y70" s="128"/>
      <c r="Z70" s="128"/>
      <c r="AA70" s="128"/>
      <c r="AB70" s="128"/>
      <c r="AC70" s="128"/>
      <c r="AD70" s="128"/>
      <c r="AE70" s="128"/>
      <c r="AF70" s="128"/>
      <c r="AG70" s="128"/>
      <c r="AH70" s="128"/>
      <c r="AI70" s="128"/>
      <c r="AJ70" s="128"/>
      <c r="AK70" s="128"/>
      <c r="AL70" s="128"/>
      <c r="AM70" s="128"/>
      <c r="AN70" s="128"/>
      <c r="AO70" s="128"/>
      <c r="AP70" s="128"/>
      <c r="AQ70" s="970" t="s">
        <v>532</v>
      </c>
      <c r="AR70" s="970"/>
      <c r="AS70" s="128"/>
      <c r="AT70" s="128"/>
      <c r="AU70" s="128"/>
      <c r="AV70" s="128"/>
      <c r="AW70" s="128"/>
      <c r="AX70" s="128"/>
      <c r="AY70" s="128"/>
      <c r="AZ70" s="128"/>
      <c r="BA70" s="128"/>
      <c r="BB70" s="128"/>
      <c r="BC70" s="128"/>
      <c r="BD70" s="128"/>
      <c r="BE70" s="128"/>
      <c r="BF70" s="128"/>
      <c r="BG70" s="128"/>
      <c r="BH70" s="128"/>
      <c r="BI70" s="128"/>
      <c r="BJ70" s="128"/>
      <c r="BK70" s="128"/>
      <c r="BL70" s="128"/>
      <c r="BM70" s="128"/>
      <c r="BN70" s="128"/>
      <c r="BO70" s="128"/>
      <c r="BP70" s="128"/>
      <c r="BQ70" s="128"/>
    </row>
    <row r="71" spans="1:69" ht="39" customHeight="1">
      <c r="A71" s="128"/>
      <c r="B71" s="128"/>
      <c r="C71" s="128"/>
      <c r="D71" s="128"/>
      <c r="E71" s="128"/>
      <c r="F71" s="128"/>
      <c r="G71" s="128"/>
      <c r="H71" s="128"/>
      <c r="I71" s="128"/>
      <c r="J71" s="128"/>
      <c r="K71" s="128"/>
      <c r="L71" s="128"/>
      <c r="M71" s="128"/>
      <c r="N71" s="128"/>
      <c r="O71" s="128"/>
      <c r="P71" s="128"/>
      <c r="Q71" s="128"/>
      <c r="R71" s="128"/>
      <c r="S71" s="128"/>
      <c r="T71" s="128"/>
      <c r="U71" s="128"/>
      <c r="V71" s="128"/>
      <c r="W71" s="128"/>
      <c r="X71" s="128"/>
      <c r="Y71" s="128"/>
      <c r="Z71" s="128"/>
      <c r="AA71" s="128"/>
      <c r="AB71" s="128"/>
      <c r="AC71" s="128"/>
      <c r="AD71" s="128"/>
      <c r="AE71" s="128"/>
      <c r="AF71" s="128"/>
      <c r="AG71" s="128"/>
      <c r="AH71" s="128"/>
      <c r="AI71" s="128"/>
      <c r="AJ71" s="128"/>
      <c r="AK71" s="128"/>
      <c r="AL71" s="128"/>
      <c r="AM71" s="128"/>
      <c r="AN71" s="128"/>
      <c r="AO71" s="128"/>
      <c r="AP71" s="128"/>
      <c r="AQ71" s="970" t="s">
        <v>533</v>
      </c>
      <c r="AR71" s="971"/>
      <c r="AS71" s="128"/>
      <c r="AT71" s="128"/>
      <c r="AU71" s="128"/>
      <c r="AV71" s="128"/>
      <c r="AW71" s="128"/>
      <c r="AX71" s="128"/>
      <c r="AY71" s="128"/>
      <c r="AZ71" s="128"/>
      <c r="BA71" s="128"/>
      <c r="BB71" s="128"/>
      <c r="BC71" s="128"/>
      <c r="BD71" s="128"/>
      <c r="BE71" s="128"/>
      <c r="BF71" s="128"/>
      <c r="BG71" s="128"/>
      <c r="BH71" s="128"/>
      <c r="BI71" s="128"/>
      <c r="BJ71" s="128"/>
      <c r="BK71" s="128"/>
      <c r="BL71" s="128"/>
      <c r="BM71" s="128"/>
      <c r="BN71" s="128"/>
      <c r="BO71" s="128"/>
      <c r="BP71" s="128"/>
      <c r="BQ71" s="128"/>
    </row>
    <row r="72" spans="1:69" ht="39" customHeight="1">
      <c r="A72" s="128"/>
      <c r="B72" s="128"/>
      <c r="C72" s="128"/>
      <c r="D72" s="128"/>
      <c r="E72" s="128"/>
      <c r="F72" s="128"/>
      <c r="G72" s="128"/>
      <c r="H72" s="128"/>
      <c r="I72" s="128"/>
      <c r="J72" s="128"/>
      <c r="K72" s="128"/>
      <c r="L72" s="128"/>
      <c r="M72" s="128"/>
      <c r="N72" s="128"/>
      <c r="O72" s="128"/>
      <c r="P72" s="128"/>
      <c r="Q72" s="128"/>
      <c r="R72" s="128"/>
      <c r="S72" s="128"/>
      <c r="T72" s="128"/>
      <c r="U72" s="128"/>
      <c r="V72" s="128"/>
      <c r="W72" s="128"/>
      <c r="X72" s="128"/>
      <c r="Y72" s="128"/>
      <c r="Z72" s="128"/>
      <c r="AA72" s="128"/>
      <c r="AB72" s="128"/>
      <c r="AC72" s="128"/>
      <c r="AD72" s="128"/>
      <c r="AE72" s="128"/>
      <c r="AF72" s="128"/>
      <c r="AG72" s="128"/>
      <c r="AH72" s="128"/>
      <c r="AI72" s="128"/>
      <c r="AJ72" s="128"/>
      <c r="AK72" s="128"/>
      <c r="AL72" s="128"/>
      <c r="AM72" s="128"/>
      <c r="AN72" s="583">
        <v>80000000</v>
      </c>
      <c r="AO72" s="128"/>
      <c r="AQ72" s="970" t="s">
        <v>534</v>
      </c>
      <c r="AR72" s="971"/>
      <c r="AS72" s="128"/>
      <c r="AT72" s="128"/>
      <c r="AU72" s="128"/>
      <c r="AV72" s="128"/>
      <c r="AW72" s="128"/>
      <c r="AX72" s="128"/>
      <c r="AY72" s="128"/>
      <c r="AZ72" s="128"/>
      <c r="BA72" s="128"/>
      <c r="BB72" s="128"/>
      <c r="BC72" s="128"/>
      <c r="BD72" s="128"/>
      <c r="BE72" s="128"/>
      <c r="BF72" s="128"/>
      <c r="BG72" s="128"/>
      <c r="BH72" s="128"/>
      <c r="BI72" s="128"/>
      <c r="BJ72" s="128"/>
      <c r="BK72" s="128"/>
      <c r="BL72" s="128"/>
      <c r="BM72" s="128"/>
      <c r="BN72" s="128"/>
      <c r="BO72" s="128"/>
      <c r="BP72" s="128"/>
      <c r="BQ72" s="128"/>
    </row>
    <row r="73" spans="1:69" ht="39" customHeight="1">
      <c r="A73" s="128"/>
      <c r="B73" s="128"/>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28"/>
      <c r="AA73" s="128"/>
      <c r="AB73" s="128"/>
      <c r="AC73" s="128"/>
      <c r="AD73" s="128"/>
      <c r="AE73" s="128"/>
      <c r="AF73" s="128"/>
      <c r="AG73" s="128"/>
      <c r="AH73" s="128"/>
      <c r="AI73" s="128"/>
      <c r="AJ73" s="128"/>
      <c r="AK73" s="128"/>
      <c r="AL73" s="128"/>
      <c r="AM73" s="128"/>
      <c r="AN73" s="583">
        <v>128000000</v>
      </c>
      <c r="AO73" s="128"/>
      <c r="AP73" s="192">
        <f>(AN73/AN72)-1</f>
        <v>0.60000000000000009</v>
      </c>
      <c r="AQ73" s="970" t="s">
        <v>535</v>
      </c>
      <c r="AR73" s="971"/>
      <c r="AS73" s="128"/>
      <c r="AT73" s="128"/>
      <c r="AU73" s="128"/>
      <c r="AV73" s="128"/>
      <c r="AW73" s="128"/>
      <c r="AX73" s="128"/>
      <c r="AY73" s="128"/>
      <c r="AZ73" s="128"/>
      <c r="BA73" s="128"/>
      <c r="BB73" s="128"/>
      <c r="BC73" s="128"/>
      <c r="BD73" s="128"/>
      <c r="BE73" s="128"/>
      <c r="BF73" s="128"/>
      <c r="BG73" s="128"/>
      <c r="BH73" s="128"/>
      <c r="BI73" s="128"/>
      <c r="BJ73" s="128"/>
      <c r="BK73" s="128"/>
      <c r="BL73" s="128"/>
      <c r="BM73" s="128"/>
      <c r="BN73" s="128"/>
      <c r="BO73" s="128"/>
      <c r="BP73" s="128"/>
      <c r="BQ73" s="128"/>
    </row>
    <row r="74" spans="1:69" ht="14.25" customHeight="1">
      <c r="A74" s="128"/>
      <c r="B74" s="128"/>
      <c r="C74" s="128"/>
      <c r="D74" s="128"/>
      <c r="E74" s="128"/>
      <c r="F74" s="128"/>
      <c r="G74" s="128"/>
      <c r="H74" s="128"/>
      <c r="I74" s="128"/>
      <c r="J74" s="128"/>
      <c r="K74" s="128"/>
      <c r="L74" s="128"/>
      <c r="M74" s="128"/>
      <c r="N74" s="128"/>
      <c r="O74" s="128"/>
      <c r="P74" s="128"/>
      <c r="Q74" s="128"/>
      <c r="R74" s="128"/>
      <c r="S74" s="128"/>
      <c r="T74" s="128"/>
      <c r="U74" s="128"/>
      <c r="V74" s="128"/>
      <c r="W74" s="128"/>
      <c r="X74" s="128"/>
      <c r="Y74" s="128"/>
      <c r="Z74" s="128"/>
      <c r="AA74" s="128"/>
      <c r="AB74" s="128"/>
      <c r="AC74" s="128"/>
      <c r="AD74" s="128"/>
      <c r="AE74" s="128"/>
      <c r="AF74" s="128"/>
      <c r="AG74" s="128"/>
      <c r="AH74" s="128"/>
      <c r="AI74" s="128"/>
      <c r="AJ74" s="128"/>
      <c r="AK74" s="128"/>
      <c r="AL74" s="128"/>
      <c r="AM74" s="128"/>
      <c r="AN74" s="583">
        <v>281600000</v>
      </c>
      <c r="AO74" s="128"/>
      <c r="AP74" s="192">
        <f>(AN74/AN73)-1</f>
        <v>1.2000000000000002</v>
      </c>
      <c r="AQ74" s="128"/>
      <c r="AR74" s="128"/>
      <c r="AS74" s="128"/>
      <c r="AT74" s="128"/>
      <c r="AU74" s="128"/>
      <c r="AV74" s="128"/>
      <c r="AW74" s="128"/>
      <c r="AX74" s="128"/>
      <c r="AY74" s="128"/>
      <c r="AZ74" s="128"/>
      <c r="BA74" s="128"/>
      <c r="BB74" s="128"/>
      <c r="BC74" s="128"/>
      <c r="BD74" s="128"/>
      <c r="BE74" s="128"/>
      <c r="BF74" s="128"/>
      <c r="BG74" s="128"/>
      <c r="BH74" s="128"/>
      <c r="BI74" s="128"/>
      <c r="BJ74" s="128"/>
      <c r="BK74" s="128"/>
      <c r="BL74" s="128"/>
      <c r="BM74" s="128"/>
      <c r="BN74" s="128"/>
      <c r="BO74" s="128"/>
      <c r="BP74" s="128"/>
      <c r="BQ74" s="128"/>
    </row>
    <row r="75" spans="1:69" ht="14.25" customHeight="1">
      <c r="A75" s="128"/>
      <c r="B75" s="128"/>
      <c r="C75" s="128"/>
      <c r="D75" s="128"/>
      <c r="E75" s="128"/>
      <c r="F75" s="128"/>
      <c r="G75" s="128"/>
      <c r="H75" s="128"/>
      <c r="I75" s="128"/>
      <c r="J75" s="128"/>
      <c r="K75" s="128"/>
      <c r="L75" s="128"/>
      <c r="M75" s="128"/>
      <c r="N75" s="128"/>
      <c r="O75" s="128"/>
      <c r="P75" s="128"/>
      <c r="Q75" s="128"/>
      <c r="R75" s="128"/>
      <c r="S75" s="128"/>
      <c r="T75" s="128"/>
      <c r="U75" s="128"/>
      <c r="V75" s="128"/>
      <c r="W75" s="128"/>
      <c r="X75" s="128"/>
      <c r="Y75" s="128"/>
      <c r="Z75" s="128"/>
      <c r="AA75" s="128"/>
      <c r="AB75" s="128"/>
      <c r="AC75" s="128"/>
      <c r="AD75" s="128"/>
      <c r="AE75" s="128"/>
      <c r="AF75" s="128"/>
      <c r="AG75" s="128"/>
      <c r="AH75" s="128"/>
      <c r="AI75" s="128"/>
      <c r="AJ75" s="128"/>
      <c r="AK75" s="128"/>
      <c r="AL75" s="128"/>
      <c r="AM75" s="128"/>
      <c r="AN75" s="583">
        <v>760000000</v>
      </c>
      <c r="AO75" s="128"/>
      <c r="AP75" s="192">
        <f>(AN75/AN74)-1</f>
        <v>1.6988636363636362</v>
      </c>
      <c r="AQ75" s="128"/>
      <c r="AR75" s="128"/>
      <c r="AS75" s="128"/>
      <c r="AT75" s="128"/>
      <c r="AU75" s="128"/>
      <c r="AV75" s="128"/>
      <c r="AW75" s="128"/>
      <c r="AX75" s="128"/>
      <c r="AY75" s="128"/>
      <c r="AZ75" s="128"/>
      <c r="BA75" s="128"/>
      <c r="BB75" s="128"/>
      <c r="BC75" s="128"/>
      <c r="BD75" s="128"/>
      <c r="BE75" s="128"/>
      <c r="BF75" s="128"/>
      <c r="BG75" s="128"/>
      <c r="BH75" s="128"/>
      <c r="BI75" s="128"/>
      <c r="BJ75" s="128"/>
      <c r="BK75" s="128"/>
      <c r="BL75" s="128"/>
      <c r="BM75" s="128"/>
      <c r="BN75" s="128"/>
      <c r="BO75" s="128"/>
      <c r="BP75" s="128"/>
      <c r="BQ75" s="128"/>
    </row>
    <row r="76" spans="1:69" ht="14.25" customHeight="1">
      <c r="A76" s="128"/>
      <c r="B76" s="128"/>
      <c r="C76" s="128"/>
      <c r="D76" s="128"/>
      <c r="E76" s="128"/>
      <c r="F76" s="128"/>
      <c r="G76" s="128"/>
      <c r="H76" s="128"/>
      <c r="I76" s="128"/>
      <c r="J76" s="128"/>
      <c r="K76" s="128"/>
      <c r="L76" s="128"/>
      <c r="M76" s="128"/>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row>
    <row r="77" spans="1:69" ht="14.25" customHeight="1">
      <c r="A77" s="128"/>
      <c r="B77" s="128"/>
      <c r="C77" s="128"/>
      <c r="D77" s="128"/>
      <c r="E77" s="128"/>
      <c r="F77" s="128"/>
      <c r="G77" s="128"/>
      <c r="H77" s="128"/>
      <c r="I77" s="128"/>
      <c r="J77" s="128"/>
      <c r="K77" s="128"/>
      <c r="L77" s="128"/>
      <c r="M77" s="128"/>
      <c r="N77" s="128"/>
      <c r="O77" s="128"/>
      <c r="P77" s="128"/>
      <c r="Q77" s="128"/>
      <c r="R77" s="128"/>
      <c r="S77" s="128"/>
      <c r="T77" s="128"/>
      <c r="U77" s="128"/>
      <c r="V77" s="128"/>
      <c r="W77" s="128"/>
      <c r="X77" s="128"/>
      <c r="Y77" s="128"/>
      <c r="Z77" s="128"/>
      <c r="AA77" s="128"/>
      <c r="AB77" s="128"/>
      <c r="AC77" s="128"/>
      <c r="AD77" s="128"/>
      <c r="AE77" s="128"/>
      <c r="AF77" s="128"/>
      <c r="AG77" s="128"/>
      <c r="AH77" s="128"/>
      <c r="AI77" s="128"/>
      <c r="AJ77" s="128"/>
      <c r="AK77" s="128"/>
      <c r="AL77" s="128"/>
      <c r="AM77" s="128"/>
      <c r="AN77" s="128"/>
      <c r="AO77" s="128"/>
      <c r="AP77" s="128"/>
      <c r="AQ77" s="128"/>
      <c r="AR77" s="128"/>
      <c r="AS77" s="128"/>
      <c r="AT77" s="128"/>
      <c r="AU77" s="128"/>
      <c r="AV77" s="128"/>
      <c r="AW77" s="128"/>
      <c r="AX77" s="128"/>
      <c r="AY77" s="128"/>
      <c r="AZ77" s="128"/>
      <c r="BA77" s="128"/>
      <c r="BB77" s="128"/>
      <c r="BC77" s="128"/>
      <c r="BD77" s="128"/>
      <c r="BE77" s="128"/>
      <c r="BF77" s="128"/>
      <c r="BG77" s="128"/>
      <c r="BH77" s="128"/>
      <c r="BI77" s="128"/>
      <c r="BJ77" s="128"/>
      <c r="BK77" s="128"/>
      <c r="BL77" s="128"/>
      <c r="BM77" s="128"/>
      <c r="BN77" s="128"/>
      <c r="BO77" s="128"/>
      <c r="BP77" s="128"/>
      <c r="BQ77" s="128"/>
    </row>
    <row r="78" spans="1:69" ht="14.25" customHeight="1">
      <c r="A78" s="128"/>
      <c r="B78" s="128"/>
      <c r="C78" s="128"/>
      <c r="D78" s="128"/>
      <c r="E78" s="128"/>
      <c r="F78" s="128"/>
      <c r="G78" s="128"/>
      <c r="H78" s="128"/>
      <c r="I78" s="128"/>
      <c r="J78" s="128"/>
      <c r="K78" s="128"/>
      <c r="L78" s="128"/>
      <c r="M78" s="128"/>
      <c r="N78" s="128"/>
      <c r="O78" s="128"/>
      <c r="P78" s="128"/>
      <c r="Q78" s="128"/>
      <c r="R78" s="128"/>
      <c r="S78" s="128"/>
      <c r="T78" s="128"/>
      <c r="U78" s="128"/>
      <c r="V78" s="128"/>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28"/>
      <c r="AS78" s="128"/>
      <c r="AT78" s="128"/>
      <c r="AU78" s="128"/>
      <c r="AV78" s="128"/>
      <c r="AW78" s="128"/>
      <c r="AX78" s="128"/>
      <c r="AY78" s="128"/>
      <c r="AZ78" s="128"/>
      <c r="BA78" s="128"/>
      <c r="BB78" s="128"/>
      <c r="BC78" s="128"/>
      <c r="BD78" s="128"/>
      <c r="BE78" s="128"/>
      <c r="BF78" s="128"/>
      <c r="BG78" s="128"/>
      <c r="BH78" s="128"/>
      <c r="BI78" s="128"/>
      <c r="BJ78" s="128"/>
      <c r="BK78" s="128"/>
      <c r="BL78" s="128"/>
      <c r="BM78" s="128"/>
      <c r="BN78" s="128"/>
      <c r="BO78" s="128"/>
      <c r="BP78" s="128"/>
      <c r="BQ78" s="128"/>
    </row>
    <row r="79" spans="1:69" ht="14.25" customHeight="1">
      <c r="A79" s="128"/>
      <c r="B79" s="128"/>
      <c r="C79" s="128"/>
      <c r="D79" s="128"/>
      <c r="E79" s="128"/>
      <c r="F79" s="128"/>
      <c r="G79" s="128"/>
      <c r="H79" s="128"/>
      <c r="I79" s="128"/>
      <c r="J79" s="128"/>
      <c r="K79" s="128"/>
      <c r="L79" s="128"/>
      <c r="M79" s="128"/>
      <c r="N79" s="128"/>
      <c r="O79" s="128"/>
      <c r="P79" s="128"/>
      <c r="Q79" s="128"/>
      <c r="R79" s="128"/>
      <c r="S79" s="128"/>
      <c r="T79" s="128"/>
      <c r="U79" s="128"/>
      <c r="V79" s="128"/>
      <c r="W79" s="128"/>
      <c r="X79" s="128"/>
      <c r="Y79" s="128"/>
      <c r="Z79" s="128"/>
      <c r="AA79" s="128"/>
      <c r="AB79" s="128"/>
      <c r="AC79" s="128"/>
      <c r="AD79" s="128"/>
      <c r="AE79" s="128"/>
      <c r="AF79" s="128"/>
      <c r="AG79" s="128"/>
      <c r="AH79" s="128"/>
      <c r="AI79" s="128"/>
      <c r="AJ79" s="128"/>
      <c r="AK79" s="128"/>
      <c r="AL79" s="128"/>
      <c r="AM79" s="128"/>
      <c r="AN79" s="128"/>
      <c r="AO79" s="128"/>
      <c r="AP79" s="128"/>
      <c r="AQ79" s="128"/>
      <c r="AR79" s="128"/>
      <c r="AS79" s="128"/>
      <c r="AT79" s="128"/>
      <c r="AU79" s="128"/>
      <c r="AV79" s="128"/>
      <c r="AW79" s="128"/>
      <c r="AX79" s="128"/>
      <c r="AY79" s="128"/>
      <c r="AZ79" s="128"/>
      <c r="BA79" s="128"/>
      <c r="BB79" s="128"/>
      <c r="BC79" s="128"/>
      <c r="BD79" s="128"/>
      <c r="BE79" s="128"/>
      <c r="BF79" s="128"/>
      <c r="BG79" s="128"/>
      <c r="BH79" s="128"/>
      <c r="BI79" s="128"/>
      <c r="BJ79" s="128"/>
      <c r="BK79" s="128"/>
      <c r="BL79" s="128"/>
      <c r="BM79" s="128"/>
      <c r="BN79" s="128"/>
      <c r="BO79" s="128"/>
      <c r="BP79" s="128"/>
      <c r="BQ79" s="128"/>
    </row>
    <row r="80" spans="1:69" ht="14.25" customHeight="1">
      <c r="A80" s="128"/>
      <c r="B80" s="128"/>
      <c r="C80" s="128"/>
      <c r="D80" s="128"/>
      <c r="E80" s="128"/>
      <c r="F80" s="128"/>
      <c r="G80" s="128"/>
      <c r="H80" s="128"/>
      <c r="I80" s="128"/>
      <c r="J80" s="128"/>
      <c r="K80" s="128"/>
      <c r="L80" s="128"/>
      <c r="M80" s="128"/>
      <c r="N80" s="128"/>
      <c r="O80" s="128"/>
      <c r="P80" s="128"/>
      <c r="Q80" s="128"/>
      <c r="R80" s="128"/>
      <c r="S80" s="128"/>
      <c r="T80" s="128"/>
      <c r="U80" s="128"/>
      <c r="V80" s="128"/>
      <c r="W80" s="128"/>
      <c r="X80" s="128"/>
      <c r="Y80" s="128"/>
      <c r="Z80" s="128"/>
      <c r="AA80" s="128"/>
      <c r="AB80" s="128"/>
      <c r="AC80" s="128"/>
      <c r="AD80" s="128"/>
      <c r="AE80" s="128"/>
      <c r="AF80" s="128"/>
      <c r="AG80" s="128"/>
      <c r="AH80" s="128"/>
      <c r="AI80" s="128"/>
      <c r="AJ80" s="128"/>
      <c r="AK80" s="128"/>
      <c r="AL80" s="128"/>
      <c r="AM80" s="128"/>
      <c r="AN80" s="128"/>
      <c r="AO80" s="128"/>
      <c r="AP80" s="128"/>
      <c r="AQ80" s="128"/>
      <c r="AR80" s="128"/>
      <c r="AS80" s="128"/>
      <c r="AT80" s="128"/>
      <c r="AU80" s="128"/>
      <c r="AV80" s="128"/>
      <c r="AW80" s="128"/>
      <c r="AX80" s="128"/>
      <c r="AY80" s="128"/>
      <c r="AZ80" s="128"/>
      <c r="BA80" s="128"/>
      <c r="BB80" s="128"/>
      <c r="BC80" s="128"/>
      <c r="BD80" s="128"/>
      <c r="BE80" s="128"/>
      <c r="BF80" s="128"/>
      <c r="BG80" s="128"/>
      <c r="BH80" s="128"/>
      <c r="BI80" s="128"/>
      <c r="BJ80" s="128"/>
      <c r="BK80" s="128"/>
      <c r="BL80" s="128"/>
      <c r="BM80" s="128"/>
      <c r="BN80" s="128"/>
      <c r="BO80" s="128"/>
      <c r="BP80" s="128"/>
      <c r="BQ80" s="128"/>
    </row>
    <row r="81" spans="1:69" ht="14.25" customHeight="1">
      <c r="A81" s="128"/>
      <c r="B81" s="128"/>
      <c r="C81" s="128"/>
      <c r="D81" s="128"/>
      <c r="E81" s="128"/>
      <c r="F81" s="128"/>
      <c r="G81" s="128"/>
      <c r="H81" s="128"/>
      <c r="I81" s="128"/>
      <c r="J81" s="128"/>
      <c r="K81" s="128"/>
      <c r="L81" s="128"/>
      <c r="M81" s="128"/>
      <c r="N81" s="128"/>
      <c r="O81" s="128"/>
      <c r="P81" s="128"/>
      <c r="Q81" s="128"/>
      <c r="R81" s="128"/>
      <c r="S81" s="128"/>
      <c r="T81" s="128"/>
      <c r="U81" s="128"/>
      <c r="V81" s="128"/>
      <c r="W81" s="128"/>
      <c r="X81" s="128"/>
      <c r="Y81" s="128"/>
      <c r="Z81" s="128"/>
      <c r="AA81" s="128"/>
      <c r="AB81" s="128"/>
      <c r="AC81" s="128"/>
      <c r="AD81" s="128"/>
      <c r="AE81" s="128"/>
      <c r="AF81" s="128"/>
      <c r="AG81" s="128"/>
      <c r="AH81" s="128"/>
      <c r="AI81" s="128"/>
      <c r="AJ81" s="128"/>
      <c r="AK81" s="128"/>
      <c r="AL81" s="128"/>
      <c r="AM81" s="128"/>
      <c r="AN81" s="128"/>
      <c r="AO81" s="128"/>
      <c r="AP81" s="128"/>
      <c r="AQ81" s="128"/>
      <c r="AR81" s="985" t="s">
        <v>540</v>
      </c>
      <c r="AS81" s="128"/>
      <c r="AT81" s="128"/>
      <c r="AU81" s="128"/>
      <c r="AV81" s="128"/>
      <c r="AW81" s="128"/>
      <c r="AX81" s="128"/>
      <c r="AY81" s="128"/>
      <c r="AZ81" s="128"/>
      <c r="BA81" s="128"/>
      <c r="BB81" s="128"/>
      <c r="BC81" s="128"/>
      <c r="BD81" s="128"/>
      <c r="BE81" s="128"/>
      <c r="BF81" s="128"/>
      <c r="BG81" s="128"/>
      <c r="BH81" s="128"/>
      <c r="BI81" s="128"/>
      <c r="BJ81" s="128"/>
      <c r="BK81" s="128"/>
      <c r="BL81" s="128"/>
      <c r="BM81" s="128"/>
      <c r="BN81" s="128"/>
      <c r="BO81" s="128"/>
      <c r="BP81" s="128"/>
      <c r="BQ81" s="128"/>
    </row>
    <row r="82" spans="1:69" ht="14.25" customHeight="1">
      <c r="A82" s="128"/>
      <c r="B82" s="128"/>
      <c r="C82" s="128"/>
      <c r="D82" s="128"/>
      <c r="E82" s="128"/>
      <c r="F82" s="128"/>
      <c r="G82" s="128"/>
      <c r="H82" s="128"/>
      <c r="I82" s="128"/>
      <c r="J82" s="128"/>
      <c r="K82" s="128"/>
      <c r="L82" s="128"/>
      <c r="M82" s="128"/>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row>
    <row r="83" spans="1:69" ht="14.25" customHeight="1">
      <c r="A83" s="128"/>
      <c r="B83" s="128"/>
      <c r="C83" s="128"/>
      <c r="D83" s="128"/>
      <c r="E83" s="128"/>
      <c r="F83" s="128"/>
      <c r="G83" s="128"/>
      <c r="H83" s="128"/>
      <c r="I83" s="128"/>
      <c r="J83" s="128"/>
      <c r="K83" s="128"/>
      <c r="L83" s="128"/>
      <c r="M83" s="128"/>
      <c r="N83" s="128"/>
      <c r="O83" s="128"/>
      <c r="P83" s="128"/>
      <c r="Q83" s="128"/>
      <c r="R83" s="128"/>
      <c r="S83" s="128"/>
      <c r="T83" s="128"/>
      <c r="U83" s="128"/>
      <c r="V83" s="128"/>
      <c r="W83" s="128"/>
      <c r="X83" s="128"/>
      <c r="Y83" s="128"/>
      <c r="Z83" s="128"/>
      <c r="AA83" s="128"/>
      <c r="AB83" s="128"/>
      <c r="AC83" s="128"/>
      <c r="AD83" s="128"/>
      <c r="AE83" s="128"/>
      <c r="AF83" s="128"/>
      <c r="AG83" s="128"/>
      <c r="AH83" s="128"/>
      <c r="AI83" s="128"/>
      <c r="AJ83" s="128"/>
      <c r="AK83" s="128"/>
      <c r="AL83" s="128"/>
      <c r="AM83" s="128"/>
      <c r="AN83" s="128"/>
      <c r="AO83" s="128"/>
      <c r="AP83" s="128"/>
      <c r="AQ83" s="128"/>
      <c r="AR83" s="128"/>
      <c r="AS83" s="128"/>
      <c r="AT83" s="128"/>
      <c r="AU83" s="128"/>
      <c r="AV83" s="128"/>
      <c r="AW83" s="128"/>
      <c r="AX83" s="128"/>
      <c r="AY83" s="128"/>
      <c r="AZ83" s="128"/>
      <c r="BA83" s="128"/>
      <c r="BB83" s="128"/>
      <c r="BC83" s="128"/>
      <c r="BD83" s="128"/>
      <c r="BE83" s="128"/>
      <c r="BF83" s="128"/>
      <c r="BG83" s="128"/>
      <c r="BH83" s="128"/>
      <c r="BI83" s="128"/>
      <c r="BJ83" s="128"/>
      <c r="BK83" s="128"/>
      <c r="BL83" s="128"/>
      <c r="BM83" s="128"/>
      <c r="BN83" s="128"/>
      <c r="BO83" s="128"/>
      <c r="BP83" s="128"/>
      <c r="BQ83" s="128"/>
    </row>
    <row r="84" spans="1:69" ht="14.25" customHeight="1">
      <c r="A84" s="128"/>
      <c r="B84" s="128"/>
      <c r="C84" s="128"/>
      <c r="D84" s="128"/>
      <c r="E84" s="128"/>
      <c r="F84" s="128"/>
      <c r="G84" s="128"/>
      <c r="H84" s="128"/>
      <c r="I84" s="128"/>
      <c r="J84" s="128"/>
      <c r="K84" s="128"/>
      <c r="L84" s="128"/>
      <c r="M84" s="128"/>
      <c r="N84" s="128"/>
      <c r="O84" s="128"/>
      <c r="P84" s="128"/>
      <c r="Q84" s="128"/>
      <c r="R84" s="128"/>
      <c r="S84" s="128"/>
      <c r="T84" s="128"/>
      <c r="U84" s="128"/>
      <c r="V84" s="128"/>
      <c r="W84" s="128"/>
      <c r="X84" s="128"/>
      <c r="Y84" s="128"/>
      <c r="Z84" s="128"/>
      <c r="AA84" s="128"/>
      <c r="AB84" s="128"/>
      <c r="AC84" s="128"/>
      <c r="AD84" s="128"/>
      <c r="AE84" s="128"/>
      <c r="AF84" s="128"/>
      <c r="AG84" s="128"/>
      <c r="AH84" s="128"/>
      <c r="AI84" s="128"/>
      <c r="AJ84" s="128"/>
      <c r="AK84" s="128"/>
      <c r="AL84" s="128"/>
      <c r="AM84" s="128"/>
      <c r="AN84" s="128"/>
      <c r="AO84" s="128"/>
      <c r="AP84" s="128"/>
      <c r="AQ84" s="128"/>
      <c r="AR84" s="128"/>
      <c r="AS84" s="128"/>
      <c r="AT84" s="128"/>
      <c r="AU84" s="128"/>
      <c r="AV84" s="128"/>
      <c r="AW84" s="128"/>
      <c r="AX84" s="128"/>
      <c r="AY84" s="128"/>
      <c r="AZ84" s="128"/>
      <c r="BA84" s="128"/>
      <c r="BB84" s="128"/>
      <c r="BC84" s="128"/>
      <c r="BD84" s="128"/>
      <c r="BE84" s="128"/>
      <c r="BF84" s="128"/>
      <c r="BG84" s="128"/>
      <c r="BH84" s="128"/>
      <c r="BI84" s="128"/>
      <c r="BJ84" s="128"/>
      <c r="BK84" s="128"/>
      <c r="BL84" s="128"/>
      <c r="BM84" s="128"/>
      <c r="BN84" s="128"/>
      <c r="BO84" s="128"/>
      <c r="BP84" s="128"/>
      <c r="BQ84" s="128"/>
    </row>
    <row r="85" spans="1:69" ht="14.25" customHeight="1">
      <c r="A85" s="128"/>
      <c r="B85" s="128"/>
      <c r="C85" s="128"/>
      <c r="D85" s="128"/>
      <c r="E85" s="128"/>
      <c r="F85" s="128"/>
      <c r="G85" s="128"/>
      <c r="H85" s="128"/>
      <c r="I85" s="128"/>
      <c r="J85" s="128"/>
      <c r="K85" s="128"/>
      <c r="L85" s="128"/>
      <c r="M85" s="128"/>
      <c r="N85" s="128"/>
      <c r="O85" s="128"/>
      <c r="P85" s="128"/>
      <c r="Q85" s="128"/>
      <c r="R85" s="128"/>
      <c r="S85" s="128"/>
      <c r="T85" s="128"/>
      <c r="U85" s="128"/>
      <c r="V85" s="128"/>
      <c r="W85" s="128"/>
      <c r="X85" s="128"/>
      <c r="Y85" s="128"/>
      <c r="Z85" s="128"/>
      <c r="AA85" s="128"/>
      <c r="AB85" s="128"/>
      <c r="AC85" s="128"/>
      <c r="AD85" s="128"/>
      <c r="AE85" s="128"/>
      <c r="AF85" s="128"/>
      <c r="AG85" s="128"/>
      <c r="AH85" s="128"/>
      <c r="AI85" s="128"/>
      <c r="AJ85" s="128"/>
      <c r="AK85" s="128"/>
      <c r="AL85" s="128"/>
      <c r="AM85" s="128"/>
      <c r="AN85" s="128"/>
      <c r="AO85" s="128"/>
      <c r="AP85" s="128"/>
      <c r="AQ85" s="128"/>
      <c r="AR85" s="128"/>
      <c r="AS85" s="128"/>
      <c r="AT85" s="128"/>
      <c r="AU85" s="128"/>
      <c r="AV85" s="128"/>
      <c r="AW85" s="128"/>
      <c r="AX85" s="128"/>
      <c r="AY85" s="128"/>
      <c r="AZ85" s="128"/>
      <c r="BA85" s="128"/>
      <c r="BB85" s="128"/>
      <c r="BC85" s="128"/>
      <c r="BD85" s="128"/>
      <c r="BE85" s="128"/>
      <c r="BF85" s="128"/>
      <c r="BG85" s="128"/>
      <c r="BH85" s="128"/>
      <c r="BI85" s="128"/>
      <c r="BJ85" s="128"/>
      <c r="BK85" s="128"/>
      <c r="BL85" s="128"/>
      <c r="BM85" s="128"/>
      <c r="BN85" s="128"/>
      <c r="BO85" s="128"/>
      <c r="BP85" s="128"/>
      <c r="BQ85" s="128"/>
    </row>
    <row r="86" spans="1:69" ht="14.25" customHeight="1">
      <c r="A86" s="128"/>
      <c r="B86" s="128"/>
      <c r="C86" s="128"/>
      <c r="D86" s="128"/>
      <c r="E86" s="128"/>
      <c r="F86" s="128"/>
      <c r="G86" s="128"/>
      <c r="H86" s="128"/>
      <c r="I86" s="128"/>
      <c r="J86" s="128"/>
      <c r="K86" s="128"/>
      <c r="L86" s="128"/>
      <c r="M86" s="128"/>
      <c r="N86" s="128"/>
      <c r="O86" s="128"/>
      <c r="P86" s="128"/>
      <c r="Q86" s="128"/>
      <c r="R86" s="128"/>
      <c r="S86" s="128"/>
      <c r="T86" s="128"/>
      <c r="U86" s="128"/>
      <c r="V86" s="128"/>
      <c r="W86" s="128"/>
      <c r="X86" s="128"/>
      <c r="Y86" s="128"/>
      <c r="Z86" s="128"/>
      <c r="AA86" s="128"/>
      <c r="AB86" s="128"/>
      <c r="AC86" s="128"/>
      <c r="AD86" s="128"/>
      <c r="AE86" s="128"/>
      <c r="AF86" s="128"/>
      <c r="AG86" s="128"/>
      <c r="AH86" s="128"/>
      <c r="AI86" s="128"/>
      <c r="AJ86" s="128"/>
      <c r="AK86" s="128"/>
      <c r="AL86" s="128"/>
      <c r="AM86" s="128"/>
      <c r="AN86" s="128"/>
      <c r="AO86" s="128"/>
      <c r="AP86" s="128"/>
      <c r="AQ86" s="128"/>
      <c r="AR86" s="128"/>
      <c r="AS86" s="128"/>
      <c r="AT86" s="128"/>
      <c r="AU86" s="128"/>
      <c r="AV86" s="128"/>
      <c r="AW86" s="128"/>
      <c r="AX86" s="128"/>
      <c r="AY86" s="128"/>
      <c r="AZ86" s="128"/>
      <c r="BA86" s="128"/>
      <c r="BB86" s="128"/>
      <c r="BC86" s="128"/>
      <c r="BD86" s="128"/>
      <c r="BE86" s="128"/>
      <c r="BF86" s="128"/>
      <c r="BG86" s="128"/>
      <c r="BH86" s="128"/>
      <c r="BI86" s="128"/>
      <c r="BJ86" s="128"/>
      <c r="BK86" s="128"/>
      <c r="BL86" s="128"/>
      <c r="BM86" s="128"/>
      <c r="BN86" s="128"/>
      <c r="BO86" s="128"/>
      <c r="BP86" s="128"/>
      <c r="BQ86" s="128"/>
    </row>
    <row r="87" spans="1:69" ht="14.25" customHeight="1">
      <c r="A87" s="128"/>
      <c r="B87" s="128"/>
      <c r="C87" s="128"/>
      <c r="D87" s="128"/>
      <c r="E87" s="128"/>
      <c r="F87" s="128"/>
      <c r="G87" s="128"/>
      <c r="H87" s="128"/>
      <c r="I87" s="128"/>
      <c r="J87" s="128"/>
      <c r="K87" s="128"/>
      <c r="L87" s="128"/>
      <c r="M87" s="128"/>
      <c r="N87" s="128"/>
      <c r="O87" s="128"/>
      <c r="P87" s="128"/>
      <c r="Q87" s="128"/>
      <c r="R87" s="128"/>
      <c r="S87" s="128"/>
      <c r="T87" s="128"/>
      <c r="U87" s="128"/>
      <c r="V87" s="128"/>
      <c r="W87" s="128"/>
      <c r="X87" s="128"/>
      <c r="Y87" s="128"/>
      <c r="Z87" s="128"/>
      <c r="AA87" s="128"/>
      <c r="AB87" s="128"/>
      <c r="AC87" s="128"/>
      <c r="AD87" s="128"/>
      <c r="AE87" s="128"/>
      <c r="AF87" s="128"/>
      <c r="AG87" s="128"/>
      <c r="AH87" s="128"/>
      <c r="AI87" s="128"/>
      <c r="AJ87" s="128"/>
      <c r="AK87" s="128"/>
      <c r="AL87" s="128"/>
      <c r="AM87" s="128"/>
      <c r="AN87" s="128"/>
      <c r="AO87" s="128"/>
      <c r="AP87" s="128"/>
      <c r="AQ87" s="128"/>
      <c r="AR87" s="128"/>
      <c r="AS87" s="128"/>
      <c r="AT87" s="128"/>
      <c r="AU87" s="128"/>
      <c r="AV87" s="128"/>
      <c r="AW87" s="128"/>
      <c r="AX87" s="128"/>
      <c r="AY87" s="128"/>
      <c r="AZ87" s="128"/>
      <c r="BA87" s="128"/>
      <c r="BB87" s="128"/>
      <c r="BC87" s="128"/>
      <c r="BD87" s="128"/>
      <c r="BE87" s="128"/>
      <c r="BF87" s="128"/>
      <c r="BG87" s="128"/>
      <c r="BH87" s="128"/>
      <c r="BI87" s="128"/>
      <c r="BJ87" s="128"/>
      <c r="BK87" s="128"/>
      <c r="BL87" s="128"/>
      <c r="BM87" s="128"/>
      <c r="BN87" s="128"/>
      <c r="BO87" s="128"/>
      <c r="BP87" s="128"/>
      <c r="BQ87" s="128"/>
    </row>
    <row r="88" spans="1:69" ht="14.25" customHeight="1">
      <c r="A88" s="128"/>
      <c r="B88" s="128"/>
      <c r="C88" s="128"/>
      <c r="D88" s="128"/>
      <c r="E88" s="128"/>
      <c r="F88" s="128"/>
      <c r="G88" s="128"/>
      <c r="H88" s="128"/>
      <c r="I88" s="128"/>
      <c r="J88" s="128"/>
      <c r="K88" s="128"/>
      <c r="L88" s="128"/>
      <c r="M88" s="128"/>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row>
    <row r="89" spans="1:69" ht="14.25" customHeight="1">
      <c r="A89" s="128"/>
      <c r="B89" s="128"/>
      <c r="C89" s="128"/>
      <c r="D89" s="128"/>
      <c r="E89" s="128"/>
      <c r="F89" s="128"/>
      <c r="G89" s="128"/>
      <c r="H89" s="128"/>
      <c r="I89" s="128"/>
      <c r="J89" s="128"/>
      <c r="K89" s="128"/>
      <c r="L89" s="128"/>
      <c r="M89" s="128"/>
      <c r="N89" s="128"/>
      <c r="O89" s="128"/>
      <c r="P89" s="128"/>
      <c r="Q89" s="128"/>
      <c r="R89" s="128"/>
      <c r="S89" s="128"/>
      <c r="T89" s="128"/>
      <c r="U89" s="128"/>
      <c r="V89" s="128"/>
      <c r="W89" s="128"/>
      <c r="X89" s="128"/>
      <c r="Y89" s="128"/>
      <c r="Z89" s="128"/>
      <c r="AA89" s="128"/>
      <c r="AB89" s="128"/>
      <c r="AC89" s="128"/>
      <c r="AD89" s="128"/>
      <c r="AE89" s="128"/>
      <c r="AF89" s="128"/>
      <c r="AG89" s="128"/>
      <c r="AH89" s="128"/>
      <c r="AI89" s="128"/>
      <c r="AJ89" s="128"/>
      <c r="AK89" s="128"/>
      <c r="AL89" s="128"/>
      <c r="AM89" s="128"/>
      <c r="AN89" s="128"/>
      <c r="AO89" s="128"/>
      <c r="AP89" s="128"/>
      <c r="AQ89" s="128"/>
      <c r="AR89" s="128"/>
      <c r="AS89" s="128"/>
      <c r="AT89" s="128"/>
      <c r="AU89" s="128"/>
      <c r="AV89" s="128"/>
      <c r="AW89" s="128"/>
      <c r="AX89" s="128"/>
      <c r="AY89" s="128"/>
      <c r="AZ89" s="128"/>
      <c r="BA89" s="128"/>
      <c r="BB89" s="128"/>
      <c r="BC89" s="128"/>
      <c r="BD89" s="128"/>
      <c r="BE89" s="128"/>
      <c r="BF89" s="128"/>
      <c r="BG89" s="128"/>
      <c r="BH89" s="128"/>
      <c r="BI89" s="128"/>
      <c r="BJ89" s="128"/>
      <c r="BK89" s="128"/>
      <c r="BL89" s="128"/>
      <c r="BM89" s="128"/>
      <c r="BN89" s="128"/>
      <c r="BO89" s="128"/>
      <c r="BP89" s="128"/>
      <c r="BQ89" s="128"/>
    </row>
    <row r="90" spans="1:69" ht="14.25" customHeight="1">
      <c r="A90" s="128"/>
      <c r="B90" s="128"/>
      <c r="C90" s="128"/>
      <c r="D90" s="128"/>
      <c r="E90" s="128"/>
      <c r="F90" s="128"/>
      <c r="G90" s="128"/>
      <c r="H90" s="128"/>
      <c r="I90" s="128"/>
      <c r="J90" s="128"/>
      <c r="K90" s="128"/>
      <c r="L90" s="128"/>
      <c r="M90" s="128"/>
      <c r="N90" s="128"/>
      <c r="O90" s="128"/>
      <c r="P90" s="128"/>
      <c r="Q90" s="128"/>
      <c r="R90" s="128"/>
      <c r="S90" s="128"/>
      <c r="T90" s="128"/>
      <c r="U90" s="128"/>
      <c r="V90" s="128"/>
      <c r="W90" s="128"/>
      <c r="X90" s="128"/>
      <c r="Y90" s="128"/>
      <c r="Z90" s="128"/>
      <c r="AA90" s="128"/>
      <c r="AB90" s="128"/>
      <c r="AC90" s="128"/>
      <c r="AD90" s="128"/>
      <c r="AE90" s="128"/>
      <c r="AF90" s="128"/>
      <c r="AG90" s="128"/>
      <c r="AH90" s="128"/>
      <c r="AI90" s="128"/>
      <c r="AJ90" s="128"/>
      <c r="AK90" s="128"/>
      <c r="AL90" s="128"/>
      <c r="AM90" s="128"/>
      <c r="AN90" s="128"/>
      <c r="AO90" s="128"/>
      <c r="AP90" s="128"/>
      <c r="AQ90" s="128"/>
      <c r="AR90" s="128"/>
      <c r="AS90" s="128"/>
      <c r="AT90" s="128"/>
      <c r="AU90" s="128"/>
      <c r="AV90" s="128"/>
      <c r="AW90" s="128"/>
      <c r="AX90" s="128"/>
      <c r="AY90" s="128"/>
      <c r="AZ90" s="128"/>
      <c r="BA90" s="128"/>
      <c r="BB90" s="128"/>
      <c r="BC90" s="128"/>
      <c r="BD90" s="128"/>
      <c r="BE90" s="128"/>
      <c r="BF90" s="128"/>
      <c r="BG90" s="128"/>
      <c r="BH90" s="128"/>
      <c r="BI90" s="128"/>
      <c r="BJ90" s="128"/>
      <c r="BK90" s="128"/>
      <c r="BL90" s="128"/>
      <c r="BM90" s="128"/>
      <c r="BN90" s="128"/>
      <c r="BO90" s="128"/>
      <c r="BP90" s="128"/>
      <c r="BQ90" s="128"/>
    </row>
    <row r="91" spans="1:69" ht="14.25" customHeight="1">
      <c r="A91" s="128"/>
      <c r="B91" s="128"/>
      <c r="C91" s="128"/>
      <c r="D91" s="128"/>
      <c r="E91" s="128"/>
      <c r="F91" s="128"/>
      <c r="G91" s="128"/>
      <c r="H91" s="128"/>
      <c r="I91" s="128"/>
      <c r="J91" s="128"/>
      <c r="K91" s="128"/>
      <c r="L91" s="128"/>
      <c r="M91" s="128"/>
      <c r="N91" s="128"/>
      <c r="O91" s="128"/>
      <c r="P91" s="128"/>
      <c r="Q91" s="128"/>
      <c r="R91" s="128"/>
      <c r="S91" s="128"/>
      <c r="T91" s="128"/>
      <c r="U91" s="128"/>
      <c r="V91" s="128"/>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28"/>
      <c r="AS91" s="128"/>
      <c r="AT91" s="128"/>
      <c r="AU91" s="128"/>
      <c r="AV91" s="128"/>
      <c r="AW91" s="128"/>
      <c r="AX91" s="128"/>
      <c r="AY91" s="128"/>
      <c r="AZ91" s="128"/>
      <c r="BA91" s="128"/>
      <c r="BB91" s="128"/>
      <c r="BC91" s="128"/>
      <c r="BD91" s="128"/>
      <c r="BE91" s="128"/>
      <c r="BF91" s="128"/>
      <c r="BG91" s="128"/>
      <c r="BH91" s="128"/>
      <c r="BI91" s="128"/>
      <c r="BJ91" s="128"/>
      <c r="BK91" s="128"/>
      <c r="BL91" s="128"/>
      <c r="BM91" s="128"/>
      <c r="BN91" s="128"/>
      <c r="BO91" s="128"/>
      <c r="BP91" s="128"/>
      <c r="BQ91" s="128"/>
    </row>
    <row r="92" spans="1:69" ht="14.25" customHeight="1">
      <c r="A92" s="128"/>
      <c r="B92" s="128"/>
      <c r="C92" s="128"/>
      <c r="D92" s="128"/>
      <c r="E92" s="128"/>
      <c r="F92" s="128"/>
      <c r="G92" s="128"/>
      <c r="H92" s="128"/>
      <c r="I92" s="128"/>
      <c r="J92" s="128"/>
      <c r="K92" s="128"/>
      <c r="L92" s="128"/>
      <c r="M92" s="128"/>
      <c r="N92" s="128"/>
      <c r="O92" s="128"/>
      <c r="P92" s="128"/>
      <c r="Q92" s="128"/>
      <c r="R92" s="128"/>
      <c r="S92" s="128"/>
      <c r="T92" s="128"/>
      <c r="U92" s="128"/>
      <c r="V92" s="128"/>
      <c r="W92" s="128"/>
      <c r="X92" s="128"/>
      <c r="Y92" s="128"/>
      <c r="Z92" s="128"/>
      <c r="AA92" s="128"/>
      <c r="AB92" s="128"/>
      <c r="AC92" s="128"/>
      <c r="AD92" s="128"/>
      <c r="AE92" s="128"/>
      <c r="AF92" s="128"/>
      <c r="AG92" s="128"/>
      <c r="AH92" s="128"/>
      <c r="AI92" s="128"/>
      <c r="AJ92" s="128"/>
      <c r="AK92" s="128"/>
      <c r="AL92" s="128"/>
      <c r="AM92" s="128"/>
      <c r="AN92" s="128"/>
      <c r="AO92" s="128"/>
      <c r="AP92" s="128"/>
      <c r="AQ92" s="128"/>
      <c r="AR92" s="128"/>
      <c r="AS92" s="128"/>
      <c r="AT92" s="128"/>
      <c r="AU92" s="128"/>
      <c r="AV92" s="128"/>
      <c r="AW92" s="128"/>
      <c r="AX92" s="128"/>
      <c r="AY92" s="128"/>
      <c r="AZ92" s="128"/>
      <c r="BA92" s="128"/>
      <c r="BB92" s="128"/>
      <c r="BC92" s="128"/>
      <c r="BD92" s="128"/>
      <c r="BE92" s="128"/>
      <c r="BF92" s="128"/>
      <c r="BG92" s="128"/>
      <c r="BH92" s="128"/>
      <c r="BI92" s="128"/>
      <c r="BJ92" s="128"/>
      <c r="BK92" s="128"/>
      <c r="BL92" s="128"/>
      <c r="BM92" s="128"/>
      <c r="BN92" s="128"/>
      <c r="BO92" s="128"/>
      <c r="BP92" s="128"/>
      <c r="BQ92" s="128"/>
    </row>
    <row r="93" spans="1:69" ht="14.25" customHeight="1">
      <c r="A93" s="128"/>
      <c r="B93" s="128"/>
      <c r="C93" s="128"/>
      <c r="D93" s="128"/>
      <c r="E93" s="128"/>
      <c r="F93" s="128"/>
      <c r="G93" s="128"/>
      <c r="H93" s="128"/>
      <c r="I93" s="128"/>
      <c r="J93" s="128"/>
      <c r="K93" s="128"/>
      <c r="L93" s="128"/>
      <c r="M93" s="128"/>
      <c r="N93" s="128"/>
      <c r="O93" s="128"/>
      <c r="P93" s="128"/>
      <c r="Q93" s="128"/>
      <c r="R93" s="128"/>
      <c r="S93" s="128"/>
      <c r="T93" s="128"/>
      <c r="U93" s="128"/>
      <c r="V93" s="128"/>
      <c r="W93" s="128"/>
      <c r="X93" s="128"/>
      <c r="Y93" s="128"/>
      <c r="Z93" s="128"/>
      <c r="AA93" s="128"/>
      <c r="AB93" s="128"/>
      <c r="AC93" s="128"/>
      <c r="AD93" s="128"/>
      <c r="AE93" s="128"/>
      <c r="AF93" s="128"/>
      <c r="AG93" s="128"/>
      <c r="AH93" s="128"/>
      <c r="AI93" s="128"/>
      <c r="AJ93" s="128"/>
      <c r="AK93" s="128"/>
      <c r="AL93" s="128"/>
      <c r="AM93" s="128"/>
      <c r="AN93" s="128"/>
      <c r="AO93" s="128"/>
      <c r="AP93" s="128"/>
      <c r="AQ93" s="128"/>
      <c r="AR93" s="128"/>
      <c r="AS93" s="128"/>
      <c r="AT93" s="128"/>
      <c r="AU93" s="128"/>
      <c r="AV93" s="128"/>
      <c r="AW93" s="128"/>
      <c r="AX93" s="128"/>
      <c r="AY93" s="128"/>
      <c r="AZ93" s="128"/>
      <c r="BA93" s="128"/>
      <c r="BB93" s="128"/>
      <c r="BC93" s="128"/>
      <c r="BD93" s="128"/>
      <c r="BE93" s="128"/>
      <c r="BF93" s="128"/>
      <c r="BG93" s="128"/>
      <c r="BH93" s="128"/>
      <c r="BI93" s="128"/>
      <c r="BJ93" s="128"/>
      <c r="BK93" s="128"/>
      <c r="BL93" s="128"/>
      <c r="BM93" s="128"/>
      <c r="BN93" s="128"/>
      <c r="BO93" s="128"/>
      <c r="BP93" s="128"/>
      <c r="BQ93" s="128"/>
    </row>
    <row r="94" spans="1:69" ht="14.25" customHeight="1">
      <c r="A94" s="128"/>
      <c r="B94" s="128"/>
      <c r="C94" s="128"/>
      <c r="D94" s="128"/>
      <c r="E94" s="128"/>
      <c r="F94" s="128"/>
      <c r="G94" s="128"/>
      <c r="H94" s="128"/>
      <c r="I94" s="128"/>
      <c r="J94" s="128"/>
      <c r="K94" s="128"/>
      <c r="L94" s="128"/>
      <c r="M94" s="128"/>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row>
    <row r="95" spans="1:69" ht="14.25" customHeight="1">
      <c r="A95" s="128"/>
      <c r="B95" s="128"/>
      <c r="C95" s="128"/>
      <c r="D95" s="128"/>
      <c r="E95" s="128"/>
      <c r="F95" s="128"/>
      <c r="G95" s="128"/>
      <c r="H95" s="128"/>
      <c r="I95" s="128"/>
      <c r="J95" s="128"/>
      <c r="K95" s="128"/>
      <c r="L95" s="128"/>
      <c r="M95" s="128"/>
      <c r="N95" s="128"/>
      <c r="O95" s="128"/>
      <c r="P95" s="128"/>
      <c r="Q95" s="128"/>
      <c r="R95" s="128"/>
      <c r="S95" s="128"/>
      <c r="T95" s="128"/>
      <c r="U95" s="128"/>
      <c r="V95" s="128"/>
      <c r="W95" s="128"/>
      <c r="X95" s="128"/>
      <c r="Y95" s="128"/>
      <c r="Z95" s="128"/>
      <c r="AA95" s="128"/>
      <c r="AB95" s="128"/>
      <c r="AC95" s="128"/>
      <c r="AD95" s="128"/>
      <c r="AE95" s="128"/>
      <c r="AF95" s="128"/>
      <c r="AG95" s="128"/>
      <c r="AH95" s="128"/>
      <c r="AI95" s="128"/>
      <c r="AJ95" s="128"/>
      <c r="AK95" s="128"/>
      <c r="AL95" s="128"/>
      <c r="AM95" s="128"/>
      <c r="AN95" s="128"/>
      <c r="AO95" s="128"/>
      <c r="AP95" s="128"/>
      <c r="AQ95" s="128"/>
      <c r="AR95" s="128"/>
      <c r="AS95" s="128"/>
      <c r="AT95" s="128"/>
      <c r="AU95" s="128"/>
      <c r="AV95" s="128"/>
      <c r="AW95" s="128"/>
      <c r="AX95" s="128"/>
      <c r="AY95" s="128"/>
      <c r="AZ95" s="128"/>
      <c r="BA95" s="128"/>
      <c r="BB95" s="128"/>
      <c r="BC95" s="128"/>
      <c r="BD95" s="128"/>
      <c r="BE95" s="128"/>
      <c r="BF95" s="128"/>
      <c r="BG95" s="128"/>
      <c r="BH95" s="128"/>
      <c r="BI95" s="128"/>
      <c r="BJ95" s="128"/>
      <c r="BK95" s="128"/>
      <c r="BL95" s="128"/>
      <c r="BM95" s="128"/>
      <c r="BN95" s="128"/>
      <c r="BO95" s="128"/>
      <c r="BP95" s="128"/>
      <c r="BQ95" s="128"/>
    </row>
    <row r="96" spans="1:69" ht="14.25" customHeight="1">
      <c r="A96" s="128"/>
      <c r="B96" s="128"/>
      <c r="C96" s="128"/>
      <c r="D96" s="128"/>
      <c r="E96" s="128"/>
      <c r="F96" s="128"/>
      <c r="G96" s="128"/>
      <c r="H96" s="128"/>
      <c r="I96" s="128"/>
      <c r="J96" s="128"/>
      <c r="K96" s="128"/>
      <c r="L96" s="128"/>
      <c r="M96" s="128"/>
      <c r="N96" s="128"/>
      <c r="O96" s="128"/>
      <c r="P96" s="128"/>
      <c r="Q96" s="128"/>
      <c r="R96" s="128"/>
      <c r="S96" s="128"/>
      <c r="T96" s="128"/>
      <c r="U96" s="128"/>
      <c r="V96" s="128"/>
      <c r="W96" s="128"/>
      <c r="X96" s="128"/>
      <c r="Y96" s="128"/>
      <c r="Z96" s="128"/>
      <c r="AA96" s="128"/>
      <c r="AB96" s="128"/>
      <c r="AC96" s="128"/>
      <c r="AD96" s="128"/>
      <c r="AE96" s="128"/>
      <c r="AF96" s="128"/>
      <c r="AG96" s="128"/>
      <c r="AH96" s="128"/>
      <c r="AI96" s="128"/>
      <c r="AJ96" s="128"/>
      <c r="AK96" s="128"/>
      <c r="AL96" s="128"/>
      <c r="AM96" s="128"/>
      <c r="AN96" s="128"/>
      <c r="AO96" s="128"/>
      <c r="AP96" s="128"/>
      <c r="AQ96" s="128"/>
      <c r="AR96" s="128"/>
      <c r="AS96" s="128"/>
      <c r="AT96" s="128"/>
      <c r="AU96" s="128"/>
      <c r="AV96" s="128"/>
      <c r="AW96" s="128"/>
      <c r="AX96" s="128"/>
      <c r="AY96" s="128"/>
      <c r="AZ96" s="128"/>
      <c r="BA96" s="128"/>
      <c r="BB96" s="128"/>
      <c r="BC96" s="128"/>
      <c r="BD96" s="128"/>
      <c r="BE96" s="128"/>
      <c r="BF96" s="128"/>
      <c r="BG96" s="128"/>
      <c r="BH96" s="128"/>
      <c r="BI96" s="128"/>
      <c r="BJ96" s="128"/>
      <c r="BK96" s="128"/>
      <c r="BL96" s="128"/>
      <c r="BM96" s="128"/>
      <c r="BN96" s="128"/>
      <c r="BO96" s="128"/>
      <c r="BP96" s="128"/>
      <c r="BQ96" s="128"/>
    </row>
    <row r="97" spans="1:69" ht="14.25" customHeight="1">
      <c r="A97" s="128"/>
      <c r="B97" s="128"/>
      <c r="C97" s="128"/>
      <c r="D97" s="128"/>
      <c r="E97" s="128"/>
      <c r="F97" s="128"/>
      <c r="G97" s="128"/>
      <c r="H97" s="128"/>
      <c r="I97" s="128"/>
      <c r="J97" s="128"/>
      <c r="K97" s="128"/>
      <c r="L97" s="128"/>
      <c r="M97" s="128"/>
      <c r="N97" s="128"/>
      <c r="O97" s="128"/>
      <c r="P97" s="128"/>
      <c r="Q97" s="128"/>
      <c r="R97" s="128"/>
      <c r="S97" s="128"/>
      <c r="T97" s="128"/>
      <c r="U97" s="128"/>
      <c r="V97" s="128"/>
      <c r="W97" s="128"/>
      <c r="X97" s="128"/>
      <c r="Y97" s="128"/>
      <c r="Z97" s="128"/>
      <c r="AA97" s="128"/>
      <c r="AB97" s="128"/>
      <c r="AC97" s="128"/>
      <c r="AD97" s="128"/>
      <c r="AE97" s="128"/>
      <c r="AF97" s="128"/>
      <c r="AG97" s="128"/>
      <c r="AH97" s="128"/>
      <c r="AI97" s="128"/>
      <c r="AJ97" s="128"/>
      <c r="AK97" s="128"/>
      <c r="AL97" s="128"/>
      <c r="AM97" s="128"/>
      <c r="AN97" s="128"/>
      <c r="AO97" s="128"/>
      <c r="AP97" s="128"/>
      <c r="AQ97" s="128"/>
      <c r="AR97" s="128"/>
      <c r="AS97" s="128"/>
      <c r="AT97" s="128"/>
      <c r="AU97" s="128"/>
      <c r="AV97" s="128"/>
      <c r="AW97" s="128"/>
      <c r="AX97" s="128"/>
      <c r="AY97" s="128"/>
      <c r="AZ97" s="128"/>
      <c r="BA97" s="128"/>
      <c r="BB97" s="128"/>
      <c r="BC97" s="128"/>
      <c r="BD97" s="128"/>
      <c r="BE97" s="128"/>
      <c r="BF97" s="128"/>
      <c r="BG97" s="128"/>
      <c r="BH97" s="128"/>
      <c r="BI97" s="128"/>
      <c r="BJ97" s="128"/>
      <c r="BK97" s="128"/>
      <c r="BL97" s="128"/>
      <c r="BM97" s="128"/>
      <c r="BN97" s="128"/>
      <c r="BO97" s="128"/>
      <c r="BP97" s="128"/>
      <c r="BQ97" s="128"/>
    </row>
    <row r="98" spans="1:69" ht="14.25" customHeight="1">
      <c r="A98" s="128"/>
      <c r="B98" s="128"/>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28"/>
      <c r="AS98" s="128"/>
      <c r="AT98" s="128"/>
      <c r="AU98" s="128"/>
      <c r="AV98" s="128"/>
      <c r="AW98" s="128"/>
      <c r="AX98" s="128"/>
      <c r="AY98" s="128"/>
      <c r="AZ98" s="128"/>
      <c r="BA98" s="128"/>
      <c r="BB98" s="128"/>
      <c r="BC98" s="128"/>
      <c r="BD98" s="128"/>
      <c r="BE98" s="128"/>
      <c r="BF98" s="128"/>
      <c r="BG98" s="128"/>
      <c r="BH98" s="128"/>
      <c r="BI98" s="128"/>
      <c r="BJ98" s="128"/>
      <c r="BK98" s="128"/>
      <c r="BL98" s="128"/>
      <c r="BM98" s="128"/>
      <c r="BN98" s="128"/>
      <c r="BO98" s="128"/>
      <c r="BP98" s="128"/>
      <c r="BQ98" s="128"/>
    </row>
    <row r="99" spans="1:69" ht="14.25" customHeight="1">
      <c r="A99" s="128"/>
      <c r="B99" s="128"/>
      <c r="C99" s="128"/>
      <c r="D99" s="128"/>
      <c r="E99" s="128"/>
      <c r="F99" s="128"/>
      <c r="G99" s="128"/>
      <c r="H99" s="128"/>
      <c r="I99" s="128"/>
      <c r="J99" s="128"/>
      <c r="K99" s="128"/>
      <c r="L99" s="128"/>
      <c r="M99" s="128"/>
      <c r="N99" s="128"/>
      <c r="O99" s="128"/>
      <c r="P99" s="128"/>
      <c r="Q99" s="128"/>
      <c r="R99" s="128"/>
      <c r="S99" s="128"/>
      <c r="T99" s="128"/>
      <c r="U99" s="128"/>
      <c r="V99" s="128"/>
      <c r="W99" s="128"/>
      <c r="X99" s="128"/>
      <c r="Y99" s="128"/>
      <c r="Z99" s="128"/>
      <c r="AA99" s="128"/>
      <c r="AB99" s="128"/>
      <c r="AC99" s="128"/>
      <c r="AD99" s="128"/>
      <c r="AE99" s="128"/>
      <c r="AF99" s="128"/>
      <c r="AG99" s="128"/>
      <c r="AH99" s="128"/>
      <c r="AI99" s="128"/>
      <c r="AJ99" s="128"/>
      <c r="AK99" s="128"/>
      <c r="AL99" s="128"/>
      <c r="AM99" s="128"/>
      <c r="AN99" s="128"/>
      <c r="AO99" s="128"/>
      <c r="AP99" s="128"/>
      <c r="AQ99" s="128"/>
      <c r="AR99" s="128"/>
      <c r="AS99" s="128"/>
      <c r="AT99" s="128"/>
      <c r="AU99" s="128"/>
      <c r="AV99" s="128"/>
      <c r="AW99" s="128"/>
      <c r="AX99" s="128"/>
      <c r="AY99" s="128"/>
      <c r="AZ99" s="128"/>
      <c r="BA99" s="128"/>
      <c r="BB99" s="128"/>
      <c r="BC99" s="128"/>
      <c r="BD99" s="128"/>
      <c r="BE99" s="128"/>
      <c r="BF99" s="128"/>
      <c r="BG99" s="128"/>
      <c r="BH99" s="128"/>
      <c r="BI99" s="128"/>
      <c r="BJ99" s="128"/>
      <c r="BK99" s="128"/>
      <c r="BL99" s="128"/>
      <c r="BM99" s="128"/>
      <c r="BN99" s="128"/>
      <c r="BO99" s="128"/>
      <c r="BP99" s="128"/>
      <c r="BQ99" s="128"/>
    </row>
    <row r="100" spans="1:69" ht="14.25" customHeight="1">
      <c r="A100" s="128"/>
      <c r="B100" s="128"/>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28"/>
      <c r="AS100" s="128"/>
      <c r="AT100" s="128"/>
      <c r="AU100" s="128"/>
      <c r="AV100" s="128"/>
      <c r="AW100" s="128"/>
      <c r="AX100" s="128"/>
      <c r="AY100" s="128"/>
      <c r="AZ100" s="128"/>
      <c r="BA100" s="128"/>
      <c r="BB100" s="128"/>
      <c r="BC100" s="128"/>
      <c r="BD100" s="128"/>
      <c r="BE100" s="128"/>
      <c r="BF100" s="128"/>
      <c r="BG100" s="128"/>
      <c r="BH100" s="128"/>
      <c r="BI100" s="128"/>
      <c r="BJ100" s="128"/>
      <c r="BK100" s="128"/>
      <c r="BL100" s="128"/>
      <c r="BM100" s="128"/>
      <c r="BN100" s="128"/>
      <c r="BO100" s="128"/>
      <c r="BP100" s="128"/>
      <c r="BQ100" s="128"/>
    </row>
    <row r="101" spans="1:69" ht="14.25" customHeight="1">
      <c r="A101" s="128"/>
      <c r="B101" s="128"/>
      <c r="C101" s="128"/>
      <c r="D101" s="128"/>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row>
    <row r="102" spans="1:69" ht="14.25" customHeight="1">
      <c r="A102" s="128"/>
      <c r="B102" s="128"/>
      <c r="C102" s="128"/>
      <c r="D102" s="128"/>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c r="AA102" s="128"/>
      <c r="AB102" s="128"/>
      <c r="AC102" s="128"/>
      <c r="AD102" s="128"/>
      <c r="AE102" s="128"/>
      <c r="AF102" s="128"/>
      <c r="AG102" s="128"/>
      <c r="AH102" s="128"/>
      <c r="AI102" s="128"/>
      <c r="AJ102" s="128"/>
      <c r="AK102" s="128"/>
      <c r="AL102" s="128"/>
      <c r="AM102" s="128"/>
      <c r="AN102" s="128"/>
      <c r="AO102" s="128"/>
      <c r="AP102" s="128"/>
      <c r="AQ102" s="128"/>
      <c r="AR102" s="128"/>
      <c r="AS102" s="128"/>
      <c r="AT102" s="128"/>
      <c r="AU102" s="128"/>
      <c r="AV102" s="128"/>
      <c r="AW102" s="128"/>
      <c r="AX102" s="128"/>
      <c r="AY102" s="128"/>
      <c r="AZ102" s="128"/>
      <c r="BA102" s="128"/>
      <c r="BB102" s="128"/>
      <c r="BC102" s="128"/>
      <c r="BD102" s="128"/>
      <c r="BE102" s="128"/>
      <c r="BF102" s="128"/>
      <c r="BG102" s="128"/>
      <c r="BH102" s="128"/>
      <c r="BI102" s="128"/>
      <c r="BJ102" s="128"/>
      <c r="BK102" s="128"/>
      <c r="BL102" s="128"/>
      <c r="BM102" s="128"/>
      <c r="BN102" s="128"/>
      <c r="BO102" s="128"/>
      <c r="BP102" s="128"/>
      <c r="BQ102" s="128"/>
    </row>
    <row r="103" spans="1:69" ht="14.25" customHeight="1">
      <c r="A103" s="128"/>
      <c r="B103" s="128"/>
      <c r="C103" s="128"/>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c r="AA103" s="128"/>
      <c r="AB103" s="128"/>
      <c r="AC103" s="128"/>
      <c r="AD103" s="128"/>
      <c r="AE103" s="128"/>
      <c r="AF103" s="128"/>
      <c r="AG103" s="128"/>
      <c r="AH103" s="128"/>
      <c r="AI103" s="128"/>
      <c r="AJ103" s="128"/>
      <c r="AK103" s="128"/>
      <c r="AL103" s="128"/>
      <c r="AM103" s="128"/>
      <c r="AN103" s="128"/>
      <c r="AO103" s="128"/>
      <c r="AP103" s="128"/>
      <c r="AQ103" s="128"/>
      <c r="AR103" s="128"/>
      <c r="AS103" s="128"/>
      <c r="AT103" s="128"/>
      <c r="AU103" s="128"/>
      <c r="AV103" s="128"/>
      <c r="AW103" s="128"/>
      <c r="AX103" s="128"/>
      <c r="AY103" s="128"/>
      <c r="AZ103" s="128"/>
      <c r="BA103" s="128"/>
      <c r="BB103" s="128"/>
      <c r="BC103" s="128"/>
      <c r="BD103" s="128"/>
      <c r="BE103" s="128"/>
      <c r="BF103" s="128"/>
      <c r="BG103" s="128"/>
      <c r="BH103" s="128"/>
      <c r="BI103" s="128"/>
      <c r="BJ103" s="128"/>
      <c r="BK103" s="128"/>
      <c r="BL103" s="128"/>
      <c r="BM103" s="128"/>
      <c r="BN103" s="128"/>
      <c r="BO103" s="128"/>
      <c r="BP103" s="128"/>
      <c r="BQ103" s="128"/>
    </row>
    <row r="104" spans="1:69" ht="14.25" customHeight="1">
      <c r="A104" s="128"/>
      <c r="B104" s="128"/>
      <c r="C104" s="128"/>
      <c r="D104" s="128"/>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c r="AA104" s="128"/>
      <c r="AB104" s="128"/>
      <c r="AC104" s="128"/>
      <c r="AD104" s="128"/>
      <c r="AE104" s="128"/>
      <c r="AF104" s="128"/>
      <c r="AG104" s="128"/>
      <c r="AH104" s="128"/>
      <c r="AI104" s="128"/>
      <c r="AJ104" s="128"/>
      <c r="AK104" s="128"/>
      <c r="AL104" s="128"/>
      <c r="AM104" s="128"/>
      <c r="AN104" s="128"/>
      <c r="AO104" s="128"/>
      <c r="AP104" s="128"/>
      <c r="AQ104" s="128"/>
      <c r="AR104" s="128"/>
      <c r="AS104" s="128"/>
      <c r="AT104" s="128"/>
      <c r="AU104" s="128"/>
      <c r="AV104" s="128"/>
      <c r="AW104" s="128"/>
      <c r="AX104" s="128"/>
      <c r="AY104" s="128"/>
      <c r="AZ104" s="128"/>
      <c r="BA104" s="128"/>
      <c r="BB104" s="128"/>
      <c r="BC104" s="128"/>
      <c r="BD104" s="128"/>
      <c r="BE104" s="128"/>
      <c r="BF104" s="128"/>
      <c r="BG104" s="128"/>
      <c r="BH104" s="128"/>
      <c r="BI104" s="128"/>
      <c r="BJ104" s="128"/>
      <c r="BK104" s="128"/>
      <c r="BL104" s="128"/>
      <c r="BM104" s="128"/>
      <c r="BN104" s="128"/>
      <c r="BO104" s="128"/>
      <c r="BP104" s="128"/>
      <c r="BQ104" s="128"/>
    </row>
    <row r="105" spans="1:69" ht="14.25" customHeight="1">
      <c r="A105" s="128"/>
      <c r="B105" s="128"/>
      <c r="C105" s="128"/>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c r="AA105" s="128"/>
      <c r="AB105" s="128"/>
      <c r="AC105" s="128"/>
      <c r="AD105" s="128"/>
      <c r="AE105" s="128"/>
      <c r="AF105" s="128"/>
      <c r="AG105" s="128"/>
      <c r="AH105" s="128"/>
      <c r="AI105" s="128"/>
      <c r="AJ105" s="128"/>
      <c r="AK105" s="128"/>
      <c r="AL105" s="128"/>
      <c r="AM105" s="128"/>
      <c r="AN105" s="128"/>
      <c r="AO105" s="128"/>
      <c r="AP105" s="128"/>
      <c r="AQ105" s="128"/>
      <c r="AR105" s="128"/>
      <c r="AS105" s="128"/>
      <c r="AT105" s="128"/>
      <c r="AU105" s="128"/>
      <c r="AV105" s="128"/>
      <c r="AW105" s="128"/>
      <c r="AX105" s="128"/>
      <c r="AY105" s="128"/>
      <c r="AZ105" s="128"/>
      <c r="BA105" s="128"/>
      <c r="BB105" s="128"/>
      <c r="BC105" s="128"/>
      <c r="BD105" s="128"/>
      <c r="BE105" s="128"/>
      <c r="BF105" s="128"/>
      <c r="BG105" s="128"/>
      <c r="BH105" s="128"/>
      <c r="BI105" s="128"/>
      <c r="BJ105" s="128"/>
      <c r="BK105" s="128"/>
      <c r="BL105" s="128"/>
      <c r="BM105" s="128"/>
      <c r="BN105" s="128"/>
      <c r="BO105" s="128"/>
      <c r="BP105" s="128"/>
      <c r="BQ105" s="128"/>
    </row>
    <row r="106" spans="1:69" ht="14.25" customHeight="1">
      <c r="A106" s="128"/>
      <c r="B106" s="128"/>
      <c r="C106" s="128"/>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c r="AA106" s="128"/>
      <c r="AB106" s="128"/>
      <c r="AC106" s="128"/>
      <c r="AD106" s="128"/>
      <c r="AE106" s="128"/>
      <c r="AF106" s="128"/>
      <c r="AG106" s="128"/>
      <c r="AH106" s="128"/>
      <c r="AI106" s="128"/>
      <c r="AJ106" s="128"/>
      <c r="AK106" s="128"/>
      <c r="AL106" s="128"/>
      <c r="AM106" s="128"/>
      <c r="AN106" s="128"/>
      <c r="AO106" s="128"/>
      <c r="AP106" s="128"/>
      <c r="AQ106" s="128"/>
      <c r="AR106" s="128"/>
      <c r="AS106" s="128"/>
      <c r="AT106" s="128"/>
      <c r="AU106" s="128"/>
      <c r="AV106" s="128"/>
      <c r="AW106" s="128"/>
      <c r="AX106" s="128"/>
      <c r="AY106" s="128"/>
      <c r="AZ106" s="128"/>
      <c r="BA106" s="128"/>
      <c r="BB106" s="128"/>
      <c r="BC106" s="128"/>
      <c r="BD106" s="128"/>
      <c r="BE106" s="128"/>
      <c r="BF106" s="128"/>
      <c r="BG106" s="128"/>
      <c r="BH106" s="128"/>
      <c r="BI106" s="128"/>
      <c r="BJ106" s="128"/>
      <c r="BK106" s="128"/>
      <c r="BL106" s="128"/>
      <c r="BM106" s="128"/>
      <c r="BN106" s="128"/>
      <c r="BO106" s="128"/>
      <c r="BP106" s="128"/>
      <c r="BQ106" s="128"/>
    </row>
    <row r="107" spans="1:69" ht="14.25" customHeight="1">
      <c r="A107" s="128"/>
      <c r="B107" s="128"/>
      <c r="C107" s="128"/>
      <c r="D107" s="128"/>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row>
    <row r="108" spans="1:69" ht="14.25" customHeight="1">
      <c r="A108" s="128"/>
      <c r="B108" s="128"/>
      <c r="C108" s="128"/>
      <c r="D108" s="128"/>
      <c r="E108" s="128"/>
      <c r="F108" s="128"/>
      <c r="G108" s="128"/>
      <c r="H108" s="128"/>
      <c r="I108" s="128"/>
      <c r="J108" s="128"/>
      <c r="K108" s="128"/>
      <c r="L108" s="128"/>
      <c r="M108" s="128"/>
      <c r="N108" s="128"/>
      <c r="O108" s="128"/>
      <c r="P108" s="128"/>
      <c r="Q108" s="128"/>
      <c r="R108" s="128"/>
      <c r="S108" s="128"/>
      <c r="T108" s="128"/>
      <c r="U108" s="128"/>
      <c r="V108" s="128"/>
      <c r="W108" s="128"/>
      <c r="X108" s="128"/>
      <c r="Y108" s="128"/>
      <c r="Z108" s="128"/>
      <c r="AA108" s="128"/>
      <c r="AB108" s="128"/>
      <c r="AC108" s="128"/>
      <c r="AD108" s="128"/>
      <c r="AE108" s="128"/>
      <c r="AF108" s="128"/>
      <c r="AG108" s="128"/>
      <c r="AH108" s="128"/>
      <c r="AI108" s="128"/>
      <c r="AJ108" s="128"/>
      <c r="AK108" s="128"/>
      <c r="AL108" s="128"/>
      <c r="AM108" s="128"/>
      <c r="AN108" s="128"/>
      <c r="AO108" s="128"/>
      <c r="AP108" s="128"/>
      <c r="AQ108" s="128"/>
      <c r="AR108" s="128"/>
      <c r="AS108" s="128"/>
      <c r="AT108" s="128"/>
      <c r="AU108" s="128"/>
      <c r="AV108" s="128"/>
      <c r="AW108" s="128"/>
      <c r="AX108" s="128"/>
      <c r="AY108" s="128"/>
      <c r="AZ108" s="128"/>
      <c r="BA108" s="128"/>
      <c r="BB108" s="128"/>
      <c r="BC108" s="128"/>
      <c r="BD108" s="128"/>
      <c r="BE108" s="128"/>
      <c r="BF108" s="128"/>
      <c r="BG108" s="128"/>
      <c r="BH108" s="128"/>
      <c r="BI108" s="128"/>
      <c r="BJ108" s="128"/>
      <c r="BK108" s="128"/>
      <c r="BL108" s="128"/>
      <c r="BM108" s="128"/>
      <c r="BN108" s="128"/>
      <c r="BO108" s="128"/>
      <c r="BP108" s="128"/>
      <c r="BQ108" s="128"/>
    </row>
    <row r="109" spans="1:69" ht="14.25" customHeight="1">
      <c r="A109" s="128"/>
      <c r="B109" s="128"/>
      <c r="C109" s="128"/>
      <c r="D109" s="128"/>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28"/>
      <c r="AA109" s="128"/>
      <c r="AB109" s="128"/>
      <c r="AC109" s="128"/>
      <c r="AD109" s="128"/>
      <c r="AE109" s="128"/>
      <c r="AF109" s="128"/>
      <c r="AG109" s="128"/>
      <c r="AH109" s="128"/>
      <c r="AI109" s="128"/>
      <c r="AJ109" s="128"/>
      <c r="AK109" s="128"/>
      <c r="AL109" s="128"/>
      <c r="AM109" s="128"/>
      <c r="AN109" s="128"/>
      <c r="AO109" s="128"/>
      <c r="AP109" s="128"/>
      <c r="AQ109" s="128"/>
      <c r="AR109" s="128"/>
      <c r="AS109" s="128"/>
      <c r="AT109" s="128"/>
      <c r="AU109" s="128"/>
      <c r="AV109" s="128"/>
      <c r="AW109" s="128"/>
      <c r="AX109" s="128"/>
      <c r="AY109" s="128"/>
      <c r="AZ109" s="128"/>
      <c r="BA109" s="128"/>
      <c r="BB109" s="128"/>
      <c r="BC109" s="128"/>
      <c r="BD109" s="128"/>
      <c r="BE109" s="128"/>
      <c r="BF109" s="128"/>
      <c r="BG109" s="128"/>
      <c r="BH109" s="128"/>
      <c r="BI109" s="128"/>
      <c r="BJ109" s="128"/>
      <c r="BK109" s="128"/>
      <c r="BL109" s="128"/>
      <c r="BM109" s="128"/>
      <c r="BN109" s="128"/>
      <c r="BO109" s="128"/>
      <c r="BP109" s="128"/>
      <c r="BQ109" s="128"/>
    </row>
    <row r="110" spans="1:69" ht="14.25" customHeight="1">
      <c r="A110" s="128"/>
      <c r="B110" s="128"/>
      <c r="C110" s="128"/>
      <c r="D110" s="128"/>
      <c r="E110" s="128"/>
      <c r="F110" s="128"/>
      <c r="G110" s="128"/>
      <c r="H110" s="128"/>
      <c r="I110" s="128"/>
      <c r="J110" s="128"/>
      <c r="K110" s="128"/>
      <c r="L110" s="128"/>
      <c r="M110" s="128"/>
      <c r="N110" s="128"/>
      <c r="O110" s="128"/>
      <c r="P110" s="128"/>
      <c r="Q110" s="128"/>
      <c r="R110" s="128"/>
      <c r="S110" s="128"/>
      <c r="T110" s="128"/>
      <c r="U110" s="128"/>
      <c r="V110" s="128"/>
      <c r="W110" s="128"/>
      <c r="X110" s="128"/>
      <c r="Y110" s="128"/>
      <c r="Z110" s="128"/>
      <c r="AA110" s="128"/>
      <c r="AB110" s="128"/>
      <c r="AC110" s="128"/>
      <c r="AD110" s="128"/>
      <c r="AE110" s="128"/>
      <c r="AF110" s="128"/>
      <c r="AG110" s="128"/>
      <c r="AH110" s="128"/>
      <c r="AI110" s="128"/>
      <c r="AJ110" s="128"/>
      <c r="AK110" s="128"/>
      <c r="AL110" s="128"/>
      <c r="AM110" s="128"/>
      <c r="AN110" s="128"/>
      <c r="AO110" s="128"/>
      <c r="AP110" s="128"/>
      <c r="AQ110" s="128"/>
      <c r="AR110" s="128"/>
      <c r="AS110" s="128"/>
      <c r="AT110" s="128"/>
      <c r="AU110" s="128"/>
      <c r="AV110" s="128"/>
      <c r="AW110" s="128"/>
      <c r="AX110" s="128"/>
      <c r="AY110" s="128"/>
      <c r="AZ110" s="128"/>
      <c r="BA110" s="128"/>
      <c r="BB110" s="128"/>
      <c r="BC110" s="128"/>
      <c r="BD110" s="128"/>
      <c r="BE110" s="128"/>
      <c r="BF110" s="128"/>
      <c r="BG110" s="128"/>
      <c r="BH110" s="128"/>
      <c r="BI110" s="128"/>
      <c r="BJ110" s="128"/>
      <c r="BK110" s="128"/>
      <c r="BL110" s="128"/>
      <c r="BM110" s="128"/>
      <c r="BN110" s="128"/>
      <c r="BO110" s="128"/>
      <c r="BP110" s="128"/>
      <c r="BQ110" s="128"/>
    </row>
    <row r="111" spans="1:69" ht="14.25" customHeight="1">
      <c r="A111" s="128"/>
      <c r="B111" s="128"/>
      <c r="C111" s="128"/>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c r="AA111" s="128"/>
      <c r="AB111" s="128"/>
      <c r="AC111" s="128"/>
      <c r="AD111" s="128"/>
      <c r="AE111" s="128"/>
      <c r="AF111" s="128"/>
      <c r="AG111" s="128"/>
      <c r="AH111" s="128"/>
      <c r="AI111" s="128"/>
      <c r="AJ111" s="128"/>
      <c r="AK111" s="128"/>
      <c r="AL111" s="128"/>
      <c r="AM111" s="128"/>
      <c r="AN111" s="128"/>
      <c r="AO111" s="128"/>
      <c r="AP111" s="128"/>
      <c r="AQ111" s="128"/>
      <c r="AR111" s="128"/>
      <c r="AS111" s="128"/>
      <c r="AT111" s="128"/>
      <c r="AU111" s="128"/>
      <c r="AV111" s="128"/>
      <c r="AW111" s="128"/>
      <c r="AX111" s="128"/>
      <c r="AY111" s="128"/>
      <c r="AZ111" s="128"/>
      <c r="BA111" s="128"/>
      <c r="BB111" s="128"/>
      <c r="BC111" s="128"/>
      <c r="BD111" s="128"/>
      <c r="BE111" s="128"/>
      <c r="BF111" s="128"/>
      <c r="BG111" s="128"/>
      <c r="BH111" s="128"/>
      <c r="BI111" s="128"/>
      <c r="BJ111" s="128"/>
      <c r="BK111" s="128"/>
      <c r="BL111" s="128"/>
      <c r="BM111" s="128"/>
      <c r="BN111" s="128"/>
      <c r="BO111" s="128"/>
      <c r="BP111" s="128"/>
      <c r="BQ111" s="128"/>
    </row>
    <row r="112" spans="1:69" ht="14.25" customHeight="1">
      <c r="A112" s="128"/>
      <c r="B112" s="128"/>
      <c r="C112" s="128"/>
      <c r="D112" s="128"/>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28"/>
      <c r="AS112" s="128"/>
      <c r="AT112" s="128"/>
      <c r="AU112" s="128"/>
      <c r="AV112" s="128"/>
      <c r="AW112" s="128"/>
      <c r="AX112" s="128"/>
      <c r="AY112" s="128"/>
      <c r="AZ112" s="128"/>
      <c r="BA112" s="128"/>
      <c r="BB112" s="128"/>
      <c r="BC112" s="128"/>
      <c r="BD112" s="128"/>
      <c r="BE112" s="128"/>
      <c r="BF112" s="128"/>
      <c r="BG112" s="128"/>
      <c r="BH112" s="128"/>
      <c r="BI112" s="128"/>
      <c r="BJ112" s="128"/>
      <c r="BK112" s="128"/>
      <c r="BL112" s="128"/>
      <c r="BM112" s="128"/>
      <c r="BN112" s="128"/>
      <c r="BO112" s="128"/>
      <c r="BP112" s="128"/>
      <c r="BQ112" s="128"/>
    </row>
    <row r="113" spans="1:69" ht="14.25" customHeight="1">
      <c r="A113" s="128"/>
      <c r="B113" s="128"/>
      <c r="C113" s="128"/>
      <c r="D113" s="128"/>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row>
    <row r="114" spans="1:69" ht="14.25" customHeight="1">
      <c r="A114" s="128"/>
      <c r="B114" s="128"/>
      <c r="C114" s="128"/>
      <c r="D114" s="128"/>
      <c r="E114" s="128"/>
      <c r="F114" s="128"/>
      <c r="G114" s="128"/>
      <c r="H114" s="128"/>
      <c r="I114" s="128"/>
      <c r="J114" s="128"/>
      <c r="K114" s="128"/>
      <c r="L114" s="128"/>
      <c r="M114" s="128"/>
      <c r="N114" s="128"/>
      <c r="O114" s="128"/>
      <c r="P114" s="128"/>
      <c r="Q114" s="128"/>
      <c r="R114" s="128"/>
      <c r="S114" s="128"/>
      <c r="T114" s="128"/>
      <c r="U114" s="128"/>
      <c r="V114" s="128"/>
      <c r="W114" s="128"/>
      <c r="X114" s="128"/>
      <c r="Y114" s="128"/>
      <c r="Z114" s="128"/>
      <c r="AA114" s="128"/>
      <c r="AB114" s="128"/>
      <c r="AC114" s="128"/>
      <c r="AD114" s="128"/>
      <c r="AE114" s="128"/>
      <c r="AF114" s="128"/>
      <c r="AG114" s="128"/>
      <c r="AH114" s="128"/>
      <c r="AI114" s="128"/>
      <c r="AJ114" s="128"/>
      <c r="AK114" s="128"/>
      <c r="AL114" s="128"/>
      <c r="AM114" s="128"/>
      <c r="AN114" s="128"/>
      <c r="AO114" s="128"/>
      <c r="AP114" s="128"/>
      <c r="AQ114" s="128"/>
      <c r="AR114" s="128"/>
      <c r="AS114" s="128"/>
      <c r="AT114" s="128"/>
      <c r="AU114" s="128"/>
      <c r="AV114" s="128"/>
      <c r="AW114" s="128"/>
      <c r="AX114" s="128"/>
      <c r="AY114" s="128"/>
      <c r="AZ114" s="128"/>
      <c r="BA114" s="128"/>
      <c r="BB114" s="128"/>
      <c r="BC114" s="128"/>
      <c r="BD114" s="128"/>
      <c r="BE114" s="128"/>
      <c r="BF114" s="128"/>
      <c r="BG114" s="128"/>
      <c r="BH114" s="128"/>
      <c r="BI114" s="128"/>
      <c r="BJ114" s="128"/>
      <c r="BK114" s="128"/>
      <c r="BL114" s="128"/>
      <c r="BM114" s="128"/>
      <c r="BN114" s="128"/>
      <c r="BO114" s="128"/>
      <c r="BP114" s="128"/>
      <c r="BQ114" s="128"/>
    </row>
    <row r="115" spans="1:69" ht="14.25" customHeight="1">
      <c r="A115" s="128"/>
      <c r="B115" s="128"/>
      <c r="C115" s="128"/>
      <c r="D115" s="128"/>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28"/>
      <c r="AA115" s="128"/>
      <c r="AB115" s="128"/>
      <c r="AC115" s="128"/>
      <c r="AD115" s="128"/>
      <c r="AE115" s="128"/>
      <c r="AF115" s="128"/>
      <c r="AG115" s="128"/>
      <c r="AH115" s="128"/>
      <c r="AI115" s="128"/>
      <c r="AJ115" s="128"/>
      <c r="AK115" s="128"/>
      <c r="AL115" s="128"/>
      <c r="AM115" s="128"/>
      <c r="AN115" s="128"/>
      <c r="AO115" s="128"/>
      <c r="AP115" s="128"/>
      <c r="AQ115" s="128"/>
      <c r="AR115" s="128"/>
      <c r="AS115" s="128"/>
      <c r="AT115" s="128"/>
      <c r="AU115" s="128"/>
      <c r="AV115" s="128"/>
      <c r="AW115" s="128"/>
      <c r="AX115" s="128"/>
      <c r="AY115" s="128"/>
      <c r="AZ115" s="128"/>
      <c r="BA115" s="128"/>
      <c r="BB115" s="128"/>
      <c r="BC115" s="128"/>
      <c r="BD115" s="128"/>
      <c r="BE115" s="128"/>
      <c r="BF115" s="128"/>
      <c r="BG115" s="128"/>
      <c r="BH115" s="128"/>
      <c r="BI115" s="128"/>
      <c r="BJ115" s="128"/>
      <c r="BK115" s="128"/>
      <c r="BL115" s="128"/>
      <c r="BM115" s="128"/>
      <c r="BN115" s="128"/>
      <c r="BO115" s="128"/>
      <c r="BP115" s="128"/>
      <c r="BQ115" s="128"/>
    </row>
    <row r="116" spans="1:69" ht="14.25" customHeight="1">
      <c r="A116" s="128"/>
      <c r="B116" s="128"/>
      <c r="C116" s="128"/>
      <c r="D116" s="128"/>
      <c r="E116" s="128"/>
      <c r="F116" s="128"/>
      <c r="G116" s="128"/>
      <c r="H116" s="128"/>
      <c r="I116" s="128"/>
      <c r="J116" s="128"/>
      <c r="K116" s="128"/>
      <c r="L116" s="128"/>
      <c r="M116" s="128"/>
      <c r="N116" s="128"/>
      <c r="O116" s="128"/>
      <c r="P116" s="128"/>
      <c r="Q116" s="128"/>
      <c r="R116" s="128"/>
      <c r="S116" s="128"/>
      <c r="T116" s="128"/>
      <c r="U116" s="128"/>
      <c r="V116" s="128"/>
      <c r="W116" s="128"/>
      <c r="X116" s="128"/>
      <c r="Y116" s="128"/>
      <c r="Z116" s="128"/>
      <c r="AA116" s="128"/>
      <c r="AB116" s="128"/>
      <c r="AC116" s="128"/>
      <c r="AD116" s="128"/>
      <c r="AE116" s="128"/>
      <c r="AF116" s="128"/>
      <c r="AG116" s="128"/>
      <c r="AH116" s="128"/>
      <c r="AI116" s="128"/>
      <c r="AJ116" s="128"/>
      <c r="AK116" s="128"/>
      <c r="AL116" s="128"/>
      <c r="AM116" s="128"/>
      <c r="AN116" s="128"/>
      <c r="AO116" s="128"/>
      <c r="AP116" s="128"/>
      <c r="AQ116" s="128"/>
      <c r="AR116" s="128"/>
      <c r="AS116" s="128"/>
      <c r="AT116" s="128"/>
      <c r="AU116" s="128"/>
      <c r="AV116" s="128"/>
      <c r="AW116" s="128"/>
      <c r="AX116" s="128"/>
      <c r="AY116" s="128"/>
      <c r="AZ116" s="128"/>
      <c r="BA116" s="128"/>
      <c r="BB116" s="128"/>
      <c r="BC116" s="128"/>
      <c r="BD116" s="128"/>
      <c r="BE116" s="128"/>
      <c r="BF116" s="128"/>
      <c r="BG116" s="128"/>
      <c r="BH116" s="128"/>
      <c r="BI116" s="128"/>
      <c r="BJ116" s="128"/>
      <c r="BK116" s="128"/>
      <c r="BL116" s="128"/>
      <c r="BM116" s="128"/>
      <c r="BN116" s="128"/>
      <c r="BO116" s="128"/>
      <c r="BP116" s="128"/>
      <c r="BQ116" s="128"/>
    </row>
    <row r="117" spans="1:69" ht="14.25" customHeight="1">
      <c r="A117" s="128"/>
      <c r="B117" s="128"/>
      <c r="C117" s="128"/>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c r="AA117" s="128"/>
      <c r="AB117" s="128"/>
      <c r="AC117" s="128"/>
      <c r="AD117" s="128"/>
      <c r="AE117" s="128"/>
      <c r="AF117" s="128"/>
      <c r="AG117" s="128"/>
      <c r="AH117" s="128"/>
      <c r="AI117" s="128"/>
      <c r="AJ117" s="128"/>
      <c r="AK117" s="128"/>
      <c r="AL117" s="128"/>
      <c r="AM117" s="128"/>
      <c r="AN117" s="128"/>
      <c r="AO117" s="128"/>
      <c r="AP117" s="128"/>
      <c r="AQ117" s="128"/>
      <c r="AR117" s="128"/>
      <c r="AS117" s="128"/>
      <c r="AT117" s="128"/>
      <c r="AU117" s="128"/>
      <c r="AV117" s="128"/>
      <c r="AW117" s="128"/>
      <c r="AX117" s="128"/>
      <c r="AY117" s="128"/>
      <c r="AZ117" s="128"/>
      <c r="BA117" s="128"/>
      <c r="BB117" s="128"/>
      <c r="BC117" s="128"/>
      <c r="BD117" s="128"/>
      <c r="BE117" s="128"/>
      <c r="BF117" s="128"/>
      <c r="BG117" s="128"/>
      <c r="BH117" s="128"/>
      <c r="BI117" s="128"/>
      <c r="BJ117" s="128"/>
      <c r="BK117" s="128"/>
      <c r="BL117" s="128"/>
      <c r="BM117" s="128"/>
      <c r="BN117" s="128"/>
      <c r="BO117" s="128"/>
      <c r="BP117" s="128"/>
      <c r="BQ117" s="128"/>
    </row>
    <row r="118" spans="1:69" ht="14.25" customHeight="1">
      <c r="A118" s="128"/>
      <c r="B118" s="128"/>
      <c r="C118" s="128"/>
      <c r="D118" s="128"/>
      <c r="E118" s="128"/>
      <c r="F118" s="128"/>
      <c r="G118" s="128"/>
      <c r="H118" s="128"/>
      <c r="I118" s="128"/>
      <c r="J118" s="128"/>
      <c r="K118" s="128"/>
      <c r="L118" s="128"/>
      <c r="M118" s="128"/>
      <c r="N118" s="128"/>
      <c r="O118" s="128"/>
      <c r="P118" s="128"/>
      <c r="Q118" s="128"/>
      <c r="R118" s="128"/>
      <c r="S118" s="128"/>
      <c r="T118" s="128"/>
      <c r="U118" s="128"/>
      <c r="V118" s="128"/>
      <c r="W118" s="128"/>
      <c r="X118" s="128"/>
      <c r="Y118" s="128"/>
      <c r="Z118" s="128"/>
      <c r="AA118" s="128"/>
      <c r="AB118" s="128"/>
      <c r="AC118" s="128"/>
      <c r="AD118" s="128"/>
      <c r="AE118" s="128"/>
      <c r="AF118" s="128"/>
      <c r="AG118" s="128"/>
      <c r="AH118" s="128"/>
      <c r="AI118" s="128"/>
      <c r="AJ118" s="128"/>
      <c r="AK118" s="128"/>
      <c r="AL118" s="128"/>
      <c r="AM118" s="128"/>
      <c r="AN118" s="128"/>
      <c r="AO118" s="128"/>
      <c r="AP118" s="128"/>
      <c r="AQ118" s="128"/>
      <c r="AR118" s="128"/>
      <c r="AS118" s="128"/>
      <c r="AT118" s="128"/>
      <c r="AU118" s="128"/>
      <c r="AV118" s="128"/>
      <c r="AW118" s="128"/>
      <c r="AX118" s="128"/>
      <c r="AY118" s="128"/>
      <c r="AZ118" s="128"/>
      <c r="BA118" s="128"/>
      <c r="BB118" s="128"/>
      <c r="BC118" s="128"/>
      <c r="BD118" s="128"/>
      <c r="BE118" s="128"/>
      <c r="BF118" s="128"/>
      <c r="BG118" s="128"/>
      <c r="BH118" s="128"/>
      <c r="BI118" s="128"/>
      <c r="BJ118" s="128"/>
      <c r="BK118" s="128"/>
      <c r="BL118" s="128"/>
      <c r="BM118" s="128"/>
      <c r="BN118" s="128"/>
      <c r="BO118" s="128"/>
      <c r="BP118" s="128"/>
      <c r="BQ118" s="128"/>
    </row>
    <row r="119" spans="1:69" ht="14.25" customHeight="1">
      <c r="A119" s="128"/>
      <c r="B119" s="128"/>
      <c r="C119" s="128"/>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c r="AA119" s="128"/>
      <c r="AB119" s="128"/>
      <c r="AC119" s="128"/>
      <c r="AD119" s="128"/>
      <c r="AE119" s="128"/>
      <c r="AF119" s="128"/>
      <c r="AG119" s="128"/>
      <c r="AH119" s="128"/>
      <c r="AI119" s="128"/>
      <c r="AJ119" s="128"/>
      <c r="AK119" s="128"/>
      <c r="AL119" s="128"/>
      <c r="AM119" s="128"/>
      <c r="AN119" s="128"/>
      <c r="AO119" s="128"/>
      <c r="AP119" s="128"/>
      <c r="AQ119" s="128"/>
      <c r="AR119" s="128"/>
      <c r="AS119" s="128"/>
      <c r="AT119" s="128"/>
      <c r="AU119" s="128"/>
      <c r="AV119" s="128"/>
      <c r="AW119" s="128"/>
      <c r="AX119" s="128"/>
      <c r="AY119" s="128"/>
      <c r="AZ119" s="128"/>
      <c r="BA119" s="128"/>
      <c r="BB119" s="128"/>
      <c r="BC119" s="128"/>
      <c r="BD119" s="128"/>
      <c r="BE119" s="128"/>
      <c r="BF119" s="128"/>
      <c r="BG119" s="128"/>
      <c r="BH119" s="128"/>
      <c r="BI119" s="128"/>
      <c r="BJ119" s="128"/>
      <c r="BK119" s="128"/>
      <c r="BL119" s="128"/>
      <c r="BM119" s="128"/>
      <c r="BN119" s="128"/>
      <c r="BO119" s="128"/>
      <c r="BP119" s="128"/>
      <c r="BQ119" s="128"/>
    </row>
    <row r="120" spans="1:69" ht="14.25" customHeight="1">
      <c r="A120" s="128"/>
      <c r="B120" s="128"/>
      <c r="C120" s="128"/>
      <c r="D120" s="128"/>
      <c r="E120" s="128"/>
      <c r="F120" s="128"/>
      <c r="G120" s="128"/>
      <c r="H120" s="128"/>
      <c r="I120" s="128"/>
      <c r="J120" s="128"/>
      <c r="K120" s="128"/>
      <c r="L120" s="128"/>
      <c r="M120" s="128"/>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row>
    <row r="121" spans="1:69" ht="14.25" customHeight="1">
      <c r="A121" s="128"/>
      <c r="B121" s="128"/>
      <c r="C121" s="128"/>
      <c r="D121" s="128"/>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28"/>
      <c r="AA121" s="128"/>
      <c r="AB121" s="128"/>
      <c r="AC121" s="128"/>
      <c r="AD121" s="128"/>
      <c r="AE121" s="128"/>
      <c r="AF121" s="128"/>
      <c r="AG121" s="128"/>
      <c r="AH121" s="128"/>
      <c r="AI121" s="128"/>
      <c r="AJ121" s="128"/>
      <c r="AK121" s="128"/>
      <c r="AL121" s="128"/>
      <c r="AM121" s="128"/>
      <c r="AN121" s="128"/>
      <c r="AO121" s="128"/>
      <c r="AP121" s="128"/>
      <c r="AQ121" s="128"/>
      <c r="AR121" s="128"/>
      <c r="AS121" s="128"/>
      <c r="AT121" s="128"/>
      <c r="AU121" s="128"/>
      <c r="AV121" s="128"/>
      <c r="AW121" s="128"/>
      <c r="AX121" s="128"/>
      <c r="AY121" s="128"/>
      <c r="AZ121" s="128"/>
      <c r="BA121" s="128"/>
      <c r="BB121" s="128"/>
      <c r="BC121" s="128"/>
      <c r="BD121" s="128"/>
      <c r="BE121" s="128"/>
      <c r="BF121" s="128"/>
      <c r="BG121" s="128"/>
      <c r="BH121" s="128"/>
      <c r="BI121" s="128"/>
      <c r="BJ121" s="128"/>
      <c r="BK121" s="128"/>
      <c r="BL121" s="128"/>
      <c r="BM121" s="128"/>
      <c r="BN121" s="128"/>
      <c r="BO121" s="128"/>
      <c r="BP121" s="128"/>
      <c r="BQ121" s="128"/>
    </row>
    <row r="122" spans="1:69" ht="14.25" customHeight="1">
      <c r="A122" s="128"/>
      <c r="B122" s="128"/>
      <c r="C122" s="128"/>
      <c r="D122" s="128"/>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c r="AA122" s="128"/>
      <c r="AB122" s="128"/>
      <c r="AC122" s="128"/>
      <c r="AD122" s="128"/>
      <c r="AE122" s="128"/>
      <c r="AF122" s="128"/>
      <c r="AG122" s="128"/>
      <c r="AH122" s="128"/>
      <c r="AI122" s="128"/>
      <c r="AJ122" s="128"/>
      <c r="AK122" s="128"/>
      <c r="AL122" s="128"/>
      <c r="AM122" s="128"/>
      <c r="AN122" s="128"/>
      <c r="AO122" s="128"/>
      <c r="AP122" s="128"/>
      <c r="AQ122" s="128"/>
      <c r="AR122" s="128"/>
      <c r="AS122" s="128"/>
      <c r="AT122" s="128"/>
      <c r="AU122" s="128"/>
      <c r="AV122" s="128"/>
      <c r="AW122" s="128"/>
      <c r="AX122" s="128"/>
      <c r="AY122" s="128"/>
      <c r="AZ122" s="128"/>
      <c r="BA122" s="128"/>
      <c r="BB122" s="128"/>
      <c r="BC122" s="128"/>
      <c r="BD122" s="128"/>
      <c r="BE122" s="128"/>
      <c r="BF122" s="128"/>
      <c r="BG122" s="128"/>
      <c r="BH122" s="128"/>
      <c r="BI122" s="128"/>
      <c r="BJ122" s="128"/>
      <c r="BK122" s="128"/>
      <c r="BL122" s="128"/>
      <c r="BM122" s="128"/>
      <c r="BN122" s="128"/>
      <c r="BO122" s="128"/>
      <c r="BP122" s="128"/>
      <c r="BQ122" s="128"/>
    </row>
    <row r="123" spans="1:69" ht="14.25" customHeight="1">
      <c r="A123" s="128"/>
      <c r="B123" s="128"/>
      <c r="C123" s="128"/>
      <c r="D123" s="128"/>
      <c r="E123" s="128"/>
      <c r="F123" s="128"/>
      <c r="G123" s="128"/>
      <c r="H123" s="128"/>
      <c r="I123" s="128"/>
      <c r="J123" s="128"/>
      <c r="K123" s="128"/>
      <c r="L123" s="128"/>
      <c r="M123" s="128"/>
      <c r="N123" s="128"/>
      <c r="O123" s="128"/>
      <c r="P123" s="128"/>
      <c r="Q123" s="128"/>
      <c r="R123" s="128"/>
      <c r="S123" s="128"/>
      <c r="T123" s="128"/>
      <c r="U123" s="128"/>
      <c r="V123" s="128"/>
      <c r="W123" s="128"/>
      <c r="X123" s="128"/>
      <c r="Y123" s="128"/>
      <c r="Z123" s="128"/>
      <c r="AA123" s="128"/>
      <c r="AB123" s="128"/>
      <c r="AC123" s="128"/>
      <c r="AD123" s="128"/>
      <c r="AE123" s="128"/>
      <c r="AF123" s="128"/>
      <c r="AG123" s="128"/>
      <c r="AH123" s="128"/>
      <c r="AI123" s="128"/>
      <c r="AJ123" s="128"/>
      <c r="AK123" s="128"/>
      <c r="AL123" s="128"/>
      <c r="AM123" s="128"/>
      <c r="AN123" s="128"/>
      <c r="AO123" s="128"/>
      <c r="AP123" s="128"/>
      <c r="AQ123" s="128"/>
      <c r="AR123" s="128"/>
      <c r="AS123" s="128"/>
      <c r="AT123" s="128"/>
      <c r="AU123" s="128"/>
      <c r="AV123" s="128"/>
      <c r="AW123" s="128"/>
      <c r="AX123" s="128"/>
      <c r="AY123" s="128"/>
      <c r="AZ123" s="128"/>
      <c r="BA123" s="128"/>
      <c r="BB123" s="128"/>
      <c r="BC123" s="128"/>
      <c r="BD123" s="128"/>
      <c r="BE123" s="128"/>
      <c r="BF123" s="128"/>
      <c r="BG123" s="128"/>
      <c r="BH123" s="128"/>
      <c r="BI123" s="128"/>
      <c r="BJ123" s="128"/>
      <c r="BK123" s="128"/>
      <c r="BL123" s="128"/>
      <c r="BM123" s="128"/>
      <c r="BN123" s="128"/>
      <c r="BO123" s="128"/>
      <c r="BP123" s="128"/>
      <c r="BQ123" s="128"/>
    </row>
    <row r="124" spans="1:69" ht="14.25" customHeight="1">
      <c r="A124" s="128"/>
      <c r="B124" s="128"/>
      <c r="C124" s="128"/>
      <c r="D124" s="128"/>
      <c r="E124" s="128"/>
      <c r="F124" s="128"/>
      <c r="G124" s="128"/>
      <c r="H124" s="128"/>
      <c r="I124" s="128"/>
      <c r="J124" s="128"/>
      <c r="K124" s="128"/>
      <c r="L124" s="128"/>
      <c r="M124" s="128"/>
      <c r="N124" s="128"/>
      <c r="O124" s="128"/>
      <c r="P124" s="128"/>
      <c r="Q124" s="128"/>
      <c r="R124" s="128"/>
      <c r="S124" s="128"/>
      <c r="T124" s="128"/>
      <c r="U124" s="128"/>
      <c r="V124" s="128"/>
      <c r="W124" s="128"/>
      <c r="X124" s="128"/>
      <c r="Y124" s="128"/>
      <c r="Z124" s="128"/>
      <c r="AA124" s="128"/>
      <c r="AB124" s="128"/>
      <c r="AC124" s="128"/>
      <c r="AD124" s="128"/>
      <c r="AE124" s="128"/>
      <c r="AF124" s="128"/>
      <c r="AG124" s="128"/>
      <c r="AH124" s="128"/>
      <c r="AI124" s="128"/>
      <c r="AJ124" s="128"/>
      <c r="AK124" s="128"/>
      <c r="AL124" s="128"/>
      <c r="AM124" s="128"/>
      <c r="AN124" s="128"/>
      <c r="AO124" s="128"/>
      <c r="AP124" s="128"/>
      <c r="AQ124" s="128"/>
      <c r="AR124" s="128"/>
      <c r="AS124" s="128"/>
      <c r="AT124" s="128"/>
      <c r="AU124" s="128"/>
      <c r="AV124" s="128"/>
      <c r="AW124" s="128"/>
      <c r="AX124" s="128"/>
      <c r="AY124" s="128"/>
      <c r="AZ124" s="128"/>
      <c r="BA124" s="128"/>
      <c r="BB124" s="128"/>
      <c r="BC124" s="128"/>
      <c r="BD124" s="128"/>
      <c r="BE124" s="128"/>
      <c r="BF124" s="128"/>
      <c r="BG124" s="128"/>
      <c r="BH124" s="128"/>
      <c r="BI124" s="128"/>
      <c r="BJ124" s="128"/>
      <c r="BK124" s="128"/>
      <c r="BL124" s="128"/>
      <c r="BM124" s="128"/>
      <c r="BN124" s="128"/>
      <c r="BO124" s="128"/>
      <c r="BP124" s="128"/>
      <c r="BQ124" s="128"/>
    </row>
    <row r="125" spans="1:69" ht="14.25" customHeight="1">
      <c r="A125" s="128"/>
      <c r="B125" s="128"/>
      <c r="C125" s="128"/>
      <c r="D125" s="128"/>
      <c r="E125" s="128"/>
      <c r="F125" s="128"/>
      <c r="G125" s="128"/>
      <c r="H125" s="128"/>
      <c r="I125" s="128"/>
      <c r="J125" s="128"/>
      <c r="K125" s="128"/>
      <c r="L125" s="128"/>
      <c r="M125" s="128"/>
      <c r="N125" s="128"/>
      <c r="O125" s="128"/>
      <c r="P125" s="128"/>
      <c r="Q125" s="128"/>
      <c r="R125" s="128"/>
      <c r="S125" s="128"/>
      <c r="T125" s="128"/>
      <c r="U125" s="128"/>
      <c r="V125" s="128"/>
      <c r="W125" s="128"/>
      <c r="X125" s="128"/>
      <c r="Y125" s="128"/>
      <c r="Z125" s="128"/>
      <c r="AA125" s="128"/>
      <c r="AB125" s="128"/>
      <c r="AC125" s="128"/>
      <c r="AD125" s="128"/>
      <c r="AE125" s="128"/>
      <c r="AF125" s="128"/>
      <c r="AG125" s="128"/>
      <c r="AH125" s="128"/>
      <c r="AI125" s="128"/>
      <c r="AJ125" s="128"/>
      <c r="AK125" s="128"/>
      <c r="AL125" s="128"/>
      <c r="AM125" s="128"/>
      <c r="AN125" s="128"/>
      <c r="AO125" s="128"/>
      <c r="AP125" s="128"/>
      <c r="AQ125" s="128"/>
      <c r="AR125" s="128"/>
      <c r="AS125" s="128"/>
      <c r="AT125" s="128"/>
      <c r="AU125" s="128"/>
      <c r="AV125" s="128"/>
      <c r="AW125" s="128"/>
      <c r="AX125" s="128"/>
      <c r="AY125" s="128"/>
      <c r="AZ125" s="128"/>
      <c r="BA125" s="128"/>
      <c r="BB125" s="128"/>
      <c r="BC125" s="128"/>
      <c r="BD125" s="128"/>
      <c r="BE125" s="128"/>
      <c r="BF125" s="128"/>
      <c r="BG125" s="128"/>
      <c r="BH125" s="128"/>
      <c r="BI125" s="128"/>
      <c r="BJ125" s="128"/>
      <c r="BK125" s="128"/>
      <c r="BL125" s="128"/>
      <c r="BM125" s="128"/>
      <c r="BN125" s="128"/>
      <c r="BO125" s="128"/>
      <c r="BP125" s="128"/>
      <c r="BQ125" s="128"/>
    </row>
    <row r="126" spans="1:69" ht="14.25" customHeight="1">
      <c r="A126" s="128"/>
      <c r="B126" s="128"/>
      <c r="C126" s="128"/>
      <c r="D126" s="128"/>
      <c r="E126" s="128"/>
      <c r="F126" s="128"/>
      <c r="G126" s="128"/>
      <c r="H126" s="128"/>
      <c r="I126" s="128"/>
      <c r="J126" s="128"/>
      <c r="K126" s="128"/>
      <c r="L126" s="128"/>
      <c r="M126" s="128"/>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row>
    <row r="127" spans="1:69" ht="14.25" customHeight="1">
      <c r="A127" s="128"/>
      <c r="B127" s="128"/>
      <c r="C127" s="128"/>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c r="AA127" s="128"/>
      <c r="AB127" s="128"/>
      <c r="AC127" s="128"/>
      <c r="AD127" s="128"/>
      <c r="AE127" s="128"/>
      <c r="AF127" s="128"/>
      <c r="AG127" s="128"/>
      <c r="AH127" s="128"/>
      <c r="AI127" s="128"/>
      <c r="AJ127" s="128"/>
      <c r="AK127" s="128"/>
      <c r="AL127" s="128"/>
      <c r="AM127" s="128"/>
      <c r="AN127" s="128"/>
      <c r="AO127" s="128"/>
      <c r="AP127" s="128"/>
      <c r="AQ127" s="128"/>
      <c r="AR127" s="128"/>
      <c r="AS127" s="128"/>
      <c r="AT127" s="128"/>
      <c r="AU127" s="128"/>
      <c r="AV127" s="128"/>
      <c r="AW127" s="128"/>
      <c r="AX127" s="128"/>
      <c r="AY127" s="128"/>
      <c r="AZ127" s="128"/>
      <c r="BA127" s="128"/>
      <c r="BB127" s="128"/>
      <c r="BC127" s="128"/>
      <c r="BD127" s="128"/>
      <c r="BE127" s="128"/>
      <c r="BF127" s="128"/>
      <c r="BG127" s="128"/>
      <c r="BH127" s="128"/>
      <c r="BI127" s="128"/>
      <c r="BJ127" s="128"/>
      <c r="BK127" s="128"/>
      <c r="BL127" s="128"/>
      <c r="BM127" s="128"/>
      <c r="BN127" s="128"/>
      <c r="BO127" s="128"/>
      <c r="BP127" s="128"/>
      <c r="BQ127" s="128"/>
    </row>
    <row r="128" spans="1:69" ht="14.25" customHeight="1">
      <c r="A128" s="128"/>
      <c r="B128" s="128"/>
      <c r="C128" s="128"/>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c r="AA128" s="128"/>
      <c r="AB128" s="128"/>
      <c r="AC128" s="128"/>
      <c r="AD128" s="128"/>
      <c r="AE128" s="128"/>
      <c r="AF128" s="128"/>
      <c r="AG128" s="128"/>
      <c r="AH128" s="128"/>
      <c r="AI128" s="128"/>
      <c r="AJ128" s="128"/>
      <c r="AK128" s="128"/>
      <c r="AL128" s="128"/>
      <c r="AM128" s="128"/>
      <c r="AN128" s="128"/>
      <c r="AO128" s="128"/>
      <c r="AP128" s="128"/>
      <c r="AQ128" s="128"/>
      <c r="AR128" s="128"/>
      <c r="AS128" s="128"/>
      <c r="AT128" s="128"/>
      <c r="AU128" s="128"/>
      <c r="AV128" s="128"/>
      <c r="AW128" s="128"/>
      <c r="AX128" s="128"/>
      <c r="AY128" s="128"/>
      <c r="AZ128" s="128"/>
      <c r="BA128" s="128"/>
      <c r="BB128" s="128"/>
      <c r="BC128" s="128"/>
      <c r="BD128" s="128"/>
      <c r="BE128" s="128"/>
      <c r="BF128" s="128"/>
      <c r="BG128" s="128"/>
      <c r="BH128" s="128"/>
      <c r="BI128" s="128"/>
      <c r="BJ128" s="128"/>
      <c r="BK128" s="128"/>
      <c r="BL128" s="128"/>
      <c r="BM128" s="128"/>
      <c r="BN128" s="128"/>
      <c r="BO128" s="128"/>
      <c r="BP128" s="128"/>
      <c r="BQ128" s="128"/>
    </row>
    <row r="129" spans="1:69" ht="14.25" customHeight="1">
      <c r="A129" s="128"/>
      <c r="B129" s="128"/>
      <c r="C129" s="128"/>
      <c r="D129" s="128"/>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28"/>
      <c r="AA129" s="128"/>
      <c r="AB129" s="128"/>
      <c r="AC129" s="128"/>
      <c r="AD129" s="128"/>
      <c r="AE129" s="128"/>
      <c r="AF129" s="128"/>
      <c r="AG129" s="128"/>
      <c r="AH129" s="128"/>
      <c r="AI129" s="128"/>
      <c r="AJ129" s="128"/>
      <c r="AK129" s="128"/>
      <c r="AL129" s="128"/>
      <c r="AM129" s="128"/>
      <c r="AN129" s="128"/>
      <c r="AO129" s="128"/>
      <c r="AP129" s="128"/>
      <c r="AQ129" s="128"/>
      <c r="AR129" s="128"/>
      <c r="AS129" s="128"/>
      <c r="AT129" s="128"/>
      <c r="AU129" s="128"/>
      <c r="AV129" s="128"/>
      <c r="AW129" s="128"/>
      <c r="AX129" s="128"/>
      <c r="AY129" s="128"/>
      <c r="AZ129" s="128"/>
      <c r="BA129" s="128"/>
      <c r="BB129" s="128"/>
      <c r="BC129" s="128"/>
      <c r="BD129" s="128"/>
      <c r="BE129" s="128"/>
      <c r="BF129" s="128"/>
      <c r="BG129" s="128"/>
      <c r="BH129" s="128"/>
      <c r="BI129" s="128"/>
      <c r="BJ129" s="128"/>
      <c r="BK129" s="128"/>
      <c r="BL129" s="128"/>
      <c r="BM129" s="128"/>
      <c r="BN129" s="128"/>
      <c r="BO129" s="128"/>
      <c r="BP129" s="128"/>
      <c r="BQ129" s="128"/>
    </row>
    <row r="130" spans="1:69" ht="14.25" customHeight="1">
      <c r="A130" s="128"/>
      <c r="B130" s="128"/>
      <c r="C130" s="128"/>
      <c r="D130" s="128"/>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c r="AA130" s="128"/>
      <c r="AB130" s="128"/>
      <c r="AC130" s="128"/>
      <c r="AD130" s="128"/>
      <c r="AE130" s="128"/>
      <c r="AF130" s="128"/>
      <c r="AG130" s="128"/>
      <c r="AH130" s="128"/>
      <c r="AI130" s="128"/>
      <c r="AJ130" s="128"/>
      <c r="AK130" s="128"/>
      <c r="AL130" s="128"/>
      <c r="AM130" s="128"/>
      <c r="AN130" s="128"/>
      <c r="AO130" s="128"/>
      <c r="AP130" s="128"/>
      <c r="AQ130" s="128"/>
      <c r="AR130" s="128"/>
      <c r="AS130" s="128"/>
      <c r="AT130" s="128"/>
      <c r="AU130" s="128"/>
      <c r="AV130" s="128"/>
      <c r="AW130" s="128"/>
      <c r="AX130" s="128"/>
      <c r="AY130" s="128"/>
      <c r="AZ130" s="128"/>
      <c r="BA130" s="128"/>
      <c r="BB130" s="128"/>
      <c r="BC130" s="128"/>
      <c r="BD130" s="128"/>
      <c r="BE130" s="128"/>
      <c r="BF130" s="128"/>
      <c r="BG130" s="128"/>
      <c r="BH130" s="128"/>
      <c r="BI130" s="128"/>
      <c r="BJ130" s="128"/>
      <c r="BK130" s="128"/>
      <c r="BL130" s="128"/>
      <c r="BM130" s="128"/>
      <c r="BN130" s="128"/>
      <c r="BO130" s="128"/>
      <c r="BP130" s="128"/>
      <c r="BQ130" s="128"/>
    </row>
    <row r="131" spans="1:69" ht="14.25" customHeight="1">
      <c r="A131" s="128"/>
      <c r="B131" s="128"/>
      <c r="C131" s="128"/>
      <c r="D131" s="128"/>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c r="AA131" s="128"/>
      <c r="AB131" s="128"/>
      <c r="AC131" s="128"/>
      <c r="AD131" s="128"/>
      <c r="AE131" s="128"/>
      <c r="AF131" s="128"/>
      <c r="AG131" s="128"/>
      <c r="AH131" s="128"/>
      <c r="AI131" s="128"/>
      <c r="AJ131" s="128"/>
      <c r="AK131" s="128"/>
      <c r="AL131" s="128"/>
      <c r="AM131" s="128"/>
      <c r="AN131" s="128"/>
      <c r="AO131" s="128"/>
      <c r="AP131" s="128"/>
      <c r="AQ131" s="128"/>
      <c r="AR131" s="128"/>
      <c r="AS131" s="128"/>
      <c r="AT131" s="128"/>
      <c r="AU131" s="128"/>
      <c r="AV131" s="128"/>
      <c r="AW131" s="128"/>
      <c r="AX131" s="128"/>
      <c r="AY131" s="128"/>
      <c r="AZ131" s="128"/>
      <c r="BA131" s="128"/>
      <c r="BB131" s="128"/>
      <c r="BC131" s="128"/>
      <c r="BD131" s="128"/>
      <c r="BE131" s="128"/>
      <c r="BF131" s="128"/>
      <c r="BG131" s="128"/>
      <c r="BH131" s="128"/>
      <c r="BI131" s="128"/>
      <c r="BJ131" s="128"/>
      <c r="BK131" s="128"/>
      <c r="BL131" s="128"/>
      <c r="BM131" s="128"/>
      <c r="BN131" s="128"/>
      <c r="BO131" s="128"/>
      <c r="BP131" s="128"/>
      <c r="BQ131" s="128"/>
    </row>
    <row r="132" spans="1:69" ht="14.25" customHeight="1">
      <c r="A132" s="128"/>
      <c r="B132" s="128"/>
      <c r="C132" s="128"/>
      <c r="D132" s="128"/>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row>
    <row r="133" spans="1:69" ht="14.25" customHeight="1">
      <c r="A133" s="128"/>
      <c r="B133" s="128"/>
      <c r="C133" s="128"/>
      <c r="D133" s="128"/>
      <c r="E133" s="128"/>
      <c r="F133" s="128"/>
      <c r="G133" s="128"/>
      <c r="H133" s="128"/>
      <c r="I133" s="128"/>
      <c r="J133" s="128"/>
      <c r="K133" s="128"/>
      <c r="L133" s="128"/>
      <c r="M133" s="128"/>
      <c r="N133" s="128"/>
      <c r="O133" s="128"/>
      <c r="P133" s="128"/>
      <c r="Q133" s="128"/>
      <c r="R133" s="128"/>
      <c r="S133" s="128"/>
      <c r="T133" s="128"/>
      <c r="U133" s="128"/>
      <c r="V133" s="128"/>
      <c r="W133" s="128"/>
      <c r="X133" s="128"/>
      <c r="Y133" s="128"/>
      <c r="Z133" s="128"/>
      <c r="AA133" s="128"/>
      <c r="AB133" s="128"/>
      <c r="AC133" s="128"/>
      <c r="AD133" s="128"/>
      <c r="AE133" s="128"/>
      <c r="AF133" s="128"/>
      <c r="AG133" s="128"/>
      <c r="AH133" s="128"/>
      <c r="AI133" s="128"/>
      <c r="AJ133" s="128"/>
      <c r="AK133" s="128"/>
      <c r="AL133" s="128"/>
      <c r="AM133" s="128"/>
      <c r="AN133" s="128"/>
      <c r="AO133" s="128"/>
      <c r="AP133" s="128"/>
      <c r="AQ133" s="128"/>
      <c r="AR133" s="128"/>
      <c r="AS133" s="128"/>
      <c r="AT133" s="128"/>
      <c r="AU133" s="128"/>
      <c r="AV133" s="128"/>
      <c r="AW133" s="128"/>
      <c r="AX133" s="128"/>
      <c r="AY133" s="128"/>
      <c r="AZ133" s="128"/>
      <c r="BA133" s="128"/>
      <c r="BB133" s="128"/>
      <c r="BC133" s="128"/>
      <c r="BD133" s="128"/>
      <c r="BE133" s="128"/>
      <c r="BF133" s="128"/>
      <c r="BG133" s="128"/>
      <c r="BH133" s="128"/>
      <c r="BI133" s="128"/>
      <c r="BJ133" s="128"/>
      <c r="BK133" s="128"/>
      <c r="BL133" s="128"/>
      <c r="BM133" s="128"/>
      <c r="BN133" s="128"/>
      <c r="BO133" s="128"/>
      <c r="BP133" s="128"/>
      <c r="BQ133" s="128"/>
    </row>
    <row r="134" spans="1:69" ht="14.25" customHeight="1">
      <c r="A134" s="128"/>
      <c r="B134" s="128"/>
      <c r="C134" s="128"/>
      <c r="D134" s="128"/>
      <c r="E134" s="128"/>
      <c r="F134" s="128"/>
      <c r="G134" s="128"/>
      <c r="H134" s="128"/>
      <c r="I134" s="128"/>
      <c r="J134" s="128"/>
      <c r="K134" s="128"/>
      <c r="L134" s="128"/>
      <c r="M134" s="128"/>
      <c r="N134" s="128"/>
      <c r="O134" s="128"/>
      <c r="P134" s="128"/>
      <c r="Q134" s="128"/>
      <c r="R134" s="128"/>
      <c r="S134" s="128"/>
      <c r="T134" s="128"/>
      <c r="U134" s="128"/>
      <c r="V134" s="128"/>
      <c r="W134" s="128"/>
      <c r="X134" s="128"/>
      <c r="Y134" s="128"/>
      <c r="Z134" s="128"/>
      <c r="AA134" s="128"/>
      <c r="AB134" s="128"/>
      <c r="AC134" s="128"/>
      <c r="AD134" s="128"/>
      <c r="AE134" s="128"/>
      <c r="AF134" s="128"/>
      <c r="AG134" s="128"/>
      <c r="AH134" s="128"/>
      <c r="AI134" s="128"/>
      <c r="AJ134" s="128"/>
      <c r="AK134" s="128"/>
      <c r="AL134" s="128"/>
      <c r="AM134" s="128"/>
      <c r="AN134" s="128"/>
      <c r="AO134" s="128"/>
      <c r="AP134" s="128"/>
      <c r="AQ134" s="128"/>
      <c r="AR134" s="128"/>
      <c r="AS134" s="128"/>
      <c r="AT134" s="128"/>
      <c r="AU134" s="128"/>
      <c r="AV134" s="128"/>
      <c r="AW134" s="128"/>
      <c r="AX134" s="128"/>
      <c r="AY134" s="128"/>
      <c r="AZ134" s="128"/>
      <c r="BA134" s="128"/>
      <c r="BB134" s="128"/>
      <c r="BC134" s="128"/>
      <c r="BD134" s="128"/>
      <c r="BE134" s="128"/>
      <c r="BF134" s="128"/>
      <c r="BG134" s="128"/>
      <c r="BH134" s="128"/>
      <c r="BI134" s="128"/>
      <c r="BJ134" s="128"/>
      <c r="BK134" s="128"/>
      <c r="BL134" s="128"/>
      <c r="BM134" s="128"/>
      <c r="BN134" s="128"/>
      <c r="BO134" s="128"/>
      <c r="BP134" s="128"/>
      <c r="BQ134" s="128"/>
    </row>
    <row r="135" spans="1:69" ht="14.25" customHeight="1">
      <c r="A135" s="128"/>
      <c r="B135" s="128"/>
      <c r="C135" s="128"/>
      <c r="D135" s="128"/>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28"/>
      <c r="AA135" s="128"/>
      <c r="AB135" s="128"/>
      <c r="AC135" s="128"/>
      <c r="AD135" s="128"/>
      <c r="AE135" s="128"/>
      <c r="AF135" s="128"/>
      <c r="AG135" s="128"/>
      <c r="AH135" s="128"/>
      <c r="AI135" s="128"/>
      <c r="AJ135" s="128"/>
      <c r="AK135" s="128"/>
      <c r="AL135" s="128"/>
      <c r="AM135" s="128"/>
      <c r="AN135" s="128"/>
      <c r="AO135" s="128"/>
      <c r="AP135" s="128"/>
      <c r="AQ135" s="128"/>
      <c r="AR135" s="128"/>
      <c r="AS135" s="128"/>
      <c r="AT135" s="128"/>
      <c r="AU135" s="128"/>
      <c r="AV135" s="128"/>
      <c r="AW135" s="128"/>
      <c r="AX135" s="128"/>
      <c r="AY135" s="128"/>
      <c r="AZ135" s="128"/>
      <c r="BA135" s="128"/>
      <c r="BB135" s="128"/>
      <c r="BC135" s="128"/>
      <c r="BD135" s="128"/>
      <c r="BE135" s="128"/>
      <c r="BF135" s="128"/>
      <c r="BG135" s="128"/>
      <c r="BH135" s="128"/>
      <c r="BI135" s="128"/>
      <c r="BJ135" s="128"/>
      <c r="BK135" s="128"/>
      <c r="BL135" s="128"/>
      <c r="BM135" s="128"/>
      <c r="BN135" s="128"/>
      <c r="BO135" s="128"/>
      <c r="BP135" s="128"/>
      <c r="BQ135" s="128"/>
    </row>
    <row r="136" spans="1:69" ht="14.25" customHeight="1">
      <c r="A136" s="128"/>
      <c r="B136" s="128"/>
      <c r="C136" s="128"/>
      <c r="D136" s="128"/>
      <c r="E136" s="128"/>
      <c r="F136" s="128"/>
      <c r="G136" s="128"/>
      <c r="H136" s="128"/>
      <c r="I136" s="128"/>
      <c r="J136" s="128"/>
      <c r="K136" s="128"/>
      <c r="L136" s="128"/>
      <c r="M136" s="128"/>
      <c r="N136" s="128"/>
      <c r="O136" s="128"/>
      <c r="P136" s="128"/>
      <c r="Q136" s="128"/>
      <c r="R136" s="128"/>
      <c r="S136" s="128"/>
      <c r="T136" s="128"/>
      <c r="U136" s="128"/>
      <c r="V136" s="128"/>
      <c r="W136" s="128"/>
      <c r="X136" s="128"/>
      <c r="Y136" s="128"/>
      <c r="Z136" s="128"/>
      <c r="AA136" s="128"/>
      <c r="AB136" s="128"/>
      <c r="AC136" s="128"/>
      <c r="AD136" s="128"/>
      <c r="AE136" s="128"/>
      <c r="AF136" s="128"/>
      <c r="AG136" s="128"/>
      <c r="AH136" s="128"/>
      <c r="AI136" s="128"/>
      <c r="AJ136" s="128"/>
      <c r="AK136" s="128"/>
      <c r="AL136" s="128"/>
      <c r="AM136" s="128"/>
      <c r="AN136" s="128"/>
      <c r="AO136" s="128"/>
      <c r="AP136" s="128"/>
      <c r="AQ136" s="128"/>
      <c r="AR136" s="128"/>
      <c r="AS136" s="128"/>
      <c r="AT136" s="128"/>
      <c r="AU136" s="128"/>
      <c r="AV136" s="128"/>
      <c r="AW136" s="128"/>
      <c r="AX136" s="128"/>
      <c r="AY136" s="128"/>
      <c r="AZ136" s="128"/>
      <c r="BA136" s="128"/>
      <c r="BB136" s="128"/>
      <c r="BC136" s="128"/>
      <c r="BD136" s="128"/>
      <c r="BE136" s="128"/>
      <c r="BF136" s="128"/>
      <c r="BG136" s="128"/>
      <c r="BH136" s="128"/>
      <c r="BI136" s="128"/>
      <c r="BJ136" s="128"/>
      <c r="BK136" s="128"/>
      <c r="BL136" s="128"/>
      <c r="BM136" s="128"/>
      <c r="BN136" s="128"/>
      <c r="BO136" s="128"/>
      <c r="BP136" s="128"/>
      <c r="BQ136" s="128"/>
    </row>
    <row r="137" spans="1:69" ht="14.25" customHeight="1">
      <c r="A137" s="128"/>
      <c r="B137" s="128"/>
      <c r="C137" s="128"/>
      <c r="D137" s="128"/>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28"/>
      <c r="AA137" s="128"/>
      <c r="AB137" s="128"/>
      <c r="AC137" s="128"/>
      <c r="AD137" s="128"/>
      <c r="AE137" s="128"/>
      <c r="AF137" s="128"/>
      <c r="AG137" s="128"/>
      <c r="AH137" s="128"/>
      <c r="AI137" s="128"/>
      <c r="AJ137" s="128"/>
      <c r="AK137" s="128"/>
      <c r="AL137" s="128"/>
      <c r="AM137" s="128"/>
      <c r="AN137" s="128"/>
      <c r="AO137" s="128"/>
      <c r="AP137" s="128"/>
      <c r="AQ137" s="128"/>
      <c r="AR137" s="128"/>
      <c r="AS137" s="128"/>
      <c r="AT137" s="128"/>
      <c r="AU137" s="128"/>
      <c r="AV137" s="128"/>
      <c r="AW137" s="128"/>
      <c r="AX137" s="128"/>
      <c r="AY137" s="128"/>
      <c r="AZ137" s="128"/>
      <c r="BA137" s="128"/>
      <c r="BB137" s="128"/>
      <c r="BC137" s="128"/>
      <c r="BD137" s="128"/>
      <c r="BE137" s="128"/>
      <c r="BF137" s="128"/>
      <c r="BG137" s="128"/>
      <c r="BH137" s="128"/>
      <c r="BI137" s="128"/>
      <c r="BJ137" s="128"/>
      <c r="BK137" s="128"/>
      <c r="BL137" s="128"/>
      <c r="BM137" s="128"/>
      <c r="BN137" s="128"/>
      <c r="BO137" s="128"/>
      <c r="BP137" s="128"/>
      <c r="BQ137" s="128"/>
    </row>
    <row r="138" spans="1:69" ht="14.25" customHeight="1">
      <c r="A138" s="128"/>
      <c r="B138" s="128"/>
      <c r="C138" s="128"/>
      <c r="D138" s="128"/>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row>
    <row r="139" spans="1:69" ht="14.25" customHeight="1">
      <c r="A139" s="128"/>
      <c r="B139" s="128"/>
      <c r="C139" s="128"/>
      <c r="D139" s="128"/>
      <c r="E139" s="128"/>
      <c r="F139" s="128"/>
      <c r="G139" s="128"/>
      <c r="H139" s="128"/>
      <c r="I139" s="128"/>
      <c r="J139" s="128"/>
      <c r="K139" s="128"/>
      <c r="L139" s="128"/>
      <c r="M139" s="128"/>
      <c r="N139" s="128"/>
      <c r="O139" s="128"/>
      <c r="P139" s="128"/>
      <c r="Q139" s="128"/>
      <c r="R139" s="128"/>
      <c r="S139" s="128"/>
      <c r="T139" s="128"/>
      <c r="U139" s="128"/>
      <c r="V139" s="128"/>
      <c r="W139" s="128"/>
      <c r="X139" s="128"/>
      <c r="Y139" s="128"/>
      <c r="Z139" s="128"/>
      <c r="AA139" s="128"/>
      <c r="AB139" s="128"/>
      <c r="AC139" s="128"/>
      <c r="AD139" s="128"/>
      <c r="AE139" s="128"/>
      <c r="AF139" s="128"/>
      <c r="AG139" s="128"/>
      <c r="AH139" s="128"/>
      <c r="AI139" s="128"/>
      <c r="AJ139" s="128"/>
      <c r="AK139" s="128"/>
      <c r="AL139" s="128"/>
      <c r="AM139" s="128"/>
      <c r="AN139" s="128"/>
      <c r="AO139" s="128"/>
      <c r="AP139" s="128"/>
      <c r="AQ139" s="128"/>
      <c r="AR139" s="128"/>
      <c r="AS139" s="128"/>
      <c r="AT139" s="128"/>
      <c r="AU139" s="128"/>
      <c r="AV139" s="128"/>
      <c r="AW139" s="128"/>
      <c r="AX139" s="128"/>
      <c r="AY139" s="128"/>
      <c r="AZ139" s="128"/>
      <c r="BA139" s="128"/>
      <c r="BB139" s="128"/>
      <c r="BC139" s="128"/>
      <c r="BD139" s="128"/>
      <c r="BE139" s="128"/>
      <c r="BF139" s="128"/>
      <c r="BG139" s="128"/>
      <c r="BH139" s="128"/>
      <c r="BI139" s="128"/>
      <c r="BJ139" s="128"/>
      <c r="BK139" s="128"/>
      <c r="BL139" s="128"/>
      <c r="BM139" s="128"/>
      <c r="BN139" s="128"/>
      <c r="BO139" s="128"/>
      <c r="BP139" s="128"/>
      <c r="BQ139" s="128"/>
    </row>
    <row r="140" spans="1:69" ht="14.25" customHeight="1">
      <c r="A140" s="128"/>
      <c r="B140" s="128"/>
      <c r="C140" s="128"/>
      <c r="D140" s="128"/>
      <c r="E140" s="128"/>
      <c r="F140" s="128"/>
      <c r="G140" s="128"/>
      <c r="H140" s="128"/>
      <c r="I140" s="128"/>
      <c r="J140" s="128"/>
      <c r="K140" s="128"/>
      <c r="L140" s="128"/>
      <c r="M140" s="128"/>
      <c r="N140" s="128"/>
      <c r="O140" s="128"/>
      <c r="P140" s="128"/>
      <c r="Q140" s="128"/>
      <c r="R140" s="128"/>
      <c r="S140" s="128"/>
      <c r="T140" s="128"/>
      <c r="U140" s="128"/>
      <c r="V140" s="128"/>
      <c r="W140" s="128"/>
      <c r="X140" s="128"/>
      <c r="Y140" s="128"/>
      <c r="Z140" s="128"/>
      <c r="AA140" s="128"/>
      <c r="AB140" s="128"/>
      <c r="AC140" s="128"/>
      <c r="AD140" s="128"/>
      <c r="AE140" s="128"/>
      <c r="AF140" s="128"/>
      <c r="AG140" s="128"/>
      <c r="AH140" s="128"/>
      <c r="AI140" s="128"/>
      <c r="AJ140" s="128"/>
      <c r="AK140" s="128"/>
      <c r="AL140" s="128"/>
      <c r="AM140" s="128"/>
      <c r="AN140" s="128"/>
      <c r="AO140" s="128"/>
      <c r="AP140" s="128"/>
      <c r="AQ140" s="128"/>
      <c r="AR140" s="128"/>
      <c r="AS140" s="128"/>
      <c r="AT140" s="128"/>
      <c r="AU140" s="128"/>
      <c r="AV140" s="128"/>
      <c r="AW140" s="128"/>
      <c r="AX140" s="128"/>
      <c r="AY140" s="128"/>
      <c r="AZ140" s="128"/>
      <c r="BA140" s="128"/>
      <c r="BB140" s="128"/>
      <c r="BC140" s="128"/>
      <c r="BD140" s="128"/>
      <c r="BE140" s="128"/>
      <c r="BF140" s="128"/>
      <c r="BG140" s="128"/>
      <c r="BH140" s="128"/>
      <c r="BI140" s="128"/>
      <c r="BJ140" s="128"/>
      <c r="BK140" s="128"/>
      <c r="BL140" s="128"/>
      <c r="BM140" s="128"/>
      <c r="BN140" s="128"/>
      <c r="BO140" s="128"/>
      <c r="BP140" s="128"/>
      <c r="BQ140" s="128"/>
    </row>
    <row r="141" spans="1:69" ht="14.25" customHeight="1">
      <c r="A141" s="128"/>
      <c r="B141" s="128"/>
      <c r="C141" s="128"/>
      <c r="D141" s="128"/>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28"/>
      <c r="AA141" s="128"/>
      <c r="AB141" s="128"/>
      <c r="AC141" s="128"/>
      <c r="AD141" s="128"/>
      <c r="AE141" s="128"/>
      <c r="AF141" s="128"/>
      <c r="AG141" s="128"/>
      <c r="AH141" s="128"/>
      <c r="AI141" s="128"/>
      <c r="AJ141" s="128"/>
      <c r="AK141" s="128"/>
      <c r="AL141" s="128"/>
      <c r="AM141" s="128"/>
      <c r="AN141" s="128"/>
      <c r="AO141" s="128"/>
      <c r="AP141" s="128"/>
      <c r="AQ141" s="128"/>
      <c r="AR141" s="128"/>
      <c r="AS141" s="128"/>
      <c r="AT141" s="128"/>
      <c r="AU141" s="128"/>
      <c r="AV141" s="128"/>
      <c r="AW141" s="128"/>
      <c r="AX141" s="128"/>
      <c r="AY141" s="128"/>
      <c r="AZ141" s="128"/>
      <c r="BA141" s="128"/>
      <c r="BB141" s="128"/>
      <c r="BC141" s="128"/>
      <c r="BD141" s="128"/>
      <c r="BE141" s="128"/>
      <c r="BF141" s="128"/>
      <c r="BG141" s="128"/>
      <c r="BH141" s="128"/>
      <c r="BI141" s="128"/>
      <c r="BJ141" s="128"/>
      <c r="BK141" s="128"/>
      <c r="BL141" s="128"/>
      <c r="BM141" s="128"/>
      <c r="BN141" s="128"/>
      <c r="BO141" s="128"/>
      <c r="BP141" s="128"/>
      <c r="BQ141" s="128"/>
    </row>
    <row r="142" spans="1:69" ht="14.25" customHeight="1">
      <c r="A142" s="128"/>
      <c r="B142" s="128"/>
      <c r="C142" s="128"/>
      <c r="D142" s="128"/>
      <c r="E142" s="128"/>
      <c r="F142" s="128"/>
      <c r="G142" s="128"/>
      <c r="H142" s="128"/>
      <c r="I142" s="128"/>
      <c r="J142" s="128"/>
      <c r="K142" s="128"/>
      <c r="L142" s="128"/>
      <c r="M142" s="128"/>
      <c r="N142" s="128"/>
      <c r="O142" s="128"/>
      <c r="P142" s="128"/>
      <c r="Q142" s="128"/>
      <c r="R142" s="128"/>
      <c r="S142" s="128"/>
      <c r="T142" s="128"/>
      <c r="U142" s="128"/>
      <c r="V142" s="128"/>
      <c r="W142" s="128"/>
      <c r="X142" s="128"/>
      <c r="Y142" s="128"/>
      <c r="Z142" s="128"/>
      <c r="AA142" s="128"/>
      <c r="AB142" s="128"/>
      <c r="AC142" s="128"/>
      <c r="AD142" s="128"/>
      <c r="AE142" s="128"/>
      <c r="AF142" s="128"/>
      <c r="AG142" s="128"/>
      <c r="AH142" s="128"/>
      <c r="AI142" s="128"/>
      <c r="AJ142" s="128"/>
      <c r="AK142" s="128"/>
      <c r="AL142" s="128"/>
      <c r="AM142" s="128"/>
      <c r="AN142" s="128"/>
      <c r="AO142" s="128"/>
      <c r="AP142" s="128"/>
      <c r="AQ142" s="128"/>
      <c r="AR142" s="128"/>
      <c r="AS142" s="128"/>
      <c r="AT142" s="128"/>
      <c r="AU142" s="128"/>
      <c r="AV142" s="128"/>
      <c r="AW142" s="128"/>
      <c r="AX142" s="128"/>
      <c r="AY142" s="128"/>
      <c r="AZ142" s="128"/>
      <c r="BA142" s="128"/>
      <c r="BB142" s="128"/>
      <c r="BC142" s="128"/>
      <c r="BD142" s="128"/>
      <c r="BE142" s="128"/>
      <c r="BF142" s="128"/>
      <c r="BG142" s="128"/>
      <c r="BH142" s="128"/>
      <c r="BI142" s="128"/>
      <c r="BJ142" s="128"/>
      <c r="BK142" s="128"/>
      <c r="BL142" s="128"/>
      <c r="BM142" s="128"/>
      <c r="BN142" s="128"/>
      <c r="BO142" s="128"/>
      <c r="BP142" s="128"/>
      <c r="BQ142" s="128"/>
    </row>
    <row r="143" spans="1:69" ht="14.25" customHeight="1">
      <c r="A143" s="128"/>
      <c r="B143" s="128"/>
      <c r="C143" s="128"/>
      <c r="D143" s="128"/>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28"/>
      <c r="AA143" s="128"/>
      <c r="AB143" s="128"/>
      <c r="AC143" s="128"/>
      <c r="AD143" s="128"/>
      <c r="AE143" s="128"/>
      <c r="AF143" s="128"/>
      <c r="AG143" s="128"/>
      <c r="AH143" s="128"/>
      <c r="AI143" s="128"/>
      <c r="AJ143" s="128"/>
      <c r="AK143" s="128"/>
      <c r="AL143" s="128"/>
      <c r="AM143" s="128"/>
      <c r="AN143" s="128"/>
      <c r="AO143" s="128"/>
      <c r="AP143" s="128"/>
      <c r="AQ143" s="128"/>
      <c r="AR143" s="128"/>
      <c r="AS143" s="128"/>
      <c r="AT143" s="128"/>
      <c r="AU143" s="128"/>
      <c r="AV143" s="128"/>
      <c r="AW143" s="128"/>
      <c r="AX143" s="128"/>
      <c r="AY143" s="128"/>
      <c r="AZ143" s="128"/>
      <c r="BA143" s="128"/>
      <c r="BB143" s="128"/>
      <c r="BC143" s="128"/>
      <c r="BD143" s="128"/>
      <c r="BE143" s="128"/>
      <c r="BF143" s="128"/>
      <c r="BG143" s="128"/>
      <c r="BH143" s="128"/>
      <c r="BI143" s="128"/>
      <c r="BJ143" s="128"/>
      <c r="BK143" s="128"/>
      <c r="BL143" s="128"/>
      <c r="BM143" s="128"/>
      <c r="BN143" s="128"/>
      <c r="BO143" s="128"/>
      <c r="BP143" s="128"/>
      <c r="BQ143" s="128"/>
    </row>
    <row r="144" spans="1:69" ht="14.25" customHeight="1">
      <c r="A144" s="128"/>
      <c r="B144" s="128"/>
      <c r="C144" s="128"/>
      <c r="D144" s="128"/>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c r="AA144" s="128"/>
      <c r="AB144" s="128"/>
      <c r="AC144" s="128"/>
      <c r="AD144" s="128"/>
      <c r="AE144" s="128"/>
      <c r="AF144" s="128"/>
      <c r="AG144" s="128"/>
      <c r="AH144" s="128"/>
      <c r="AI144" s="128"/>
      <c r="AJ144" s="128"/>
      <c r="AK144" s="128"/>
      <c r="AL144" s="128"/>
      <c r="AM144" s="128"/>
      <c r="AN144" s="128"/>
      <c r="AO144" s="128"/>
      <c r="AP144" s="128"/>
      <c r="AQ144" s="128"/>
      <c r="AR144" s="128"/>
      <c r="AS144" s="128"/>
      <c r="AT144" s="128"/>
      <c r="AU144" s="128"/>
      <c r="AV144" s="128"/>
      <c r="AW144" s="128"/>
      <c r="AX144" s="128"/>
      <c r="AY144" s="128"/>
      <c r="AZ144" s="128"/>
      <c r="BA144" s="128"/>
      <c r="BB144" s="128"/>
      <c r="BC144" s="128"/>
      <c r="BD144" s="128"/>
      <c r="BE144" s="128"/>
      <c r="BF144" s="128"/>
      <c r="BG144" s="128"/>
      <c r="BH144" s="128"/>
      <c r="BI144" s="128"/>
      <c r="BJ144" s="128"/>
      <c r="BK144" s="128"/>
      <c r="BL144" s="128"/>
      <c r="BM144" s="128"/>
      <c r="BN144" s="128"/>
      <c r="BO144" s="128"/>
      <c r="BP144" s="128"/>
      <c r="BQ144" s="128"/>
    </row>
    <row r="145" spans="1:69" ht="14.25" customHeight="1">
      <c r="A145" s="128"/>
      <c r="B145" s="128"/>
      <c r="C145" s="128"/>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row>
    <row r="146" spans="1:69" ht="14.25" customHeight="1">
      <c r="A146" s="128"/>
      <c r="B146" s="128"/>
      <c r="C146" s="128"/>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c r="AA146" s="128"/>
      <c r="AB146" s="128"/>
      <c r="AC146" s="128"/>
      <c r="AD146" s="128"/>
      <c r="AE146" s="128"/>
      <c r="AF146" s="128"/>
      <c r="AG146" s="128"/>
      <c r="AH146" s="128"/>
      <c r="AI146" s="128"/>
      <c r="AJ146" s="128"/>
      <c r="AK146" s="128"/>
      <c r="AL146" s="128"/>
      <c r="AM146" s="128"/>
      <c r="AN146" s="128"/>
      <c r="AO146" s="128"/>
      <c r="AP146" s="128"/>
      <c r="AQ146" s="128"/>
      <c r="AR146" s="128"/>
      <c r="AS146" s="128"/>
      <c r="AT146" s="128"/>
      <c r="AU146" s="128"/>
      <c r="AV146" s="128"/>
      <c r="AW146" s="128"/>
      <c r="AX146" s="128"/>
      <c r="AY146" s="128"/>
      <c r="AZ146" s="128"/>
      <c r="BA146" s="128"/>
      <c r="BB146" s="128"/>
      <c r="BC146" s="128"/>
      <c r="BD146" s="128"/>
      <c r="BE146" s="128"/>
      <c r="BF146" s="128"/>
      <c r="BG146" s="128"/>
      <c r="BH146" s="128"/>
      <c r="BI146" s="128"/>
      <c r="BJ146" s="128"/>
      <c r="BK146" s="128"/>
      <c r="BL146" s="128"/>
      <c r="BM146" s="128"/>
      <c r="BN146" s="128"/>
      <c r="BO146" s="128"/>
      <c r="BP146" s="128"/>
      <c r="BQ146" s="128"/>
    </row>
    <row r="147" spans="1:69" ht="14.25" customHeight="1">
      <c r="A147" s="128"/>
      <c r="B147" s="128"/>
      <c r="C147" s="128"/>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c r="AA147" s="128"/>
      <c r="AB147" s="128"/>
      <c r="AC147" s="128"/>
      <c r="AD147" s="128"/>
      <c r="AE147" s="128"/>
      <c r="AF147" s="128"/>
      <c r="AG147" s="128"/>
      <c r="AH147" s="128"/>
      <c r="AI147" s="128"/>
      <c r="AJ147" s="128"/>
      <c r="AK147" s="128"/>
      <c r="AL147" s="128"/>
      <c r="AM147" s="128"/>
      <c r="AN147" s="128"/>
      <c r="AO147" s="128"/>
      <c r="AP147" s="128"/>
      <c r="AQ147" s="128"/>
      <c r="AR147" s="128"/>
      <c r="AS147" s="128"/>
      <c r="AT147" s="128"/>
      <c r="AU147" s="128"/>
      <c r="AV147" s="128"/>
      <c r="AW147" s="128"/>
      <c r="AX147" s="128"/>
      <c r="AY147" s="128"/>
      <c r="AZ147" s="128"/>
      <c r="BA147" s="128"/>
      <c r="BB147" s="128"/>
      <c r="BC147" s="128"/>
      <c r="BD147" s="128"/>
      <c r="BE147" s="128"/>
      <c r="BF147" s="128"/>
      <c r="BG147" s="128"/>
      <c r="BH147" s="128"/>
      <c r="BI147" s="128"/>
      <c r="BJ147" s="128"/>
      <c r="BK147" s="128"/>
      <c r="BL147" s="128"/>
      <c r="BM147" s="128"/>
      <c r="BN147" s="128"/>
      <c r="BO147" s="128"/>
      <c r="BP147" s="128"/>
      <c r="BQ147" s="128"/>
    </row>
    <row r="148" spans="1:69" ht="14.25" customHeight="1">
      <c r="A148" s="128"/>
      <c r="B148" s="128"/>
      <c r="C148" s="128"/>
      <c r="D148" s="128"/>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c r="AA148" s="128"/>
      <c r="AB148" s="128"/>
      <c r="AC148" s="128"/>
      <c r="AD148" s="128"/>
      <c r="AE148" s="128"/>
      <c r="AF148" s="128"/>
      <c r="AG148" s="128"/>
      <c r="AH148" s="128"/>
      <c r="AI148" s="128"/>
      <c r="AJ148" s="128"/>
      <c r="AK148" s="128"/>
      <c r="AL148" s="128"/>
      <c r="AM148" s="128"/>
      <c r="AN148" s="128"/>
      <c r="AO148" s="128"/>
      <c r="AP148" s="128"/>
      <c r="AQ148" s="128"/>
      <c r="AR148" s="128"/>
      <c r="AS148" s="128"/>
      <c r="AT148" s="128"/>
      <c r="AU148" s="128"/>
      <c r="AV148" s="128"/>
      <c r="AW148" s="128"/>
      <c r="AX148" s="128"/>
      <c r="AY148" s="128"/>
      <c r="AZ148" s="128"/>
      <c r="BA148" s="128"/>
      <c r="BB148" s="128"/>
      <c r="BC148" s="128"/>
      <c r="BD148" s="128"/>
      <c r="BE148" s="128"/>
      <c r="BF148" s="128"/>
      <c r="BG148" s="128"/>
      <c r="BH148" s="128"/>
      <c r="BI148" s="128"/>
      <c r="BJ148" s="128"/>
      <c r="BK148" s="128"/>
      <c r="BL148" s="128"/>
      <c r="BM148" s="128"/>
      <c r="BN148" s="128"/>
      <c r="BO148" s="128"/>
      <c r="BP148" s="128"/>
      <c r="BQ148" s="128"/>
    </row>
    <row r="149" spans="1:69" ht="14.25" customHeight="1">
      <c r="A149" s="128"/>
      <c r="B149" s="128"/>
      <c r="C149" s="128"/>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c r="AA149" s="128"/>
      <c r="AB149" s="128"/>
      <c r="AC149" s="128"/>
      <c r="AD149" s="128"/>
      <c r="AE149" s="128"/>
      <c r="AF149" s="128"/>
      <c r="AG149" s="128"/>
      <c r="AH149" s="128"/>
      <c r="AI149" s="128"/>
      <c r="AJ149" s="128"/>
      <c r="AK149" s="128"/>
      <c r="AL149" s="128"/>
      <c r="AM149" s="128"/>
      <c r="AN149" s="128"/>
      <c r="AO149" s="128"/>
      <c r="AP149" s="128"/>
      <c r="AQ149" s="128"/>
      <c r="AR149" s="128"/>
      <c r="AS149" s="128"/>
      <c r="AT149" s="128"/>
      <c r="AU149" s="128"/>
      <c r="AV149" s="128"/>
      <c r="AW149" s="128"/>
      <c r="AX149" s="128"/>
      <c r="AY149" s="128"/>
      <c r="AZ149" s="128"/>
      <c r="BA149" s="128"/>
      <c r="BB149" s="128"/>
      <c r="BC149" s="128"/>
      <c r="BD149" s="128"/>
      <c r="BE149" s="128"/>
      <c r="BF149" s="128"/>
      <c r="BG149" s="128"/>
      <c r="BH149" s="128"/>
      <c r="BI149" s="128"/>
      <c r="BJ149" s="128"/>
      <c r="BK149" s="128"/>
      <c r="BL149" s="128"/>
      <c r="BM149" s="128"/>
      <c r="BN149" s="128"/>
      <c r="BO149" s="128"/>
      <c r="BP149" s="128"/>
      <c r="BQ149" s="128"/>
    </row>
    <row r="150" spans="1:69" ht="14.25" customHeight="1">
      <c r="A150" s="128"/>
      <c r="B150" s="128"/>
      <c r="C150" s="128"/>
      <c r="D150" s="128"/>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c r="AA150" s="128"/>
      <c r="AB150" s="128"/>
      <c r="AC150" s="128"/>
      <c r="AD150" s="128"/>
      <c r="AE150" s="128"/>
      <c r="AF150" s="128"/>
      <c r="AG150" s="128"/>
      <c r="AH150" s="128"/>
      <c r="AI150" s="128"/>
      <c r="AJ150" s="128"/>
      <c r="AK150" s="128"/>
      <c r="AL150" s="128"/>
      <c r="AM150" s="128"/>
      <c r="AN150" s="128"/>
      <c r="AO150" s="128"/>
      <c r="AP150" s="128"/>
      <c r="AQ150" s="128"/>
      <c r="AR150" s="128"/>
      <c r="AS150" s="128"/>
      <c r="AT150" s="128"/>
      <c r="AU150" s="128"/>
      <c r="AV150" s="128"/>
      <c r="AW150" s="128"/>
      <c r="AX150" s="128"/>
      <c r="AY150" s="128"/>
      <c r="AZ150" s="128"/>
      <c r="BA150" s="128"/>
      <c r="BB150" s="128"/>
      <c r="BC150" s="128"/>
      <c r="BD150" s="128"/>
      <c r="BE150" s="128"/>
      <c r="BF150" s="128"/>
      <c r="BG150" s="128"/>
      <c r="BH150" s="128"/>
      <c r="BI150" s="128"/>
      <c r="BJ150" s="128"/>
      <c r="BK150" s="128"/>
      <c r="BL150" s="128"/>
      <c r="BM150" s="128"/>
      <c r="BN150" s="128"/>
      <c r="BO150" s="128"/>
      <c r="BP150" s="128"/>
      <c r="BQ150" s="128"/>
    </row>
    <row r="151" spans="1:69" ht="14.25" customHeight="1">
      <c r="A151" s="128"/>
      <c r="B151" s="128"/>
      <c r="C151" s="128"/>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row>
    <row r="152" spans="1:69" ht="14.25" customHeight="1">
      <c r="A152" s="128"/>
      <c r="B152" s="128"/>
      <c r="C152" s="128"/>
      <c r="D152" s="128"/>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c r="AA152" s="128"/>
      <c r="AB152" s="128"/>
      <c r="AC152" s="128"/>
      <c r="AD152" s="128"/>
      <c r="AE152" s="128"/>
      <c r="AF152" s="128"/>
      <c r="AG152" s="128"/>
      <c r="AH152" s="128"/>
      <c r="AI152" s="128"/>
      <c r="AJ152" s="128"/>
      <c r="AK152" s="128"/>
      <c r="AL152" s="128"/>
      <c r="AM152" s="128"/>
      <c r="AN152" s="128"/>
      <c r="AO152" s="128"/>
      <c r="AP152" s="128"/>
      <c r="AQ152" s="128"/>
      <c r="AR152" s="128"/>
      <c r="AS152" s="128"/>
      <c r="AT152" s="128"/>
      <c r="AU152" s="128"/>
      <c r="AV152" s="128"/>
      <c r="AW152" s="128"/>
      <c r="AX152" s="128"/>
      <c r="AY152" s="128"/>
      <c r="AZ152" s="128"/>
      <c r="BA152" s="128"/>
      <c r="BB152" s="128"/>
      <c r="BC152" s="128"/>
      <c r="BD152" s="128"/>
      <c r="BE152" s="128"/>
      <c r="BF152" s="128"/>
      <c r="BG152" s="128"/>
      <c r="BH152" s="128"/>
      <c r="BI152" s="128"/>
      <c r="BJ152" s="128"/>
      <c r="BK152" s="128"/>
      <c r="BL152" s="128"/>
      <c r="BM152" s="128"/>
      <c r="BN152" s="128"/>
      <c r="BO152" s="128"/>
      <c r="BP152" s="128"/>
      <c r="BQ152" s="128"/>
    </row>
    <row r="153" spans="1:69" ht="14.25" customHeight="1">
      <c r="A153" s="128"/>
      <c r="B153" s="128"/>
      <c r="C153" s="128"/>
      <c r="D153" s="128"/>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28"/>
      <c r="AA153" s="128"/>
      <c r="AB153" s="128"/>
      <c r="AC153" s="128"/>
      <c r="AD153" s="128"/>
      <c r="AE153" s="128"/>
      <c r="AF153" s="128"/>
      <c r="AG153" s="128"/>
      <c r="AH153" s="128"/>
      <c r="AI153" s="128"/>
      <c r="AJ153" s="128"/>
      <c r="AK153" s="128"/>
      <c r="AL153" s="128"/>
      <c r="AM153" s="128"/>
      <c r="AN153" s="128"/>
      <c r="AO153" s="128"/>
      <c r="AP153" s="128"/>
      <c r="AQ153" s="128"/>
      <c r="AR153" s="128"/>
      <c r="AS153" s="128"/>
      <c r="AT153" s="128"/>
      <c r="AU153" s="128"/>
      <c r="AV153" s="128"/>
      <c r="AW153" s="128"/>
      <c r="AX153" s="128"/>
      <c r="AY153" s="128"/>
      <c r="AZ153" s="128"/>
      <c r="BA153" s="128"/>
      <c r="BB153" s="128"/>
      <c r="BC153" s="128"/>
      <c r="BD153" s="128"/>
      <c r="BE153" s="128"/>
      <c r="BF153" s="128"/>
      <c r="BG153" s="128"/>
      <c r="BH153" s="128"/>
      <c r="BI153" s="128"/>
      <c r="BJ153" s="128"/>
      <c r="BK153" s="128"/>
      <c r="BL153" s="128"/>
      <c r="BM153" s="128"/>
      <c r="BN153" s="128"/>
      <c r="BO153" s="128"/>
      <c r="BP153" s="128"/>
      <c r="BQ153" s="128"/>
    </row>
    <row r="154" spans="1:69" ht="14.25" customHeight="1">
      <c r="A154" s="128"/>
      <c r="B154" s="128"/>
      <c r="C154" s="128"/>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c r="AA154" s="128"/>
      <c r="AB154" s="128"/>
      <c r="AC154" s="128"/>
      <c r="AD154" s="128"/>
      <c r="AE154" s="128"/>
      <c r="AF154" s="128"/>
      <c r="AG154" s="128"/>
      <c r="AH154" s="128"/>
      <c r="AI154" s="128"/>
      <c r="AJ154" s="128"/>
      <c r="AK154" s="128"/>
      <c r="AL154" s="128"/>
      <c r="AM154" s="128"/>
      <c r="AN154" s="128"/>
      <c r="AO154" s="128"/>
      <c r="AP154" s="128"/>
      <c r="AQ154" s="128"/>
      <c r="AR154" s="128"/>
      <c r="AS154" s="128"/>
      <c r="AT154" s="128"/>
      <c r="AU154" s="128"/>
      <c r="AV154" s="128"/>
      <c r="AW154" s="128"/>
      <c r="AX154" s="128"/>
      <c r="AY154" s="128"/>
      <c r="AZ154" s="128"/>
      <c r="BA154" s="128"/>
      <c r="BB154" s="128"/>
      <c r="BC154" s="128"/>
      <c r="BD154" s="128"/>
      <c r="BE154" s="128"/>
      <c r="BF154" s="128"/>
      <c r="BG154" s="128"/>
      <c r="BH154" s="128"/>
      <c r="BI154" s="128"/>
      <c r="BJ154" s="128"/>
      <c r="BK154" s="128"/>
      <c r="BL154" s="128"/>
      <c r="BM154" s="128"/>
      <c r="BN154" s="128"/>
      <c r="BO154" s="128"/>
      <c r="BP154" s="128"/>
      <c r="BQ154" s="128"/>
    </row>
    <row r="155" spans="1:69" ht="14.25" customHeight="1">
      <c r="A155" s="128"/>
      <c r="B155" s="128"/>
      <c r="C155" s="128"/>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c r="AA155" s="128"/>
      <c r="AB155" s="128"/>
      <c r="AC155" s="128"/>
      <c r="AD155" s="128"/>
      <c r="AE155" s="128"/>
      <c r="AF155" s="128"/>
      <c r="AG155" s="128"/>
      <c r="AH155" s="128"/>
      <c r="AI155" s="128"/>
      <c r="AJ155" s="128"/>
      <c r="AK155" s="128"/>
      <c r="AL155" s="128"/>
      <c r="AM155" s="128"/>
      <c r="AN155" s="128"/>
      <c r="AO155" s="128"/>
      <c r="AP155" s="128"/>
      <c r="AQ155" s="128"/>
      <c r="AR155" s="128"/>
      <c r="AS155" s="128"/>
      <c r="AT155" s="128"/>
      <c r="AU155" s="128"/>
      <c r="AV155" s="128"/>
      <c r="AW155" s="128"/>
      <c r="AX155" s="128"/>
      <c r="AY155" s="128"/>
      <c r="AZ155" s="128"/>
      <c r="BA155" s="128"/>
      <c r="BB155" s="128"/>
      <c r="BC155" s="128"/>
      <c r="BD155" s="128"/>
      <c r="BE155" s="128"/>
      <c r="BF155" s="128"/>
      <c r="BG155" s="128"/>
      <c r="BH155" s="128"/>
      <c r="BI155" s="128"/>
      <c r="BJ155" s="128"/>
      <c r="BK155" s="128"/>
      <c r="BL155" s="128"/>
      <c r="BM155" s="128"/>
      <c r="BN155" s="128"/>
      <c r="BO155" s="128"/>
      <c r="BP155" s="128"/>
      <c r="BQ155" s="128"/>
    </row>
    <row r="156" spans="1:69" ht="14.25" customHeight="1">
      <c r="A156" s="128"/>
      <c r="B156" s="128"/>
      <c r="C156" s="128"/>
      <c r="D156" s="128"/>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c r="AA156" s="128"/>
      <c r="AB156" s="128"/>
      <c r="AC156" s="128"/>
      <c r="AD156" s="128"/>
      <c r="AE156" s="128"/>
      <c r="AF156" s="128"/>
      <c r="AG156" s="128"/>
      <c r="AH156" s="128"/>
      <c r="AI156" s="128"/>
      <c r="AJ156" s="128"/>
      <c r="AK156" s="128"/>
      <c r="AL156" s="128"/>
      <c r="AM156" s="128"/>
      <c r="AN156" s="128"/>
      <c r="AO156" s="128"/>
      <c r="AP156" s="128"/>
      <c r="AQ156" s="128"/>
      <c r="AR156" s="128"/>
      <c r="AS156" s="128"/>
      <c r="AT156" s="128"/>
      <c r="AU156" s="128"/>
      <c r="AV156" s="128"/>
      <c r="AW156" s="128"/>
      <c r="AX156" s="128"/>
      <c r="AY156" s="128"/>
      <c r="AZ156" s="128"/>
      <c r="BA156" s="128"/>
      <c r="BB156" s="128"/>
      <c r="BC156" s="128"/>
      <c r="BD156" s="128"/>
      <c r="BE156" s="128"/>
      <c r="BF156" s="128"/>
      <c r="BG156" s="128"/>
      <c r="BH156" s="128"/>
      <c r="BI156" s="128"/>
      <c r="BJ156" s="128"/>
      <c r="BK156" s="128"/>
      <c r="BL156" s="128"/>
      <c r="BM156" s="128"/>
      <c r="BN156" s="128"/>
      <c r="BO156" s="128"/>
      <c r="BP156" s="128"/>
      <c r="BQ156" s="128"/>
    </row>
    <row r="157" spans="1:69" ht="14.25" customHeight="1">
      <c r="A157" s="128"/>
      <c r="B157" s="128"/>
      <c r="C157" s="128"/>
      <c r="D157" s="128"/>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row>
    <row r="158" spans="1:69" ht="14.25" customHeight="1">
      <c r="A158" s="128"/>
      <c r="B158" s="128"/>
      <c r="C158" s="128"/>
      <c r="D158" s="128"/>
      <c r="E158" s="128"/>
      <c r="F158" s="128"/>
      <c r="G158" s="128"/>
      <c r="H158" s="128"/>
      <c r="I158" s="128"/>
      <c r="J158" s="128"/>
      <c r="K158" s="128"/>
      <c r="L158" s="128"/>
      <c r="M158" s="128"/>
      <c r="N158" s="128"/>
      <c r="O158" s="128"/>
      <c r="P158" s="128"/>
      <c r="Q158" s="128"/>
      <c r="R158" s="128"/>
      <c r="S158" s="128"/>
      <c r="T158" s="128"/>
      <c r="U158" s="128"/>
      <c r="V158" s="128"/>
      <c r="W158" s="128"/>
      <c r="X158" s="128"/>
      <c r="Y158" s="128"/>
      <c r="Z158" s="128"/>
      <c r="AA158" s="128"/>
      <c r="AB158" s="128"/>
      <c r="AC158" s="128"/>
      <c r="AD158" s="128"/>
      <c r="AE158" s="128"/>
      <c r="AF158" s="128"/>
      <c r="AG158" s="128"/>
      <c r="AH158" s="128"/>
      <c r="AI158" s="128"/>
      <c r="AJ158" s="128"/>
      <c r="AK158" s="128"/>
      <c r="AL158" s="128"/>
      <c r="AM158" s="128"/>
      <c r="AN158" s="128"/>
      <c r="AO158" s="128"/>
      <c r="AP158" s="128"/>
      <c r="AQ158" s="128"/>
      <c r="AR158" s="128"/>
      <c r="AS158" s="128"/>
      <c r="AT158" s="128"/>
      <c r="AU158" s="128"/>
      <c r="AV158" s="128"/>
      <c r="AW158" s="128"/>
      <c r="AX158" s="128"/>
      <c r="AY158" s="128"/>
      <c r="AZ158" s="128"/>
      <c r="BA158" s="128"/>
      <c r="BB158" s="128"/>
      <c r="BC158" s="128"/>
      <c r="BD158" s="128"/>
      <c r="BE158" s="128"/>
      <c r="BF158" s="128"/>
      <c r="BG158" s="128"/>
      <c r="BH158" s="128"/>
      <c r="BI158" s="128"/>
      <c r="BJ158" s="128"/>
      <c r="BK158" s="128"/>
      <c r="BL158" s="128"/>
      <c r="BM158" s="128"/>
      <c r="BN158" s="128"/>
      <c r="BO158" s="128"/>
      <c r="BP158" s="128"/>
      <c r="BQ158" s="128"/>
    </row>
    <row r="159" spans="1:69" ht="14.25" customHeight="1">
      <c r="A159" s="128"/>
      <c r="B159" s="128"/>
      <c r="C159" s="128"/>
      <c r="D159" s="128"/>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28"/>
      <c r="AA159" s="128"/>
      <c r="AB159" s="128"/>
      <c r="AC159" s="128"/>
      <c r="AD159" s="128"/>
      <c r="AE159" s="128"/>
      <c r="AF159" s="128"/>
      <c r="AG159" s="128"/>
      <c r="AH159" s="128"/>
      <c r="AI159" s="128"/>
      <c r="AJ159" s="128"/>
      <c r="AK159" s="128"/>
      <c r="AL159" s="128"/>
      <c r="AM159" s="128"/>
      <c r="AN159" s="128"/>
      <c r="AO159" s="128"/>
      <c r="AP159" s="128"/>
      <c r="AQ159" s="128"/>
      <c r="AR159" s="128"/>
      <c r="AS159" s="128"/>
      <c r="AT159" s="128"/>
      <c r="AU159" s="128"/>
      <c r="AV159" s="128"/>
      <c r="AW159" s="128"/>
      <c r="AX159" s="128"/>
      <c r="AY159" s="128"/>
      <c r="AZ159" s="128"/>
      <c r="BA159" s="128"/>
      <c r="BB159" s="128"/>
      <c r="BC159" s="128"/>
      <c r="BD159" s="128"/>
      <c r="BE159" s="128"/>
      <c r="BF159" s="128"/>
      <c r="BG159" s="128"/>
      <c r="BH159" s="128"/>
      <c r="BI159" s="128"/>
      <c r="BJ159" s="128"/>
      <c r="BK159" s="128"/>
      <c r="BL159" s="128"/>
      <c r="BM159" s="128"/>
      <c r="BN159" s="128"/>
      <c r="BO159" s="128"/>
      <c r="BP159" s="128"/>
      <c r="BQ159" s="128"/>
    </row>
    <row r="160" spans="1:69" ht="14.25" customHeight="1">
      <c r="A160" s="128"/>
      <c r="B160" s="128"/>
      <c r="C160" s="128"/>
      <c r="D160" s="128"/>
      <c r="E160" s="128"/>
      <c r="F160" s="128"/>
      <c r="G160" s="128"/>
      <c r="H160" s="128"/>
      <c r="I160" s="128"/>
      <c r="J160" s="128"/>
      <c r="K160" s="128"/>
      <c r="L160" s="128"/>
      <c r="M160" s="128"/>
      <c r="N160" s="128"/>
      <c r="O160" s="128"/>
      <c r="P160" s="128"/>
      <c r="Q160" s="128"/>
      <c r="R160" s="128"/>
      <c r="S160" s="128"/>
      <c r="T160" s="128"/>
      <c r="U160" s="128"/>
      <c r="V160" s="128"/>
      <c r="W160" s="128"/>
      <c r="X160" s="128"/>
      <c r="Y160" s="128"/>
      <c r="Z160" s="128"/>
      <c r="AA160" s="128"/>
      <c r="AB160" s="128"/>
      <c r="AC160" s="128"/>
      <c r="AD160" s="128"/>
      <c r="AE160" s="128"/>
      <c r="AF160" s="128"/>
      <c r="AG160" s="128"/>
      <c r="AH160" s="128"/>
      <c r="AI160" s="128"/>
      <c r="AJ160" s="128"/>
      <c r="AK160" s="128"/>
      <c r="AL160" s="128"/>
      <c r="AM160" s="128"/>
      <c r="AN160" s="128"/>
      <c r="AO160" s="128"/>
      <c r="AP160" s="128"/>
      <c r="AQ160" s="128"/>
      <c r="AR160" s="128"/>
      <c r="AS160" s="128"/>
      <c r="AT160" s="128"/>
      <c r="AU160" s="128"/>
      <c r="AV160" s="128"/>
      <c r="AW160" s="128"/>
      <c r="AX160" s="128"/>
      <c r="AY160" s="128"/>
      <c r="AZ160" s="128"/>
      <c r="BA160" s="128"/>
      <c r="BB160" s="128"/>
      <c r="BC160" s="128"/>
      <c r="BD160" s="128"/>
      <c r="BE160" s="128"/>
      <c r="BF160" s="128"/>
      <c r="BG160" s="128"/>
      <c r="BH160" s="128"/>
      <c r="BI160" s="128"/>
      <c r="BJ160" s="128"/>
      <c r="BK160" s="128"/>
      <c r="BL160" s="128"/>
      <c r="BM160" s="128"/>
      <c r="BN160" s="128"/>
      <c r="BO160" s="128"/>
      <c r="BP160" s="128"/>
      <c r="BQ160" s="128"/>
    </row>
    <row r="161" spans="1:69" ht="14.25" customHeight="1">
      <c r="A161" s="128"/>
      <c r="B161" s="128"/>
      <c r="C161" s="128"/>
      <c r="D161" s="128"/>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28"/>
      <c r="AA161" s="128"/>
      <c r="AB161" s="128"/>
      <c r="AC161" s="128"/>
      <c r="AD161" s="128"/>
      <c r="AE161" s="128"/>
      <c r="AF161" s="128"/>
      <c r="AG161" s="128"/>
      <c r="AH161" s="128"/>
      <c r="AI161" s="128"/>
      <c r="AJ161" s="128"/>
      <c r="AK161" s="128"/>
      <c r="AL161" s="128"/>
      <c r="AM161" s="128"/>
      <c r="AN161" s="128"/>
      <c r="AO161" s="128"/>
      <c r="AP161" s="128"/>
      <c r="AQ161" s="128"/>
      <c r="AR161" s="128"/>
      <c r="AS161" s="128"/>
      <c r="AT161" s="128"/>
      <c r="AU161" s="128"/>
      <c r="AV161" s="128"/>
      <c r="AW161" s="128"/>
      <c r="AX161" s="128"/>
      <c r="AY161" s="128"/>
      <c r="AZ161" s="128"/>
      <c r="BA161" s="128"/>
      <c r="BB161" s="128"/>
      <c r="BC161" s="128"/>
      <c r="BD161" s="128"/>
      <c r="BE161" s="128"/>
      <c r="BF161" s="128"/>
      <c r="BG161" s="128"/>
      <c r="BH161" s="128"/>
      <c r="BI161" s="128"/>
      <c r="BJ161" s="128"/>
      <c r="BK161" s="128"/>
      <c r="BL161" s="128"/>
      <c r="BM161" s="128"/>
      <c r="BN161" s="128"/>
      <c r="BO161" s="128"/>
      <c r="BP161" s="128"/>
      <c r="BQ161" s="128"/>
    </row>
    <row r="162" spans="1:69" ht="14.25" customHeight="1">
      <c r="A162" s="128"/>
      <c r="B162" s="128"/>
      <c r="C162" s="128"/>
      <c r="D162" s="128"/>
      <c r="E162" s="128"/>
      <c r="F162" s="128"/>
      <c r="G162" s="128"/>
      <c r="H162" s="128"/>
      <c r="I162" s="128"/>
      <c r="J162" s="128"/>
      <c r="K162" s="128"/>
      <c r="L162" s="128"/>
      <c r="M162" s="128"/>
      <c r="N162" s="128"/>
      <c r="O162" s="128"/>
      <c r="P162" s="128"/>
      <c r="Q162" s="128"/>
      <c r="R162" s="128"/>
      <c r="S162" s="128"/>
      <c r="T162" s="128"/>
      <c r="U162" s="128"/>
      <c r="V162" s="128"/>
      <c r="W162" s="128"/>
      <c r="X162" s="128"/>
      <c r="Y162" s="128"/>
      <c r="Z162" s="128"/>
      <c r="AA162" s="128"/>
      <c r="AB162" s="128"/>
      <c r="AC162" s="128"/>
      <c r="AD162" s="128"/>
      <c r="AE162" s="128"/>
      <c r="AF162" s="128"/>
      <c r="AG162" s="128"/>
      <c r="AH162" s="128"/>
      <c r="AI162" s="128"/>
      <c r="AJ162" s="128"/>
      <c r="AK162" s="128"/>
      <c r="AL162" s="128"/>
      <c r="AM162" s="128"/>
      <c r="AN162" s="128"/>
      <c r="AO162" s="128"/>
      <c r="AP162" s="128"/>
      <c r="AQ162" s="128"/>
      <c r="AR162" s="128"/>
      <c r="AS162" s="128"/>
      <c r="AT162" s="128"/>
      <c r="AU162" s="128"/>
      <c r="AV162" s="128"/>
      <c r="AW162" s="128"/>
      <c r="AX162" s="128"/>
      <c r="AY162" s="128"/>
      <c r="AZ162" s="128"/>
      <c r="BA162" s="128"/>
      <c r="BB162" s="128"/>
      <c r="BC162" s="128"/>
      <c r="BD162" s="128"/>
      <c r="BE162" s="128"/>
      <c r="BF162" s="128"/>
      <c r="BG162" s="128"/>
      <c r="BH162" s="128"/>
      <c r="BI162" s="128"/>
      <c r="BJ162" s="128"/>
      <c r="BK162" s="128"/>
      <c r="BL162" s="128"/>
      <c r="BM162" s="128"/>
      <c r="BN162" s="128"/>
      <c r="BO162" s="128"/>
      <c r="BP162" s="128"/>
      <c r="BQ162" s="128"/>
    </row>
    <row r="163" spans="1:69" ht="14.25" customHeight="1">
      <c r="A163" s="128"/>
      <c r="B163" s="128"/>
      <c r="C163" s="128"/>
      <c r="D163" s="128"/>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28"/>
      <c r="AA163" s="128"/>
      <c r="AB163" s="128"/>
      <c r="AC163" s="128"/>
      <c r="AD163" s="128"/>
      <c r="AE163" s="128"/>
      <c r="AF163" s="128"/>
      <c r="AG163" s="128"/>
      <c r="AH163" s="128"/>
      <c r="AI163" s="128"/>
      <c r="AJ163" s="128"/>
      <c r="AK163" s="128"/>
      <c r="AL163" s="128"/>
      <c r="AM163" s="128"/>
      <c r="AN163" s="128"/>
      <c r="AO163" s="128"/>
      <c r="AP163" s="128"/>
      <c r="AQ163" s="128"/>
      <c r="AR163" s="128"/>
      <c r="AS163" s="128"/>
      <c r="AT163" s="128"/>
      <c r="AU163" s="128"/>
      <c r="AV163" s="128"/>
      <c r="AW163" s="128"/>
      <c r="AX163" s="128"/>
      <c r="AY163" s="128"/>
      <c r="AZ163" s="128"/>
      <c r="BA163" s="128"/>
      <c r="BB163" s="128"/>
      <c r="BC163" s="128"/>
      <c r="BD163" s="128"/>
      <c r="BE163" s="128"/>
      <c r="BF163" s="128"/>
      <c r="BG163" s="128"/>
      <c r="BH163" s="128"/>
      <c r="BI163" s="128"/>
      <c r="BJ163" s="128"/>
      <c r="BK163" s="128"/>
      <c r="BL163" s="128"/>
      <c r="BM163" s="128"/>
      <c r="BN163" s="128"/>
      <c r="BO163" s="128"/>
      <c r="BP163" s="128"/>
      <c r="BQ163" s="128"/>
    </row>
    <row r="164" spans="1:69" ht="14.25" customHeight="1">
      <c r="A164" s="128"/>
      <c r="B164" s="128"/>
      <c r="C164" s="128"/>
      <c r="D164" s="128"/>
      <c r="E164" s="128"/>
      <c r="F164" s="128"/>
      <c r="G164" s="128"/>
      <c r="H164" s="128"/>
      <c r="I164" s="128"/>
      <c r="J164" s="128"/>
      <c r="K164" s="128"/>
      <c r="L164" s="128"/>
      <c r="M164" s="128"/>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row>
    <row r="165" spans="1:69" ht="14.25" customHeight="1">
      <c r="A165" s="128"/>
      <c r="B165" s="128"/>
      <c r="C165" s="128"/>
      <c r="D165" s="128"/>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28"/>
      <c r="AA165" s="128"/>
      <c r="AB165" s="128"/>
      <c r="AC165" s="128"/>
      <c r="AD165" s="128"/>
      <c r="AE165" s="128"/>
      <c r="AF165" s="128"/>
      <c r="AG165" s="128"/>
      <c r="AH165" s="128"/>
      <c r="AI165" s="128"/>
      <c r="AJ165" s="128"/>
      <c r="AK165" s="128"/>
      <c r="AL165" s="128"/>
      <c r="AM165" s="128"/>
      <c r="AN165" s="128"/>
      <c r="AO165" s="128"/>
      <c r="AP165" s="128"/>
      <c r="AQ165" s="128"/>
      <c r="AR165" s="128"/>
      <c r="AS165" s="128"/>
      <c r="AT165" s="128"/>
      <c r="AU165" s="128"/>
      <c r="AV165" s="128"/>
      <c r="AW165" s="128"/>
      <c r="AX165" s="128"/>
      <c r="AY165" s="128"/>
      <c r="AZ165" s="128"/>
      <c r="BA165" s="128"/>
      <c r="BB165" s="128"/>
      <c r="BC165" s="128"/>
      <c r="BD165" s="128"/>
      <c r="BE165" s="128"/>
      <c r="BF165" s="128"/>
      <c r="BG165" s="128"/>
      <c r="BH165" s="128"/>
      <c r="BI165" s="128"/>
      <c r="BJ165" s="128"/>
      <c r="BK165" s="128"/>
      <c r="BL165" s="128"/>
      <c r="BM165" s="128"/>
      <c r="BN165" s="128"/>
      <c r="BO165" s="128"/>
      <c r="BP165" s="128"/>
      <c r="BQ165" s="128"/>
    </row>
    <row r="166" spans="1:69" ht="14.25" customHeight="1">
      <c r="A166" s="128"/>
      <c r="B166" s="128"/>
      <c r="C166" s="128"/>
      <c r="D166" s="128"/>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c r="AA166" s="128"/>
      <c r="AB166" s="128"/>
      <c r="AC166" s="128"/>
      <c r="AD166" s="128"/>
      <c r="AE166" s="128"/>
      <c r="AF166" s="128"/>
      <c r="AG166" s="128"/>
      <c r="AH166" s="128"/>
      <c r="AI166" s="128"/>
      <c r="AJ166" s="128"/>
      <c r="AK166" s="128"/>
      <c r="AL166" s="128"/>
      <c r="AM166" s="128"/>
      <c r="AN166" s="128"/>
      <c r="AO166" s="128"/>
      <c r="AP166" s="128"/>
      <c r="AQ166" s="128"/>
      <c r="AR166" s="128"/>
      <c r="AS166" s="128"/>
      <c r="AT166" s="128"/>
      <c r="AU166" s="128"/>
      <c r="AV166" s="128"/>
      <c r="AW166" s="128"/>
      <c r="AX166" s="128"/>
      <c r="AY166" s="128"/>
      <c r="AZ166" s="128"/>
      <c r="BA166" s="128"/>
      <c r="BB166" s="128"/>
      <c r="BC166" s="128"/>
      <c r="BD166" s="128"/>
      <c r="BE166" s="128"/>
      <c r="BF166" s="128"/>
      <c r="BG166" s="128"/>
      <c r="BH166" s="128"/>
      <c r="BI166" s="128"/>
      <c r="BJ166" s="128"/>
      <c r="BK166" s="128"/>
      <c r="BL166" s="128"/>
      <c r="BM166" s="128"/>
      <c r="BN166" s="128"/>
      <c r="BO166" s="128"/>
      <c r="BP166" s="128"/>
      <c r="BQ166" s="128"/>
    </row>
    <row r="167" spans="1:69" ht="14.25" customHeight="1">
      <c r="A167" s="128"/>
      <c r="B167" s="128"/>
      <c r="C167" s="128"/>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c r="AA167" s="128"/>
      <c r="AB167" s="128"/>
      <c r="AC167" s="128"/>
      <c r="AD167" s="128"/>
      <c r="AE167" s="128"/>
      <c r="AF167" s="128"/>
      <c r="AG167" s="128"/>
      <c r="AH167" s="128"/>
      <c r="AI167" s="128"/>
      <c r="AJ167" s="128"/>
      <c r="AK167" s="128"/>
      <c r="AL167" s="128"/>
      <c r="AM167" s="128"/>
      <c r="AN167" s="128"/>
      <c r="AO167" s="128"/>
      <c r="AP167" s="128"/>
      <c r="AQ167" s="128"/>
      <c r="AR167" s="128"/>
      <c r="AS167" s="128"/>
      <c r="AT167" s="128"/>
      <c r="AU167" s="128"/>
      <c r="AV167" s="128"/>
      <c r="AW167" s="128"/>
      <c r="AX167" s="128"/>
      <c r="AY167" s="128"/>
      <c r="AZ167" s="128"/>
      <c r="BA167" s="128"/>
      <c r="BB167" s="128"/>
      <c r="BC167" s="128"/>
      <c r="BD167" s="128"/>
      <c r="BE167" s="128"/>
      <c r="BF167" s="128"/>
      <c r="BG167" s="128"/>
      <c r="BH167" s="128"/>
      <c r="BI167" s="128"/>
      <c r="BJ167" s="128"/>
      <c r="BK167" s="128"/>
      <c r="BL167" s="128"/>
      <c r="BM167" s="128"/>
      <c r="BN167" s="128"/>
      <c r="BO167" s="128"/>
      <c r="BP167" s="128"/>
      <c r="BQ167" s="128"/>
    </row>
    <row r="168" spans="1:69" ht="14.25" customHeight="1">
      <c r="A168" s="128"/>
      <c r="B168" s="128"/>
      <c r="C168" s="128"/>
      <c r="D168" s="128"/>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c r="AA168" s="128"/>
      <c r="AB168" s="128"/>
      <c r="AC168" s="128"/>
      <c r="AD168" s="128"/>
      <c r="AE168" s="128"/>
      <c r="AF168" s="128"/>
      <c r="AG168" s="128"/>
      <c r="AH168" s="128"/>
      <c r="AI168" s="128"/>
      <c r="AJ168" s="128"/>
      <c r="AK168" s="128"/>
      <c r="AL168" s="128"/>
      <c r="AM168" s="128"/>
      <c r="AN168" s="128"/>
      <c r="AO168" s="128"/>
      <c r="AP168" s="128"/>
      <c r="AQ168" s="128"/>
      <c r="AR168" s="128"/>
      <c r="AS168" s="128"/>
      <c r="AT168" s="128"/>
      <c r="AU168" s="128"/>
      <c r="AV168" s="128"/>
      <c r="AW168" s="128"/>
      <c r="AX168" s="128"/>
      <c r="AY168" s="128"/>
      <c r="AZ168" s="128"/>
      <c r="BA168" s="128"/>
      <c r="BB168" s="128"/>
      <c r="BC168" s="128"/>
      <c r="BD168" s="128"/>
      <c r="BE168" s="128"/>
      <c r="BF168" s="128"/>
      <c r="BG168" s="128"/>
      <c r="BH168" s="128"/>
      <c r="BI168" s="128"/>
      <c r="BJ168" s="128"/>
      <c r="BK168" s="128"/>
      <c r="BL168" s="128"/>
      <c r="BM168" s="128"/>
      <c r="BN168" s="128"/>
      <c r="BO168" s="128"/>
      <c r="BP168" s="128"/>
      <c r="BQ168" s="128"/>
    </row>
    <row r="169" spans="1:69" ht="14.25" customHeight="1">
      <c r="A169" s="128"/>
      <c r="B169" s="128"/>
      <c r="C169" s="128"/>
      <c r="D169" s="128"/>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28"/>
      <c r="AA169" s="128"/>
      <c r="AB169" s="128"/>
      <c r="AC169" s="128"/>
      <c r="AD169" s="128"/>
      <c r="AE169" s="128"/>
      <c r="AF169" s="128"/>
      <c r="AG169" s="128"/>
      <c r="AH169" s="128"/>
      <c r="AI169" s="128"/>
      <c r="AJ169" s="128"/>
      <c r="AK169" s="128"/>
      <c r="AL169" s="128"/>
      <c r="AM169" s="128"/>
      <c r="AN169" s="128"/>
      <c r="AO169" s="128"/>
      <c r="AP169" s="128"/>
      <c r="AQ169" s="128"/>
      <c r="AR169" s="128"/>
      <c r="AS169" s="128"/>
      <c r="AT169" s="128"/>
      <c r="AU169" s="128"/>
      <c r="AV169" s="128"/>
      <c r="AW169" s="128"/>
      <c r="AX169" s="128"/>
      <c r="AY169" s="128"/>
      <c r="AZ169" s="128"/>
      <c r="BA169" s="128"/>
      <c r="BB169" s="128"/>
      <c r="BC169" s="128"/>
      <c r="BD169" s="128"/>
      <c r="BE169" s="128"/>
      <c r="BF169" s="128"/>
      <c r="BG169" s="128"/>
      <c r="BH169" s="128"/>
      <c r="BI169" s="128"/>
      <c r="BJ169" s="128"/>
      <c r="BK169" s="128"/>
      <c r="BL169" s="128"/>
      <c r="BM169" s="128"/>
      <c r="BN169" s="128"/>
      <c r="BO169" s="128"/>
      <c r="BP169" s="128"/>
      <c r="BQ169" s="128"/>
    </row>
    <row r="170" spans="1:69" ht="14.25" customHeight="1">
      <c r="A170" s="128"/>
      <c r="B170" s="128"/>
      <c r="C170" s="128"/>
      <c r="D170" s="128"/>
      <c r="E170" s="128"/>
      <c r="F170" s="128"/>
      <c r="G170" s="128"/>
      <c r="H170" s="128"/>
      <c r="I170" s="128"/>
      <c r="J170" s="128"/>
      <c r="K170" s="128"/>
      <c r="L170" s="128"/>
      <c r="M170" s="128"/>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row>
    <row r="171" spans="1:69" ht="14.25" customHeight="1">
      <c r="A171" s="128"/>
      <c r="B171" s="128"/>
      <c r="C171" s="128"/>
      <c r="D171" s="128"/>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28"/>
      <c r="AA171" s="128"/>
      <c r="AB171" s="128"/>
      <c r="AC171" s="128"/>
      <c r="AD171" s="128"/>
      <c r="AE171" s="128"/>
      <c r="AF171" s="128"/>
      <c r="AG171" s="128"/>
      <c r="AH171" s="128"/>
      <c r="AI171" s="128"/>
      <c r="AJ171" s="128"/>
      <c r="AK171" s="128"/>
      <c r="AL171" s="128"/>
      <c r="AM171" s="128"/>
      <c r="AN171" s="128"/>
      <c r="AO171" s="128"/>
      <c r="AP171" s="128"/>
      <c r="AQ171" s="128"/>
      <c r="AR171" s="128"/>
      <c r="AS171" s="128"/>
      <c r="AT171" s="128"/>
      <c r="AU171" s="128"/>
      <c r="AV171" s="128"/>
      <c r="AW171" s="128"/>
      <c r="AX171" s="128"/>
      <c r="AY171" s="128"/>
      <c r="AZ171" s="128"/>
      <c r="BA171" s="128"/>
      <c r="BB171" s="128"/>
      <c r="BC171" s="128"/>
      <c r="BD171" s="128"/>
      <c r="BE171" s="128"/>
      <c r="BF171" s="128"/>
      <c r="BG171" s="128"/>
      <c r="BH171" s="128"/>
      <c r="BI171" s="128"/>
      <c r="BJ171" s="128"/>
      <c r="BK171" s="128"/>
      <c r="BL171" s="128"/>
      <c r="BM171" s="128"/>
      <c r="BN171" s="128"/>
      <c r="BO171" s="128"/>
      <c r="BP171" s="128"/>
      <c r="BQ171" s="128"/>
    </row>
    <row r="172" spans="1:69" ht="14.25" customHeight="1">
      <c r="A172" s="128"/>
      <c r="B172" s="128"/>
      <c r="C172" s="128"/>
      <c r="D172" s="128"/>
      <c r="E172" s="128"/>
      <c r="F172" s="128"/>
      <c r="G172" s="128"/>
      <c r="H172" s="128"/>
      <c r="I172" s="128"/>
      <c r="J172" s="128"/>
      <c r="K172" s="128"/>
      <c r="L172" s="128"/>
      <c r="M172" s="128"/>
      <c r="N172" s="128"/>
      <c r="O172" s="128"/>
      <c r="P172" s="128"/>
      <c r="Q172" s="128"/>
      <c r="R172" s="128"/>
      <c r="S172" s="128"/>
      <c r="T172" s="128"/>
      <c r="U172" s="128"/>
      <c r="V172" s="128"/>
      <c r="W172" s="128"/>
      <c r="X172" s="128"/>
      <c r="Y172" s="128"/>
      <c r="Z172" s="128"/>
      <c r="AA172" s="128"/>
      <c r="AB172" s="128"/>
      <c r="AC172" s="128"/>
      <c r="AD172" s="128"/>
      <c r="AE172" s="128"/>
      <c r="AF172" s="128"/>
      <c r="AG172" s="128"/>
      <c r="AH172" s="128"/>
      <c r="AI172" s="128"/>
      <c r="AJ172" s="128"/>
      <c r="AK172" s="128"/>
      <c r="AL172" s="128"/>
      <c r="AM172" s="128"/>
      <c r="AN172" s="128"/>
      <c r="AO172" s="128"/>
      <c r="AP172" s="128"/>
      <c r="AQ172" s="128"/>
      <c r="AR172" s="128"/>
      <c r="AS172" s="128"/>
      <c r="AT172" s="128"/>
      <c r="AU172" s="128"/>
      <c r="AV172" s="128"/>
      <c r="AW172" s="128"/>
      <c r="AX172" s="128"/>
      <c r="AY172" s="128"/>
      <c r="AZ172" s="128"/>
      <c r="BA172" s="128"/>
      <c r="BB172" s="128"/>
      <c r="BC172" s="128"/>
      <c r="BD172" s="128"/>
      <c r="BE172" s="128"/>
      <c r="BF172" s="128"/>
      <c r="BG172" s="128"/>
      <c r="BH172" s="128"/>
      <c r="BI172" s="128"/>
      <c r="BJ172" s="128"/>
      <c r="BK172" s="128"/>
      <c r="BL172" s="128"/>
      <c r="BM172" s="128"/>
      <c r="BN172" s="128"/>
      <c r="BO172" s="128"/>
      <c r="BP172" s="128"/>
      <c r="BQ172" s="128"/>
    </row>
    <row r="173" spans="1:69" ht="14.25" customHeight="1">
      <c r="A173" s="128"/>
      <c r="B173" s="128"/>
      <c r="C173" s="128"/>
      <c r="D173" s="128"/>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28"/>
      <c r="AA173" s="128"/>
      <c r="AB173" s="128"/>
      <c r="AC173" s="128"/>
      <c r="AD173" s="128"/>
      <c r="AE173" s="128"/>
      <c r="AF173" s="128"/>
      <c r="AG173" s="128"/>
      <c r="AH173" s="128"/>
      <c r="AI173" s="128"/>
      <c r="AJ173" s="128"/>
      <c r="AK173" s="128"/>
      <c r="AL173" s="128"/>
      <c r="AM173" s="128"/>
      <c r="AN173" s="128"/>
      <c r="AO173" s="128"/>
      <c r="AP173" s="128"/>
      <c r="AQ173" s="128"/>
      <c r="AR173" s="128"/>
      <c r="AS173" s="128"/>
      <c r="AT173" s="128"/>
      <c r="AU173" s="128"/>
      <c r="AV173" s="128"/>
      <c r="AW173" s="128"/>
      <c r="AX173" s="128"/>
      <c r="AY173" s="128"/>
      <c r="AZ173" s="128"/>
      <c r="BA173" s="128"/>
      <c r="BB173" s="128"/>
      <c r="BC173" s="128"/>
      <c r="BD173" s="128"/>
      <c r="BE173" s="128"/>
      <c r="BF173" s="128"/>
      <c r="BG173" s="128"/>
      <c r="BH173" s="128"/>
      <c r="BI173" s="128"/>
      <c r="BJ173" s="128"/>
      <c r="BK173" s="128"/>
      <c r="BL173" s="128"/>
      <c r="BM173" s="128"/>
      <c r="BN173" s="128"/>
      <c r="BO173" s="128"/>
      <c r="BP173" s="128"/>
      <c r="BQ173" s="128"/>
    </row>
    <row r="174" spans="1:69" ht="14.25" customHeight="1">
      <c r="A174" s="128"/>
      <c r="B174" s="128"/>
      <c r="C174" s="128"/>
      <c r="D174" s="128"/>
      <c r="E174" s="128"/>
      <c r="F174" s="128"/>
      <c r="G174" s="128"/>
      <c r="H174" s="128"/>
      <c r="I174" s="128"/>
      <c r="J174" s="128"/>
      <c r="K174" s="128"/>
      <c r="L174" s="128"/>
      <c r="M174" s="128"/>
      <c r="N174" s="128"/>
      <c r="O174" s="128"/>
      <c r="P174" s="128"/>
      <c r="Q174" s="128"/>
      <c r="R174" s="128"/>
      <c r="S174" s="128"/>
      <c r="T174" s="128"/>
      <c r="U174" s="128"/>
      <c r="V174" s="128"/>
      <c r="W174" s="128"/>
      <c r="X174" s="128"/>
      <c r="Y174" s="128"/>
      <c r="Z174" s="128"/>
      <c r="AA174" s="128"/>
      <c r="AB174" s="128"/>
      <c r="AC174" s="128"/>
      <c r="AD174" s="128"/>
      <c r="AE174" s="128"/>
      <c r="AF174" s="128"/>
      <c r="AG174" s="128"/>
      <c r="AH174" s="128"/>
      <c r="AI174" s="128"/>
      <c r="AJ174" s="128"/>
      <c r="AK174" s="128"/>
      <c r="AL174" s="128"/>
      <c r="AM174" s="128"/>
      <c r="AN174" s="128"/>
      <c r="AO174" s="128"/>
      <c r="AP174" s="128"/>
      <c r="AQ174" s="128"/>
      <c r="AR174" s="128"/>
      <c r="AS174" s="128"/>
      <c r="AT174" s="128"/>
      <c r="AU174" s="128"/>
      <c r="AV174" s="128"/>
      <c r="AW174" s="128"/>
      <c r="AX174" s="128"/>
      <c r="AY174" s="128"/>
      <c r="AZ174" s="128"/>
      <c r="BA174" s="128"/>
      <c r="BB174" s="128"/>
      <c r="BC174" s="128"/>
      <c r="BD174" s="128"/>
      <c r="BE174" s="128"/>
      <c r="BF174" s="128"/>
      <c r="BG174" s="128"/>
      <c r="BH174" s="128"/>
      <c r="BI174" s="128"/>
      <c r="BJ174" s="128"/>
      <c r="BK174" s="128"/>
      <c r="BL174" s="128"/>
      <c r="BM174" s="128"/>
      <c r="BN174" s="128"/>
      <c r="BO174" s="128"/>
      <c r="BP174" s="128"/>
      <c r="BQ174" s="128"/>
    </row>
    <row r="175" spans="1:69" ht="14.25" customHeight="1">
      <c r="A175" s="128"/>
      <c r="B175" s="128"/>
      <c r="C175" s="128"/>
      <c r="D175" s="128"/>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28"/>
      <c r="AA175" s="128"/>
      <c r="AB175" s="128"/>
      <c r="AC175" s="128"/>
      <c r="AD175" s="128"/>
      <c r="AE175" s="128"/>
      <c r="AF175" s="128"/>
      <c r="AG175" s="128"/>
      <c r="AH175" s="128"/>
      <c r="AI175" s="128"/>
      <c r="AJ175" s="128"/>
      <c r="AK175" s="128"/>
      <c r="AL175" s="128"/>
      <c r="AM175" s="128"/>
      <c r="AN175" s="128"/>
      <c r="AO175" s="128"/>
      <c r="AP175" s="128"/>
      <c r="AQ175" s="128"/>
      <c r="AR175" s="128"/>
      <c r="AS175" s="128"/>
      <c r="AT175" s="128"/>
      <c r="AU175" s="128"/>
      <c r="AV175" s="128"/>
      <c r="AW175" s="128"/>
      <c r="AX175" s="128"/>
      <c r="AY175" s="128"/>
      <c r="AZ175" s="128"/>
      <c r="BA175" s="128"/>
      <c r="BB175" s="128"/>
      <c r="BC175" s="128"/>
      <c r="BD175" s="128"/>
      <c r="BE175" s="128"/>
      <c r="BF175" s="128"/>
      <c r="BG175" s="128"/>
      <c r="BH175" s="128"/>
      <c r="BI175" s="128"/>
      <c r="BJ175" s="128"/>
      <c r="BK175" s="128"/>
      <c r="BL175" s="128"/>
      <c r="BM175" s="128"/>
      <c r="BN175" s="128"/>
      <c r="BO175" s="128"/>
      <c r="BP175" s="128"/>
      <c r="BQ175" s="128"/>
    </row>
    <row r="176" spans="1:69" ht="14.25" customHeight="1">
      <c r="A176" s="128"/>
      <c r="B176" s="128"/>
      <c r="C176" s="128"/>
      <c r="D176" s="128"/>
      <c r="E176" s="128"/>
      <c r="F176" s="128"/>
      <c r="G176" s="128"/>
      <c r="H176" s="128"/>
      <c r="I176" s="128"/>
      <c r="J176" s="128"/>
      <c r="K176" s="128"/>
      <c r="L176" s="128"/>
      <c r="M176" s="128"/>
      <c r="N176" s="128"/>
      <c r="O176" s="128"/>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row>
    <row r="177" spans="1:69" ht="14.25" customHeight="1">
      <c r="A177" s="128"/>
      <c r="B177" s="128"/>
      <c r="C177" s="12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c r="AA177" s="128"/>
      <c r="AB177" s="128"/>
      <c r="AC177" s="128"/>
      <c r="AD177" s="128"/>
      <c r="AE177" s="128"/>
      <c r="AF177" s="128"/>
      <c r="AG177" s="128"/>
      <c r="AH177" s="128"/>
      <c r="AI177" s="128"/>
      <c r="AJ177" s="128"/>
      <c r="AK177" s="128"/>
      <c r="AL177" s="128"/>
      <c r="AM177" s="128"/>
      <c r="AN177" s="128"/>
      <c r="AO177" s="128"/>
      <c r="AP177" s="128"/>
      <c r="AQ177" s="128"/>
      <c r="AR177" s="128"/>
      <c r="AS177" s="128"/>
      <c r="AT177" s="128"/>
      <c r="AU177" s="128"/>
      <c r="AV177" s="128"/>
      <c r="AW177" s="128"/>
      <c r="AX177" s="128"/>
      <c r="AY177" s="128"/>
      <c r="AZ177" s="128"/>
      <c r="BA177" s="128"/>
      <c r="BB177" s="128"/>
      <c r="BC177" s="128"/>
      <c r="BD177" s="128"/>
      <c r="BE177" s="128"/>
      <c r="BF177" s="128"/>
      <c r="BG177" s="128"/>
      <c r="BH177" s="128"/>
      <c r="BI177" s="128"/>
      <c r="BJ177" s="128"/>
      <c r="BK177" s="128"/>
      <c r="BL177" s="128"/>
      <c r="BM177" s="128"/>
      <c r="BN177" s="128"/>
      <c r="BO177" s="128"/>
      <c r="BP177" s="128"/>
      <c r="BQ177" s="128"/>
    </row>
    <row r="178" spans="1:69" ht="14.25" customHeight="1">
      <c r="A178" s="128"/>
      <c r="B178" s="128"/>
      <c r="C178" s="128"/>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c r="AA178" s="128"/>
      <c r="AB178" s="128"/>
      <c r="AC178" s="128"/>
      <c r="AD178" s="128"/>
      <c r="AE178" s="128"/>
      <c r="AF178" s="128"/>
      <c r="AG178" s="128"/>
      <c r="AH178" s="128"/>
      <c r="AI178" s="128"/>
      <c r="AJ178" s="128"/>
      <c r="AK178" s="128"/>
      <c r="AL178" s="128"/>
      <c r="AM178" s="128"/>
      <c r="AN178" s="128"/>
      <c r="AO178" s="128"/>
      <c r="AP178" s="128"/>
      <c r="AQ178" s="128"/>
      <c r="AR178" s="128"/>
      <c r="AS178" s="128"/>
      <c r="AT178" s="128"/>
      <c r="AU178" s="128"/>
      <c r="AV178" s="128"/>
      <c r="AW178" s="128"/>
      <c r="AX178" s="128"/>
      <c r="AY178" s="128"/>
      <c r="AZ178" s="128"/>
      <c r="BA178" s="128"/>
      <c r="BB178" s="128"/>
      <c r="BC178" s="128"/>
      <c r="BD178" s="128"/>
      <c r="BE178" s="128"/>
      <c r="BF178" s="128"/>
      <c r="BG178" s="128"/>
      <c r="BH178" s="128"/>
      <c r="BI178" s="128"/>
      <c r="BJ178" s="128"/>
      <c r="BK178" s="128"/>
      <c r="BL178" s="128"/>
      <c r="BM178" s="128"/>
      <c r="BN178" s="128"/>
      <c r="BO178" s="128"/>
      <c r="BP178" s="128"/>
      <c r="BQ178" s="128"/>
    </row>
    <row r="179" spans="1:69" ht="14.25" customHeight="1">
      <c r="A179" s="128"/>
      <c r="B179" s="128"/>
      <c r="C179" s="128"/>
      <c r="D179" s="128"/>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28"/>
      <c r="AA179" s="128"/>
      <c r="AB179" s="128"/>
      <c r="AC179" s="128"/>
      <c r="AD179" s="128"/>
      <c r="AE179" s="128"/>
      <c r="AF179" s="128"/>
      <c r="AG179" s="128"/>
      <c r="AH179" s="128"/>
      <c r="AI179" s="128"/>
      <c r="AJ179" s="128"/>
      <c r="AK179" s="128"/>
      <c r="AL179" s="128"/>
      <c r="AM179" s="128"/>
      <c r="AN179" s="128"/>
      <c r="AO179" s="128"/>
      <c r="AP179" s="128"/>
      <c r="AQ179" s="128"/>
      <c r="AR179" s="128"/>
      <c r="AS179" s="128"/>
      <c r="AT179" s="128"/>
      <c r="AU179" s="128"/>
      <c r="AV179" s="128"/>
      <c r="AW179" s="128"/>
      <c r="AX179" s="128"/>
      <c r="AY179" s="128"/>
      <c r="AZ179" s="128"/>
      <c r="BA179" s="128"/>
      <c r="BB179" s="128"/>
      <c r="BC179" s="128"/>
      <c r="BD179" s="128"/>
      <c r="BE179" s="128"/>
      <c r="BF179" s="128"/>
      <c r="BG179" s="128"/>
      <c r="BH179" s="128"/>
      <c r="BI179" s="128"/>
      <c r="BJ179" s="128"/>
      <c r="BK179" s="128"/>
      <c r="BL179" s="128"/>
      <c r="BM179" s="128"/>
      <c r="BN179" s="128"/>
      <c r="BO179" s="128"/>
      <c r="BP179" s="128"/>
      <c r="BQ179" s="128"/>
    </row>
    <row r="180" spans="1:69" ht="14.25" customHeight="1">
      <c r="A180" s="128"/>
      <c r="B180" s="128"/>
      <c r="C180" s="128"/>
      <c r="D180" s="128"/>
      <c r="E180" s="128"/>
      <c r="F180" s="128"/>
      <c r="G180" s="128"/>
      <c r="H180" s="128"/>
      <c r="I180" s="128"/>
      <c r="J180" s="128"/>
      <c r="K180" s="128"/>
      <c r="L180" s="128"/>
      <c r="M180" s="128"/>
      <c r="N180" s="128"/>
      <c r="O180" s="128"/>
      <c r="P180" s="128"/>
      <c r="Q180" s="128"/>
      <c r="R180" s="128"/>
      <c r="S180" s="128"/>
      <c r="T180" s="128"/>
      <c r="U180" s="128"/>
      <c r="V180" s="128"/>
      <c r="W180" s="128"/>
      <c r="X180" s="128"/>
      <c r="Y180" s="128"/>
      <c r="Z180" s="128"/>
      <c r="AA180" s="128"/>
      <c r="AB180" s="128"/>
      <c r="AC180" s="128"/>
      <c r="AD180" s="128"/>
      <c r="AE180" s="128"/>
      <c r="AF180" s="128"/>
      <c r="AG180" s="128"/>
      <c r="AH180" s="128"/>
      <c r="AI180" s="128"/>
      <c r="AJ180" s="128"/>
      <c r="AK180" s="128"/>
      <c r="AL180" s="128"/>
      <c r="AM180" s="128"/>
      <c r="AN180" s="128"/>
      <c r="AO180" s="128"/>
      <c r="AP180" s="128"/>
      <c r="AQ180" s="128"/>
      <c r="AR180" s="128"/>
      <c r="AS180" s="128"/>
      <c r="AT180" s="128"/>
      <c r="AU180" s="128"/>
      <c r="AV180" s="128"/>
      <c r="AW180" s="128"/>
      <c r="AX180" s="128"/>
      <c r="AY180" s="128"/>
      <c r="AZ180" s="128"/>
      <c r="BA180" s="128"/>
      <c r="BB180" s="128"/>
      <c r="BC180" s="128"/>
      <c r="BD180" s="128"/>
      <c r="BE180" s="128"/>
      <c r="BF180" s="128"/>
      <c r="BG180" s="128"/>
      <c r="BH180" s="128"/>
      <c r="BI180" s="128"/>
      <c r="BJ180" s="128"/>
      <c r="BK180" s="128"/>
      <c r="BL180" s="128"/>
      <c r="BM180" s="128"/>
      <c r="BN180" s="128"/>
      <c r="BO180" s="128"/>
      <c r="BP180" s="128"/>
      <c r="BQ180" s="128"/>
    </row>
    <row r="181" spans="1:69" ht="14.25" customHeight="1">
      <c r="A181" s="128"/>
      <c r="B181" s="128"/>
      <c r="C181" s="128"/>
      <c r="D181" s="128"/>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28"/>
      <c r="AA181" s="128"/>
      <c r="AB181" s="128"/>
      <c r="AC181" s="128"/>
      <c r="AD181" s="128"/>
      <c r="AE181" s="128"/>
      <c r="AF181" s="128"/>
      <c r="AG181" s="128"/>
      <c r="AH181" s="128"/>
      <c r="AI181" s="128"/>
      <c r="AJ181" s="128"/>
      <c r="AK181" s="128"/>
      <c r="AL181" s="128"/>
      <c r="AM181" s="128"/>
      <c r="AN181" s="128"/>
      <c r="AO181" s="128"/>
      <c r="AP181" s="128"/>
      <c r="AQ181" s="128"/>
      <c r="AR181" s="128"/>
      <c r="AS181" s="128"/>
      <c r="AT181" s="128"/>
      <c r="AU181" s="128"/>
      <c r="AV181" s="128"/>
      <c r="AW181" s="128"/>
      <c r="AX181" s="128"/>
      <c r="AY181" s="128"/>
      <c r="AZ181" s="128"/>
      <c r="BA181" s="128"/>
      <c r="BB181" s="128"/>
      <c r="BC181" s="128"/>
      <c r="BD181" s="128"/>
      <c r="BE181" s="128"/>
      <c r="BF181" s="128"/>
      <c r="BG181" s="128"/>
      <c r="BH181" s="128"/>
      <c r="BI181" s="128"/>
      <c r="BJ181" s="128"/>
      <c r="BK181" s="128"/>
      <c r="BL181" s="128"/>
      <c r="BM181" s="128"/>
      <c r="BN181" s="128"/>
      <c r="BO181" s="128"/>
      <c r="BP181" s="128"/>
      <c r="BQ181" s="128"/>
    </row>
    <row r="182" spans="1:69" ht="14.25" customHeight="1">
      <c r="A182" s="128"/>
      <c r="B182" s="128"/>
      <c r="C182" s="128"/>
      <c r="D182" s="128"/>
      <c r="E182" s="128"/>
      <c r="F182" s="128"/>
      <c r="G182" s="128"/>
      <c r="H182" s="128"/>
      <c r="I182" s="128"/>
      <c r="J182" s="128"/>
      <c r="K182" s="128"/>
      <c r="L182" s="128"/>
      <c r="M182" s="128"/>
      <c r="N182" s="128"/>
      <c r="O182" s="128"/>
      <c r="P182" s="128"/>
      <c r="Q182" s="128"/>
      <c r="R182" s="128"/>
      <c r="S182" s="128"/>
      <c r="T182" s="128"/>
      <c r="U182" s="128"/>
      <c r="V182" s="128"/>
      <c r="W182" s="128"/>
      <c r="X182" s="128"/>
      <c r="Y182" s="128"/>
      <c r="Z182" s="128"/>
      <c r="AA182" s="128"/>
      <c r="AB182" s="128"/>
      <c r="AC182" s="128"/>
      <c r="AD182" s="128"/>
      <c r="AE182" s="128"/>
      <c r="AF182" s="128"/>
      <c r="AG182" s="128"/>
      <c r="AH182" s="128"/>
      <c r="AI182" s="128"/>
      <c r="AJ182" s="128"/>
      <c r="AK182" s="128"/>
      <c r="AL182" s="128"/>
      <c r="AM182" s="128"/>
      <c r="AN182" s="128"/>
      <c r="AO182" s="128"/>
      <c r="AP182" s="128"/>
      <c r="AQ182" s="128"/>
      <c r="AR182" s="128"/>
      <c r="AS182" s="128"/>
      <c r="AT182" s="128"/>
      <c r="AU182" s="128"/>
      <c r="AV182" s="128"/>
      <c r="AW182" s="128"/>
      <c r="AX182" s="128"/>
      <c r="AY182" s="128"/>
      <c r="AZ182" s="128"/>
      <c r="BA182" s="128"/>
      <c r="BB182" s="128"/>
      <c r="BC182" s="128"/>
      <c r="BD182" s="128"/>
      <c r="BE182" s="128"/>
      <c r="BF182" s="128"/>
      <c r="BG182" s="128"/>
      <c r="BH182" s="128"/>
      <c r="BI182" s="128"/>
      <c r="BJ182" s="128"/>
      <c r="BK182" s="128"/>
      <c r="BL182" s="128"/>
      <c r="BM182" s="128"/>
      <c r="BN182" s="128"/>
      <c r="BO182" s="128"/>
      <c r="BP182" s="128"/>
      <c r="BQ182" s="128"/>
    </row>
    <row r="183" spans="1:69" ht="14.25" customHeight="1">
      <c r="A183" s="128"/>
      <c r="B183" s="128"/>
      <c r="C183" s="128"/>
      <c r="D183" s="128"/>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28"/>
      <c r="AA183" s="128"/>
      <c r="AB183" s="128"/>
      <c r="AC183" s="128"/>
      <c r="AD183" s="128"/>
      <c r="AE183" s="128"/>
      <c r="AF183" s="128"/>
      <c r="AG183" s="128"/>
      <c r="AH183" s="128"/>
      <c r="AI183" s="128"/>
      <c r="AJ183" s="128"/>
      <c r="AK183" s="128"/>
      <c r="AL183" s="128"/>
      <c r="AM183" s="128"/>
      <c r="AN183" s="128"/>
      <c r="AO183" s="128"/>
      <c r="AP183" s="128"/>
      <c r="AQ183" s="128"/>
      <c r="AR183" s="128"/>
      <c r="AS183" s="128"/>
      <c r="AT183" s="128"/>
      <c r="AU183" s="128"/>
      <c r="AV183" s="128"/>
      <c r="AW183" s="128"/>
      <c r="AX183" s="128"/>
      <c r="AY183" s="128"/>
      <c r="AZ183" s="128"/>
      <c r="BA183" s="128"/>
      <c r="BB183" s="128"/>
      <c r="BC183" s="128"/>
      <c r="BD183" s="128"/>
      <c r="BE183" s="128"/>
      <c r="BF183" s="128"/>
      <c r="BG183" s="128"/>
      <c r="BH183" s="128"/>
      <c r="BI183" s="128"/>
      <c r="BJ183" s="128"/>
      <c r="BK183" s="128"/>
      <c r="BL183" s="128"/>
      <c r="BM183" s="128"/>
      <c r="BN183" s="128"/>
      <c r="BO183" s="128"/>
      <c r="BP183" s="128"/>
      <c r="BQ183" s="128"/>
    </row>
    <row r="184" spans="1:69" ht="14.25" customHeight="1">
      <c r="A184" s="128"/>
      <c r="B184" s="128"/>
      <c r="C184" s="128"/>
      <c r="D184" s="128"/>
      <c r="E184" s="128"/>
      <c r="F184" s="128"/>
      <c r="G184" s="128"/>
      <c r="H184" s="128"/>
      <c r="I184" s="128"/>
      <c r="J184" s="128"/>
      <c r="K184" s="128"/>
      <c r="L184" s="128"/>
      <c r="M184" s="128"/>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row>
    <row r="185" spans="1:69" ht="14.25" customHeight="1">
      <c r="A185" s="128"/>
      <c r="B185" s="128"/>
      <c r="C185" s="128"/>
      <c r="D185" s="128"/>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28"/>
      <c r="AA185" s="128"/>
      <c r="AB185" s="128"/>
      <c r="AC185" s="128"/>
      <c r="AD185" s="128"/>
      <c r="AE185" s="128"/>
      <c r="AF185" s="128"/>
      <c r="AG185" s="128"/>
      <c r="AH185" s="128"/>
      <c r="AI185" s="128"/>
      <c r="AJ185" s="128"/>
      <c r="AK185" s="128"/>
      <c r="AL185" s="128"/>
      <c r="AM185" s="128"/>
      <c r="AN185" s="128"/>
      <c r="AO185" s="128"/>
      <c r="AP185" s="128"/>
      <c r="AQ185" s="128"/>
      <c r="AR185" s="128"/>
      <c r="AS185" s="128"/>
      <c r="AT185" s="128"/>
      <c r="AU185" s="128"/>
      <c r="AV185" s="128"/>
      <c r="AW185" s="128"/>
      <c r="AX185" s="128"/>
      <c r="AY185" s="128"/>
      <c r="AZ185" s="128"/>
      <c r="BA185" s="128"/>
      <c r="BB185" s="128"/>
      <c r="BC185" s="128"/>
      <c r="BD185" s="128"/>
      <c r="BE185" s="128"/>
      <c r="BF185" s="128"/>
      <c r="BG185" s="128"/>
      <c r="BH185" s="128"/>
      <c r="BI185" s="128"/>
      <c r="BJ185" s="128"/>
      <c r="BK185" s="128"/>
      <c r="BL185" s="128"/>
      <c r="BM185" s="128"/>
      <c r="BN185" s="128"/>
      <c r="BO185" s="128"/>
      <c r="BP185" s="128"/>
      <c r="BQ185" s="128"/>
    </row>
    <row r="186" spans="1:69" ht="14.25" customHeight="1">
      <c r="A186" s="128"/>
      <c r="B186" s="128"/>
      <c r="C186" s="128"/>
      <c r="D186" s="128"/>
      <c r="E186" s="128"/>
      <c r="F186" s="128"/>
      <c r="G186" s="128"/>
      <c r="H186" s="128"/>
      <c r="I186" s="128"/>
      <c r="J186" s="128"/>
      <c r="K186" s="128"/>
      <c r="L186" s="128"/>
      <c r="M186" s="128"/>
      <c r="N186" s="128"/>
      <c r="O186" s="128"/>
      <c r="P186" s="128"/>
      <c r="Q186" s="128"/>
      <c r="R186" s="128"/>
      <c r="S186" s="128"/>
      <c r="T186" s="128"/>
      <c r="U186" s="128"/>
      <c r="V186" s="128"/>
      <c r="W186" s="128"/>
      <c r="X186" s="128"/>
      <c r="Y186" s="128"/>
      <c r="Z186" s="128"/>
      <c r="AA186" s="128"/>
      <c r="AB186" s="128"/>
      <c r="AC186" s="128"/>
      <c r="AD186" s="128"/>
      <c r="AE186" s="128"/>
      <c r="AF186" s="128"/>
      <c r="AG186" s="128"/>
      <c r="AH186" s="128"/>
      <c r="AI186" s="128"/>
      <c r="AJ186" s="128"/>
      <c r="AK186" s="128"/>
      <c r="AL186" s="128"/>
      <c r="AM186" s="128"/>
      <c r="AN186" s="128"/>
      <c r="AO186" s="128"/>
      <c r="AP186" s="128"/>
      <c r="AQ186" s="128"/>
      <c r="AR186" s="128"/>
      <c r="AS186" s="128"/>
      <c r="AT186" s="128"/>
      <c r="AU186" s="128"/>
      <c r="AV186" s="128"/>
      <c r="AW186" s="128"/>
      <c r="AX186" s="128"/>
      <c r="AY186" s="128"/>
      <c r="AZ186" s="128"/>
      <c r="BA186" s="128"/>
      <c r="BB186" s="128"/>
      <c r="BC186" s="128"/>
      <c r="BD186" s="128"/>
      <c r="BE186" s="128"/>
      <c r="BF186" s="128"/>
      <c r="BG186" s="128"/>
      <c r="BH186" s="128"/>
      <c r="BI186" s="128"/>
      <c r="BJ186" s="128"/>
      <c r="BK186" s="128"/>
      <c r="BL186" s="128"/>
      <c r="BM186" s="128"/>
      <c r="BN186" s="128"/>
      <c r="BO186" s="128"/>
      <c r="BP186" s="128"/>
      <c r="BQ186" s="128"/>
    </row>
    <row r="187" spans="1:69" ht="14.25" customHeight="1">
      <c r="A187" s="128"/>
      <c r="B187" s="128"/>
      <c r="C187" s="128"/>
      <c r="D187" s="128"/>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c r="AA187" s="128"/>
      <c r="AB187" s="128"/>
      <c r="AC187" s="128"/>
      <c r="AD187" s="128"/>
      <c r="AE187" s="128"/>
      <c r="AF187" s="128"/>
      <c r="AG187" s="128"/>
      <c r="AH187" s="128"/>
      <c r="AI187" s="128"/>
      <c r="AJ187" s="128"/>
      <c r="AK187" s="128"/>
      <c r="AL187" s="128"/>
      <c r="AM187" s="128"/>
      <c r="AN187" s="128"/>
      <c r="AO187" s="128"/>
      <c r="AP187" s="128"/>
      <c r="AQ187" s="128"/>
      <c r="AR187" s="128"/>
      <c r="AS187" s="128"/>
      <c r="AT187" s="128"/>
      <c r="AU187" s="128"/>
      <c r="AV187" s="128"/>
      <c r="AW187" s="128"/>
      <c r="AX187" s="128"/>
      <c r="AY187" s="128"/>
      <c r="AZ187" s="128"/>
      <c r="BA187" s="128"/>
      <c r="BB187" s="128"/>
      <c r="BC187" s="128"/>
      <c r="BD187" s="128"/>
      <c r="BE187" s="128"/>
      <c r="BF187" s="128"/>
      <c r="BG187" s="128"/>
      <c r="BH187" s="128"/>
      <c r="BI187" s="128"/>
      <c r="BJ187" s="128"/>
      <c r="BK187" s="128"/>
      <c r="BL187" s="128"/>
      <c r="BM187" s="128"/>
      <c r="BN187" s="128"/>
      <c r="BO187" s="128"/>
      <c r="BP187" s="128"/>
      <c r="BQ187" s="128"/>
    </row>
    <row r="188" spans="1:69" ht="14.25" customHeight="1">
      <c r="A188" s="128"/>
      <c r="B188" s="128"/>
      <c r="C188" s="128"/>
      <c r="D188" s="128"/>
      <c r="E188" s="128"/>
      <c r="F188" s="128"/>
      <c r="G188" s="128"/>
      <c r="H188" s="128"/>
      <c r="I188" s="128"/>
      <c r="J188" s="128"/>
      <c r="K188" s="128"/>
      <c r="L188" s="128"/>
      <c r="M188" s="128"/>
      <c r="N188" s="128"/>
      <c r="O188" s="128"/>
      <c r="P188" s="128"/>
      <c r="Q188" s="128"/>
      <c r="R188" s="128"/>
      <c r="S188" s="128"/>
      <c r="T188" s="128"/>
      <c r="U188" s="128"/>
      <c r="V188" s="128"/>
      <c r="W188" s="128"/>
      <c r="X188" s="128"/>
      <c r="Y188" s="128"/>
      <c r="Z188" s="128"/>
      <c r="AA188" s="128"/>
      <c r="AB188" s="128"/>
      <c r="AC188" s="128"/>
      <c r="AD188" s="128"/>
      <c r="AE188" s="128"/>
      <c r="AF188" s="128"/>
      <c r="AG188" s="128"/>
      <c r="AH188" s="128"/>
      <c r="AI188" s="128"/>
      <c r="AJ188" s="128"/>
      <c r="AK188" s="128"/>
      <c r="AL188" s="128"/>
      <c r="AM188" s="128"/>
      <c r="AN188" s="128"/>
      <c r="AO188" s="128"/>
      <c r="AP188" s="128"/>
      <c r="AQ188" s="128"/>
      <c r="AR188" s="128"/>
      <c r="AS188" s="128"/>
      <c r="AT188" s="128"/>
      <c r="AU188" s="128"/>
      <c r="AV188" s="128"/>
      <c r="AW188" s="128"/>
      <c r="AX188" s="128"/>
      <c r="AY188" s="128"/>
      <c r="AZ188" s="128"/>
      <c r="BA188" s="128"/>
      <c r="BB188" s="128"/>
      <c r="BC188" s="128"/>
      <c r="BD188" s="128"/>
      <c r="BE188" s="128"/>
      <c r="BF188" s="128"/>
      <c r="BG188" s="128"/>
      <c r="BH188" s="128"/>
      <c r="BI188" s="128"/>
      <c r="BJ188" s="128"/>
      <c r="BK188" s="128"/>
      <c r="BL188" s="128"/>
      <c r="BM188" s="128"/>
      <c r="BN188" s="128"/>
      <c r="BO188" s="128"/>
      <c r="BP188" s="128"/>
      <c r="BQ188" s="128"/>
    </row>
    <row r="189" spans="1:69" ht="14.25" customHeight="1">
      <c r="A189" s="128"/>
      <c r="B189" s="128"/>
      <c r="C189" s="128"/>
      <c r="D189" s="128"/>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28"/>
      <c r="AA189" s="128"/>
      <c r="AB189" s="128"/>
      <c r="AC189" s="128"/>
      <c r="AD189" s="128"/>
      <c r="AE189" s="128"/>
      <c r="AF189" s="128"/>
      <c r="AG189" s="128"/>
      <c r="AH189" s="128"/>
      <c r="AI189" s="128"/>
      <c r="AJ189" s="128"/>
      <c r="AK189" s="128"/>
      <c r="AL189" s="128"/>
      <c r="AM189" s="128"/>
      <c r="AN189" s="128"/>
      <c r="AO189" s="128"/>
      <c r="AP189" s="128"/>
      <c r="AQ189" s="128"/>
      <c r="AR189" s="128"/>
      <c r="AS189" s="128"/>
      <c r="AT189" s="128"/>
      <c r="AU189" s="128"/>
      <c r="AV189" s="128"/>
      <c r="AW189" s="128"/>
      <c r="AX189" s="128"/>
      <c r="AY189" s="128"/>
      <c r="AZ189" s="128"/>
      <c r="BA189" s="128"/>
      <c r="BB189" s="128"/>
      <c r="BC189" s="128"/>
      <c r="BD189" s="128"/>
      <c r="BE189" s="128"/>
      <c r="BF189" s="128"/>
      <c r="BG189" s="128"/>
      <c r="BH189" s="128"/>
      <c r="BI189" s="128"/>
      <c r="BJ189" s="128"/>
      <c r="BK189" s="128"/>
      <c r="BL189" s="128"/>
      <c r="BM189" s="128"/>
      <c r="BN189" s="128"/>
      <c r="BO189" s="128"/>
      <c r="BP189" s="128"/>
      <c r="BQ189" s="128"/>
    </row>
    <row r="190" spans="1:69" ht="14.25" customHeight="1">
      <c r="A190" s="128"/>
      <c r="B190" s="128"/>
      <c r="C190" s="128"/>
      <c r="D190" s="128"/>
      <c r="E190" s="128"/>
      <c r="F190" s="128"/>
      <c r="G190" s="128"/>
      <c r="H190" s="128"/>
      <c r="I190" s="128"/>
      <c r="J190" s="128"/>
      <c r="K190" s="128"/>
      <c r="L190" s="128"/>
      <c r="M190" s="128"/>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row>
    <row r="191" spans="1:69" ht="14.25" customHeight="1">
      <c r="A191" s="128"/>
      <c r="B191" s="128"/>
      <c r="C191" s="128"/>
      <c r="D191" s="128"/>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28"/>
      <c r="AA191" s="128"/>
      <c r="AB191" s="128"/>
      <c r="AC191" s="128"/>
      <c r="AD191" s="128"/>
      <c r="AE191" s="128"/>
      <c r="AF191" s="128"/>
      <c r="AG191" s="128"/>
      <c r="AH191" s="128"/>
      <c r="AI191" s="128"/>
      <c r="AJ191" s="128"/>
      <c r="AK191" s="128"/>
      <c r="AL191" s="128"/>
      <c r="AM191" s="128"/>
      <c r="AN191" s="128"/>
      <c r="AO191" s="128"/>
      <c r="AP191" s="128"/>
      <c r="AQ191" s="128"/>
      <c r="AR191" s="128"/>
      <c r="AS191" s="128"/>
      <c r="AT191" s="128"/>
      <c r="AU191" s="128"/>
      <c r="AV191" s="128"/>
      <c r="AW191" s="128"/>
      <c r="AX191" s="128"/>
      <c r="AY191" s="128"/>
      <c r="AZ191" s="128"/>
      <c r="BA191" s="128"/>
      <c r="BB191" s="128"/>
      <c r="BC191" s="128"/>
      <c r="BD191" s="128"/>
      <c r="BE191" s="128"/>
      <c r="BF191" s="128"/>
      <c r="BG191" s="128"/>
      <c r="BH191" s="128"/>
      <c r="BI191" s="128"/>
      <c r="BJ191" s="128"/>
      <c r="BK191" s="128"/>
      <c r="BL191" s="128"/>
      <c r="BM191" s="128"/>
      <c r="BN191" s="128"/>
      <c r="BO191" s="128"/>
      <c r="BP191" s="128"/>
      <c r="BQ191" s="128"/>
    </row>
    <row r="192" spans="1:69" ht="14.25" customHeight="1">
      <c r="A192" s="128"/>
      <c r="B192" s="128"/>
      <c r="C192" s="128"/>
      <c r="D192" s="128"/>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c r="AA192" s="128"/>
      <c r="AB192" s="128"/>
      <c r="AC192" s="128"/>
      <c r="AD192" s="128"/>
      <c r="AE192" s="128"/>
      <c r="AF192" s="128"/>
      <c r="AG192" s="128"/>
      <c r="AH192" s="128"/>
      <c r="AI192" s="128"/>
      <c r="AJ192" s="128"/>
      <c r="AK192" s="128"/>
      <c r="AL192" s="128"/>
      <c r="AM192" s="128"/>
      <c r="AN192" s="128"/>
      <c r="AO192" s="128"/>
      <c r="AP192" s="128"/>
      <c r="AQ192" s="128"/>
      <c r="AR192" s="128"/>
      <c r="AS192" s="128"/>
      <c r="AT192" s="128"/>
      <c r="AU192" s="128"/>
      <c r="AV192" s="128"/>
      <c r="AW192" s="128"/>
      <c r="AX192" s="128"/>
      <c r="AY192" s="128"/>
      <c r="AZ192" s="128"/>
      <c r="BA192" s="128"/>
      <c r="BB192" s="128"/>
      <c r="BC192" s="128"/>
      <c r="BD192" s="128"/>
      <c r="BE192" s="128"/>
      <c r="BF192" s="128"/>
      <c r="BG192" s="128"/>
      <c r="BH192" s="128"/>
      <c r="BI192" s="128"/>
      <c r="BJ192" s="128"/>
      <c r="BK192" s="128"/>
      <c r="BL192" s="128"/>
      <c r="BM192" s="128"/>
      <c r="BN192" s="128"/>
      <c r="BO192" s="128"/>
      <c r="BP192" s="128"/>
      <c r="BQ192" s="128"/>
    </row>
    <row r="193" spans="1:69" ht="14.25" customHeight="1">
      <c r="A193" s="128"/>
      <c r="B193" s="128"/>
      <c r="C193" s="128"/>
      <c r="D193" s="128"/>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28"/>
      <c r="AA193" s="128"/>
      <c r="AB193" s="128"/>
      <c r="AC193" s="128"/>
      <c r="AD193" s="128"/>
      <c r="AE193" s="128"/>
      <c r="AF193" s="128"/>
      <c r="AG193" s="128"/>
      <c r="AH193" s="128"/>
      <c r="AI193" s="128"/>
      <c r="AJ193" s="128"/>
      <c r="AK193" s="128"/>
      <c r="AL193" s="128"/>
      <c r="AM193" s="128"/>
      <c r="AN193" s="128"/>
      <c r="AO193" s="128"/>
      <c r="AP193" s="128"/>
      <c r="AQ193" s="128"/>
      <c r="AR193" s="128"/>
      <c r="AS193" s="128"/>
      <c r="AT193" s="128"/>
      <c r="AU193" s="128"/>
      <c r="AV193" s="128"/>
      <c r="AW193" s="128"/>
      <c r="AX193" s="128"/>
      <c r="AY193" s="128"/>
      <c r="AZ193" s="128"/>
      <c r="BA193" s="128"/>
      <c r="BB193" s="128"/>
      <c r="BC193" s="128"/>
      <c r="BD193" s="128"/>
      <c r="BE193" s="128"/>
      <c r="BF193" s="128"/>
      <c r="BG193" s="128"/>
      <c r="BH193" s="128"/>
      <c r="BI193" s="128"/>
      <c r="BJ193" s="128"/>
      <c r="BK193" s="128"/>
      <c r="BL193" s="128"/>
      <c r="BM193" s="128"/>
      <c r="BN193" s="128"/>
      <c r="BO193" s="128"/>
      <c r="BP193" s="128"/>
      <c r="BQ193" s="128"/>
    </row>
    <row r="194" spans="1:69" ht="14.25" customHeight="1">
      <c r="A194" s="128"/>
      <c r="B194" s="128"/>
      <c r="C194" s="128"/>
      <c r="D194" s="128"/>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c r="AA194" s="128"/>
      <c r="AB194" s="128"/>
      <c r="AC194" s="128"/>
      <c r="AD194" s="128"/>
      <c r="AE194" s="128"/>
      <c r="AF194" s="128"/>
      <c r="AG194" s="128"/>
      <c r="AH194" s="128"/>
      <c r="AI194" s="128"/>
      <c r="AJ194" s="128"/>
      <c r="AK194" s="128"/>
      <c r="AL194" s="128"/>
      <c r="AM194" s="128"/>
      <c r="AN194" s="128"/>
      <c r="AO194" s="128"/>
      <c r="AP194" s="128"/>
      <c r="AQ194" s="128"/>
      <c r="AR194" s="128"/>
      <c r="AS194" s="128"/>
      <c r="AT194" s="128"/>
      <c r="AU194" s="128"/>
      <c r="AV194" s="128"/>
      <c r="AW194" s="128"/>
      <c r="AX194" s="128"/>
      <c r="AY194" s="128"/>
      <c r="AZ194" s="128"/>
      <c r="BA194" s="128"/>
      <c r="BB194" s="128"/>
      <c r="BC194" s="128"/>
      <c r="BD194" s="128"/>
      <c r="BE194" s="128"/>
      <c r="BF194" s="128"/>
      <c r="BG194" s="128"/>
      <c r="BH194" s="128"/>
      <c r="BI194" s="128"/>
      <c r="BJ194" s="128"/>
      <c r="BK194" s="128"/>
      <c r="BL194" s="128"/>
      <c r="BM194" s="128"/>
      <c r="BN194" s="128"/>
      <c r="BO194" s="128"/>
      <c r="BP194" s="128"/>
      <c r="BQ194" s="128"/>
    </row>
    <row r="195" spans="1:69" ht="14.25" customHeight="1">
      <c r="A195" s="128"/>
      <c r="B195" s="128"/>
      <c r="C195" s="128"/>
      <c r="D195" s="128"/>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28"/>
      <c r="AA195" s="128"/>
      <c r="AB195" s="128"/>
      <c r="AC195" s="128"/>
      <c r="AD195" s="128"/>
      <c r="AE195" s="128"/>
      <c r="AF195" s="128"/>
      <c r="AG195" s="128"/>
      <c r="AH195" s="128"/>
      <c r="AI195" s="128"/>
      <c r="AJ195" s="128"/>
      <c r="AK195" s="128"/>
      <c r="AL195" s="128"/>
      <c r="AM195" s="128"/>
      <c r="AN195" s="128"/>
      <c r="AO195" s="128"/>
      <c r="AP195" s="128"/>
      <c r="AQ195" s="128"/>
      <c r="AR195" s="128"/>
      <c r="AS195" s="128"/>
      <c r="AT195" s="128"/>
      <c r="AU195" s="128"/>
      <c r="AV195" s="128"/>
      <c r="AW195" s="128"/>
      <c r="AX195" s="128"/>
      <c r="AY195" s="128"/>
      <c r="AZ195" s="128"/>
      <c r="BA195" s="128"/>
      <c r="BB195" s="128"/>
      <c r="BC195" s="128"/>
      <c r="BD195" s="128"/>
      <c r="BE195" s="128"/>
      <c r="BF195" s="128"/>
      <c r="BG195" s="128"/>
      <c r="BH195" s="128"/>
      <c r="BI195" s="128"/>
      <c r="BJ195" s="128"/>
      <c r="BK195" s="128"/>
      <c r="BL195" s="128"/>
      <c r="BM195" s="128"/>
      <c r="BN195" s="128"/>
      <c r="BO195" s="128"/>
      <c r="BP195" s="128"/>
      <c r="BQ195" s="128"/>
    </row>
    <row r="196" spans="1:69" ht="14.25" customHeight="1">
      <c r="A196" s="128"/>
      <c r="B196" s="128"/>
      <c r="C196" s="128"/>
      <c r="D196" s="128"/>
      <c r="E196" s="128"/>
      <c r="F196" s="128"/>
      <c r="G196" s="128"/>
      <c r="H196" s="128"/>
      <c r="I196" s="128"/>
      <c r="J196" s="128"/>
      <c r="K196" s="128"/>
      <c r="L196" s="128"/>
      <c r="M196" s="128"/>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row>
    <row r="197" spans="1:69" ht="14.25" customHeight="1">
      <c r="A197" s="128"/>
      <c r="B197" s="128"/>
      <c r="C197" s="128"/>
      <c r="D197" s="128"/>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28"/>
      <c r="AA197" s="128"/>
      <c r="AB197" s="128"/>
      <c r="AC197" s="128"/>
      <c r="AD197" s="128"/>
      <c r="AE197" s="128"/>
      <c r="AF197" s="128"/>
      <c r="AG197" s="128"/>
      <c r="AH197" s="128"/>
      <c r="AI197" s="128"/>
      <c r="AJ197" s="128"/>
      <c r="AK197" s="128"/>
      <c r="AL197" s="128"/>
      <c r="AM197" s="128"/>
      <c r="AN197" s="128"/>
      <c r="AO197" s="128"/>
      <c r="AP197" s="128"/>
      <c r="AQ197" s="128"/>
      <c r="AR197" s="128"/>
      <c r="AS197" s="128"/>
      <c r="AT197" s="128"/>
      <c r="AU197" s="128"/>
      <c r="AV197" s="128"/>
      <c r="AW197" s="128"/>
      <c r="AX197" s="128"/>
      <c r="AY197" s="128"/>
      <c r="AZ197" s="128"/>
      <c r="BA197" s="128"/>
      <c r="BB197" s="128"/>
      <c r="BC197" s="128"/>
      <c r="BD197" s="128"/>
      <c r="BE197" s="128"/>
      <c r="BF197" s="128"/>
      <c r="BG197" s="128"/>
      <c r="BH197" s="128"/>
      <c r="BI197" s="128"/>
      <c r="BJ197" s="128"/>
      <c r="BK197" s="128"/>
      <c r="BL197" s="128"/>
      <c r="BM197" s="128"/>
      <c r="BN197" s="128"/>
      <c r="BO197" s="128"/>
      <c r="BP197" s="128"/>
      <c r="BQ197" s="128"/>
    </row>
    <row r="198" spans="1:69" ht="14.25" customHeight="1">
      <c r="A198" s="128"/>
      <c r="B198" s="128"/>
      <c r="C198" s="128"/>
      <c r="D198" s="128"/>
      <c r="E198" s="128"/>
      <c r="F198" s="128"/>
      <c r="G198" s="128"/>
      <c r="H198" s="128"/>
      <c r="I198" s="128"/>
      <c r="J198" s="128"/>
      <c r="K198" s="128"/>
      <c r="L198" s="128"/>
      <c r="M198" s="128"/>
      <c r="N198" s="128"/>
      <c r="O198" s="128"/>
      <c r="P198" s="128"/>
      <c r="Q198" s="128"/>
      <c r="R198" s="128"/>
      <c r="S198" s="128"/>
      <c r="T198" s="128"/>
      <c r="U198" s="128"/>
      <c r="V198" s="128"/>
      <c r="W198" s="128"/>
      <c r="X198" s="128"/>
      <c r="Y198" s="128"/>
      <c r="Z198" s="128"/>
      <c r="AA198" s="128"/>
      <c r="AB198" s="128"/>
      <c r="AC198" s="128"/>
      <c r="AD198" s="128"/>
      <c r="AE198" s="128"/>
      <c r="AF198" s="128"/>
      <c r="AG198" s="128"/>
      <c r="AH198" s="128"/>
      <c r="AI198" s="128"/>
      <c r="AJ198" s="128"/>
      <c r="AK198" s="128"/>
      <c r="AL198" s="128"/>
      <c r="AM198" s="128"/>
      <c r="AN198" s="128"/>
      <c r="AO198" s="128"/>
      <c r="AP198" s="128"/>
      <c r="AQ198" s="128"/>
      <c r="AR198" s="128"/>
      <c r="AS198" s="128"/>
      <c r="AT198" s="128"/>
      <c r="AU198" s="128"/>
      <c r="AV198" s="128"/>
      <c r="AW198" s="128"/>
      <c r="AX198" s="128"/>
      <c r="AY198" s="128"/>
      <c r="AZ198" s="128"/>
      <c r="BA198" s="128"/>
      <c r="BB198" s="128"/>
      <c r="BC198" s="128"/>
      <c r="BD198" s="128"/>
      <c r="BE198" s="128"/>
      <c r="BF198" s="128"/>
      <c r="BG198" s="128"/>
      <c r="BH198" s="128"/>
      <c r="BI198" s="128"/>
      <c r="BJ198" s="128"/>
      <c r="BK198" s="128"/>
      <c r="BL198" s="128"/>
      <c r="BM198" s="128"/>
      <c r="BN198" s="128"/>
      <c r="BO198" s="128"/>
      <c r="BP198" s="128"/>
      <c r="BQ198" s="128"/>
    </row>
    <row r="199" spans="1:69" ht="14.25" customHeight="1">
      <c r="A199" s="128"/>
      <c r="B199" s="128"/>
      <c r="C199" s="128"/>
      <c r="D199" s="128"/>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28"/>
      <c r="AA199" s="128"/>
      <c r="AB199" s="128"/>
      <c r="AC199" s="128"/>
      <c r="AD199" s="128"/>
      <c r="AE199" s="128"/>
      <c r="AF199" s="128"/>
      <c r="AG199" s="128"/>
      <c r="AH199" s="128"/>
      <c r="AI199" s="128"/>
      <c r="AJ199" s="128"/>
      <c r="AK199" s="128"/>
      <c r="AL199" s="128"/>
      <c r="AM199" s="128"/>
      <c r="AN199" s="128"/>
      <c r="AO199" s="128"/>
      <c r="AP199" s="128"/>
      <c r="AQ199" s="128"/>
      <c r="AR199" s="128"/>
      <c r="AS199" s="128"/>
      <c r="AT199" s="128"/>
      <c r="AU199" s="128"/>
      <c r="AV199" s="128"/>
      <c r="AW199" s="128"/>
      <c r="AX199" s="128"/>
      <c r="AY199" s="128"/>
      <c r="AZ199" s="128"/>
      <c r="BA199" s="128"/>
      <c r="BB199" s="128"/>
      <c r="BC199" s="128"/>
      <c r="BD199" s="128"/>
      <c r="BE199" s="128"/>
      <c r="BF199" s="128"/>
      <c r="BG199" s="128"/>
      <c r="BH199" s="128"/>
      <c r="BI199" s="128"/>
      <c r="BJ199" s="128"/>
      <c r="BK199" s="128"/>
      <c r="BL199" s="128"/>
      <c r="BM199" s="128"/>
      <c r="BN199" s="128"/>
      <c r="BO199" s="128"/>
      <c r="BP199" s="128"/>
      <c r="BQ199" s="128"/>
    </row>
    <row r="200" spans="1:69" ht="14.25" customHeight="1">
      <c r="A200" s="128"/>
      <c r="B200" s="128"/>
      <c r="C200" s="128"/>
      <c r="D200" s="128"/>
      <c r="E200" s="128"/>
      <c r="F200" s="128"/>
      <c r="G200" s="128"/>
      <c r="H200" s="128"/>
      <c r="I200" s="128"/>
      <c r="J200" s="128"/>
      <c r="K200" s="128"/>
      <c r="L200" s="128"/>
      <c r="M200" s="128"/>
      <c r="N200" s="128"/>
      <c r="O200" s="128"/>
      <c r="P200" s="128"/>
      <c r="Q200" s="128"/>
      <c r="R200" s="128"/>
      <c r="S200" s="128"/>
      <c r="T200" s="128"/>
      <c r="U200" s="128"/>
      <c r="V200" s="128"/>
      <c r="W200" s="128"/>
      <c r="X200" s="128"/>
      <c r="Y200" s="128"/>
      <c r="Z200" s="128"/>
      <c r="AA200" s="128"/>
      <c r="AB200" s="128"/>
      <c r="AC200" s="128"/>
      <c r="AD200" s="128"/>
      <c r="AE200" s="128"/>
      <c r="AF200" s="128"/>
      <c r="AG200" s="128"/>
      <c r="AH200" s="128"/>
      <c r="AI200" s="128"/>
      <c r="AJ200" s="128"/>
      <c r="AK200" s="128"/>
      <c r="AL200" s="128"/>
      <c r="AM200" s="128"/>
      <c r="AN200" s="128"/>
      <c r="AO200" s="128"/>
      <c r="AP200" s="128"/>
      <c r="AQ200" s="128"/>
      <c r="AR200" s="128"/>
      <c r="AS200" s="128"/>
      <c r="AT200" s="128"/>
      <c r="AU200" s="128"/>
      <c r="AV200" s="128"/>
      <c r="AW200" s="128"/>
      <c r="AX200" s="128"/>
      <c r="AY200" s="128"/>
      <c r="AZ200" s="128"/>
      <c r="BA200" s="128"/>
      <c r="BB200" s="128"/>
      <c r="BC200" s="128"/>
      <c r="BD200" s="128"/>
      <c r="BE200" s="128"/>
      <c r="BF200" s="128"/>
      <c r="BG200" s="128"/>
      <c r="BH200" s="128"/>
      <c r="BI200" s="128"/>
      <c r="BJ200" s="128"/>
      <c r="BK200" s="128"/>
      <c r="BL200" s="128"/>
      <c r="BM200" s="128"/>
      <c r="BN200" s="128"/>
      <c r="BO200" s="128"/>
      <c r="BP200" s="128"/>
      <c r="BQ200" s="128"/>
    </row>
    <row r="201" spans="1:69" ht="14.25" customHeight="1">
      <c r="A201" s="128"/>
      <c r="B201" s="128"/>
      <c r="C201" s="128"/>
      <c r="D201" s="128"/>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28"/>
      <c r="AA201" s="128"/>
      <c r="AB201" s="128"/>
      <c r="AC201" s="128"/>
      <c r="AD201" s="128"/>
      <c r="AE201" s="128"/>
      <c r="AF201" s="128"/>
      <c r="AG201" s="128"/>
      <c r="AH201" s="128"/>
      <c r="AI201" s="128"/>
      <c r="AJ201" s="128"/>
      <c r="AK201" s="128"/>
      <c r="AL201" s="128"/>
      <c r="AM201" s="128"/>
      <c r="AN201" s="128"/>
      <c r="AO201" s="128"/>
      <c r="AP201" s="128"/>
      <c r="AQ201" s="128"/>
      <c r="AR201" s="128"/>
      <c r="AS201" s="128"/>
      <c r="AT201" s="128"/>
      <c r="AU201" s="128"/>
      <c r="AV201" s="128"/>
      <c r="AW201" s="128"/>
      <c r="AX201" s="128"/>
      <c r="AY201" s="128"/>
      <c r="AZ201" s="128"/>
      <c r="BA201" s="128"/>
      <c r="BB201" s="128"/>
      <c r="BC201" s="128"/>
      <c r="BD201" s="128"/>
      <c r="BE201" s="128"/>
      <c r="BF201" s="128"/>
      <c r="BG201" s="128"/>
      <c r="BH201" s="128"/>
      <c r="BI201" s="128"/>
      <c r="BJ201" s="128"/>
      <c r="BK201" s="128"/>
      <c r="BL201" s="128"/>
      <c r="BM201" s="128"/>
      <c r="BN201" s="128"/>
      <c r="BO201" s="128"/>
      <c r="BP201" s="128"/>
      <c r="BQ201" s="128"/>
    </row>
    <row r="202" spans="1:69" ht="14.25" customHeight="1">
      <c r="A202" s="128"/>
      <c r="B202" s="128"/>
      <c r="C202" s="128"/>
      <c r="D202" s="128"/>
      <c r="E202" s="128"/>
      <c r="F202" s="128"/>
      <c r="G202" s="128"/>
      <c r="H202" s="128"/>
      <c r="I202" s="128"/>
      <c r="J202" s="128"/>
      <c r="K202" s="128"/>
      <c r="L202" s="128"/>
      <c r="M202" s="128"/>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row>
    <row r="203" spans="1:69" ht="14.25" customHeight="1">
      <c r="A203" s="128"/>
      <c r="B203" s="128"/>
      <c r="C203" s="128"/>
      <c r="D203" s="128"/>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28"/>
      <c r="AA203" s="128"/>
      <c r="AB203" s="128"/>
      <c r="AC203" s="128"/>
      <c r="AD203" s="128"/>
      <c r="AE203" s="128"/>
      <c r="AF203" s="128"/>
      <c r="AG203" s="128"/>
      <c r="AH203" s="128"/>
      <c r="AI203" s="128"/>
      <c r="AJ203" s="128"/>
      <c r="AK203" s="128"/>
      <c r="AL203" s="128"/>
      <c r="AM203" s="128"/>
      <c r="AN203" s="128"/>
      <c r="AO203" s="128"/>
      <c r="AP203" s="128"/>
      <c r="AQ203" s="128"/>
      <c r="AR203" s="128"/>
      <c r="AS203" s="128"/>
      <c r="AT203" s="128"/>
      <c r="AU203" s="128"/>
      <c r="AV203" s="128"/>
      <c r="AW203" s="128"/>
      <c r="AX203" s="128"/>
      <c r="AY203" s="128"/>
      <c r="AZ203" s="128"/>
      <c r="BA203" s="128"/>
      <c r="BB203" s="128"/>
      <c r="BC203" s="128"/>
      <c r="BD203" s="128"/>
      <c r="BE203" s="128"/>
      <c r="BF203" s="128"/>
      <c r="BG203" s="128"/>
      <c r="BH203" s="128"/>
      <c r="BI203" s="128"/>
      <c r="BJ203" s="128"/>
      <c r="BK203" s="128"/>
      <c r="BL203" s="128"/>
      <c r="BM203" s="128"/>
      <c r="BN203" s="128"/>
      <c r="BO203" s="128"/>
      <c r="BP203" s="128"/>
      <c r="BQ203" s="128"/>
    </row>
    <row r="204" spans="1:69" ht="14.25" customHeight="1">
      <c r="A204" s="128"/>
      <c r="B204" s="128"/>
      <c r="C204" s="128"/>
      <c r="D204" s="128"/>
      <c r="E204" s="128"/>
      <c r="F204" s="128"/>
      <c r="G204" s="128"/>
      <c r="H204" s="128"/>
      <c r="I204" s="128"/>
      <c r="J204" s="128"/>
      <c r="K204" s="128"/>
      <c r="L204" s="128"/>
      <c r="M204" s="128"/>
      <c r="N204" s="128"/>
      <c r="O204" s="128"/>
      <c r="P204" s="128"/>
      <c r="Q204" s="128"/>
      <c r="R204" s="128"/>
      <c r="S204" s="128"/>
      <c r="T204" s="128"/>
      <c r="U204" s="128"/>
      <c r="V204" s="128"/>
      <c r="W204" s="128"/>
      <c r="X204" s="128"/>
      <c r="Y204" s="128"/>
      <c r="Z204" s="128"/>
      <c r="AA204" s="128"/>
      <c r="AB204" s="128"/>
      <c r="AC204" s="128"/>
      <c r="AD204" s="128"/>
      <c r="AE204" s="128"/>
      <c r="AF204" s="128"/>
      <c r="AG204" s="128"/>
      <c r="AH204" s="128"/>
      <c r="AI204" s="128"/>
      <c r="AJ204" s="128"/>
      <c r="AK204" s="128"/>
      <c r="AL204" s="128"/>
      <c r="AM204" s="128"/>
      <c r="AN204" s="128"/>
      <c r="AO204" s="128"/>
      <c r="AP204" s="128"/>
      <c r="AQ204" s="128"/>
      <c r="AR204" s="128"/>
      <c r="AS204" s="128"/>
      <c r="AT204" s="128"/>
      <c r="AU204" s="128"/>
      <c r="AV204" s="128"/>
      <c r="AW204" s="128"/>
      <c r="AX204" s="128"/>
      <c r="AY204" s="128"/>
      <c r="AZ204" s="128"/>
      <c r="BA204" s="128"/>
      <c r="BB204" s="128"/>
      <c r="BC204" s="128"/>
      <c r="BD204" s="128"/>
      <c r="BE204" s="128"/>
      <c r="BF204" s="128"/>
      <c r="BG204" s="128"/>
      <c r="BH204" s="128"/>
      <c r="BI204" s="128"/>
      <c r="BJ204" s="128"/>
      <c r="BK204" s="128"/>
      <c r="BL204" s="128"/>
      <c r="BM204" s="128"/>
      <c r="BN204" s="128"/>
      <c r="BO204" s="128"/>
      <c r="BP204" s="128"/>
      <c r="BQ204" s="128"/>
    </row>
    <row r="205" spans="1:69" ht="14.25" customHeight="1">
      <c r="A205" s="128"/>
      <c r="B205" s="128"/>
      <c r="C205" s="128"/>
      <c r="D205" s="128"/>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28"/>
      <c r="AA205" s="128"/>
      <c r="AB205" s="128"/>
      <c r="AC205" s="128"/>
      <c r="AD205" s="128"/>
      <c r="AE205" s="128"/>
      <c r="AF205" s="128"/>
      <c r="AG205" s="128"/>
      <c r="AH205" s="128"/>
      <c r="AI205" s="128"/>
      <c r="AJ205" s="128"/>
      <c r="AK205" s="128"/>
      <c r="AL205" s="128"/>
      <c r="AM205" s="128"/>
      <c r="AN205" s="128"/>
      <c r="AO205" s="128"/>
      <c r="AP205" s="128"/>
      <c r="AQ205" s="128"/>
      <c r="AR205" s="128"/>
      <c r="AS205" s="128"/>
      <c r="AT205" s="128"/>
      <c r="AU205" s="128"/>
      <c r="AV205" s="128"/>
      <c r="AW205" s="128"/>
      <c r="AX205" s="128"/>
      <c r="AY205" s="128"/>
      <c r="AZ205" s="128"/>
      <c r="BA205" s="128"/>
      <c r="BB205" s="128"/>
      <c r="BC205" s="128"/>
      <c r="BD205" s="128"/>
      <c r="BE205" s="128"/>
      <c r="BF205" s="128"/>
      <c r="BG205" s="128"/>
      <c r="BH205" s="128"/>
      <c r="BI205" s="128"/>
      <c r="BJ205" s="128"/>
      <c r="BK205" s="128"/>
      <c r="BL205" s="128"/>
      <c r="BM205" s="128"/>
      <c r="BN205" s="128"/>
      <c r="BO205" s="128"/>
      <c r="BP205" s="128"/>
      <c r="BQ205" s="128"/>
    </row>
    <row r="206" spans="1:69" ht="14.25" customHeight="1">
      <c r="A206" s="128"/>
      <c r="B206" s="128"/>
      <c r="C206" s="128"/>
      <c r="D206" s="128"/>
      <c r="E206" s="128"/>
      <c r="F206" s="128"/>
      <c r="G206" s="128"/>
      <c r="H206" s="128"/>
      <c r="I206" s="128"/>
      <c r="J206" s="128"/>
      <c r="K206" s="128"/>
      <c r="L206" s="128"/>
      <c r="M206" s="128"/>
      <c r="N206" s="128"/>
      <c r="O206" s="128"/>
      <c r="P206" s="128"/>
      <c r="Q206" s="128"/>
      <c r="R206" s="128"/>
      <c r="S206" s="128"/>
      <c r="T206" s="128"/>
      <c r="U206" s="128"/>
      <c r="V206" s="128"/>
      <c r="W206" s="128"/>
      <c r="X206" s="128"/>
      <c r="Y206" s="128"/>
      <c r="Z206" s="128"/>
      <c r="AA206" s="128"/>
      <c r="AB206" s="128"/>
      <c r="AC206" s="128"/>
      <c r="AD206" s="128"/>
      <c r="AE206" s="128"/>
      <c r="AF206" s="128"/>
      <c r="AG206" s="128"/>
      <c r="AH206" s="128"/>
      <c r="AI206" s="128"/>
      <c r="AJ206" s="128"/>
      <c r="AK206" s="128"/>
      <c r="AL206" s="128"/>
      <c r="AM206" s="128"/>
      <c r="AN206" s="128"/>
      <c r="AO206" s="128"/>
      <c r="AP206" s="128"/>
      <c r="AQ206" s="128"/>
      <c r="AR206" s="128"/>
      <c r="AS206" s="128"/>
      <c r="AT206" s="128"/>
      <c r="AU206" s="128"/>
      <c r="AV206" s="128"/>
      <c r="AW206" s="128"/>
      <c r="AX206" s="128"/>
      <c r="AY206" s="128"/>
      <c r="AZ206" s="128"/>
      <c r="BA206" s="128"/>
      <c r="BB206" s="128"/>
      <c r="BC206" s="128"/>
      <c r="BD206" s="128"/>
      <c r="BE206" s="128"/>
      <c r="BF206" s="128"/>
      <c r="BG206" s="128"/>
      <c r="BH206" s="128"/>
      <c r="BI206" s="128"/>
      <c r="BJ206" s="128"/>
      <c r="BK206" s="128"/>
      <c r="BL206" s="128"/>
      <c r="BM206" s="128"/>
      <c r="BN206" s="128"/>
      <c r="BO206" s="128"/>
      <c r="BP206" s="128"/>
      <c r="BQ206" s="128"/>
    </row>
    <row r="207" spans="1:69" ht="14.25" customHeight="1">
      <c r="A207" s="128"/>
      <c r="B207" s="128"/>
      <c r="C207" s="128"/>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c r="AA207" s="128"/>
      <c r="AB207" s="128"/>
      <c r="AC207" s="128"/>
      <c r="AD207" s="128"/>
      <c r="AE207" s="128"/>
      <c r="AF207" s="128"/>
      <c r="AG207" s="128"/>
      <c r="AH207" s="128"/>
      <c r="AI207" s="128"/>
      <c r="AJ207" s="128"/>
      <c r="AK207" s="128"/>
      <c r="AL207" s="128"/>
      <c r="AM207" s="128"/>
      <c r="AN207" s="128"/>
      <c r="AO207" s="128"/>
      <c r="AP207" s="128"/>
      <c r="AQ207" s="128"/>
      <c r="AR207" s="128"/>
      <c r="AS207" s="128"/>
      <c r="AT207" s="128"/>
      <c r="AU207" s="128"/>
      <c r="AV207" s="128"/>
      <c r="AW207" s="128"/>
      <c r="AX207" s="128"/>
      <c r="AY207" s="128"/>
      <c r="AZ207" s="128"/>
      <c r="BA207" s="128"/>
      <c r="BB207" s="128"/>
      <c r="BC207" s="128"/>
      <c r="BD207" s="128"/>
      <c r="BE207" s="128"/>
      <c r="BF207" s="128"/>
      <c r="BG207" s="128"/>
      <c r="BH207" s="128"/>
      <c r="BI207" s="128"/>
      <c r="BJ207" s="128"/>
      <c r="BK207" s="128"/>
      <c r="BL207" s="128"/>
      <c r="BM207" s="128"/>
      <c r="BN207" s="128"/>
      <c r="BO207" s="128"/>
      <c r="BP207" s="128"/>
      <c r="BQ207" s="128"/>
    </row>
    <row r="208" spans="1:69" ht="14.25" customHeight="1">
      <c r="A208" s="128"/>
      <c r="B208" s="128"/>
      <c r="C208" s="128"/>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row>
    <row r="209" spans="1:69" ht="14.25" customHeight="1">
      <c r="A209" s="128"/>
      <c r="B209" s="128"/>
      <c r="C209" s="128"/>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c r="AA209" s="128"/>
      <c r="AB209" s="128"/>
      <c r="AC209" s="128"/>
      <c r="AD209" s="128"/>
      <c r="AE209" s="128"/>
      <c r="AF209" s="128"/>
      <c r="AG209" s="128"/>
      <c r="AH209" s="128"/>
      <c r="AI209" s="128"/>
      <c r="AJ209" s="128"/>
      <c r="AK209" s="128"/>
      <c r="AL209" s="128"/>
      <c r="AM209" s="128"/>
      <c r="AN209" s="128"/>
      <c r="AO209" s="128"/>
      <c r="AP209" s="128"/>
      <c r="AQ209" s="128"/>
      <c r="AR209" s="128"/>
      <c r="AS209" s="128"/>
      <c r="AT209" s="128"/>
      <c r="AU209" s="128"/>
      <c r="AV209" s="128"/>
      <c r="AW209" s="128"/>
      <c r="AX209" s="128"/>
      <c r="AY209" s="128"/>
      <c r="AZ209" s="128"/>
      <c r="BA209" s="128"/>
      <c r="BB209" s="128"/>
      <c r="BC209" s="128"/>
      <c r="BD209" s="128"/>
      <c r="BE209" s="128"/>
      <c r="BF209" s="128"/>
      <c r="BG209" s="128"/>
      <c r="BH209" s="128"/>
      <c r="BI209" s="128"/>
      <c r="BJ209" s="128"/>
      <c r="BK209" s="128"/>
      <c r="BL209" s="128"/>
      <c r="BM209" s="128"/>
      <c r="BN209" s="128"/>
      <c r="BO209" s="128"/>
      <c r="BP209" s="128"/>
      <c r="BQ209" s="128"/>
    </row>
    <row r="210" spans="1:69" ht="14.25" customHeight="1">
      <c r="A210" s="128"/>
      <c r="B210" s="128"/>
      <c r="C210" s="128"/>
      <c r="D210" s="128"/>
      <c r="E210" s="128"/>
      <c r="F210" s="128"/>
      <c r="G210" s="128"/>
      <c r="H210" s="128"/>
      <c r="I210" s="128"/>
      <c r="J210" s="128"/>
      <c r="K210" s="128"/>
      <c r="L210" s="128"/>
      <c r="M210" s="128"/>
      <c r="N210" s="128"/>
      <c r="O210" s="128"/>
      <c r="P210" s="128"/>
      <c r="Q210" s="128"/>
      <c r="R210" s="128"/>
      <c r="S210" s="128"/>
      <c r="T210" s="128"/>
      <c r="U210" s="128"/>
      <c r="V210" s="128"/>
      <c r="W210" s="128"/>
      <c r="X210" s="128"/>
      <c r="Y210" s="128"/>
      <c r="Z210" s="128"/>
      <c r="AA210" s="128"/>
      <c r="AB210" s="128"/>
      <c r="AC210" s="128"/>
      <c r="AD210" s="128"/>
      <c r="AE210" s="128"/>
      <c r="AF210" s="128"/>
      <c r="AG210" s="128"/>
      <c r="AH210" s="128"/>
      <c r="AI210" s="128"/>
      <c r="AJ210" s="128"/>
      <c r="AK210" s="128"/>
      <c r="AL210" s="128"/>
      <c r="AM210" s="128"/>
      <c r="AN210" s="128"/>
      <c r="AO210" s="128"/>
      <c r="AP210" s="128"/>
      <c r="AQ210" s="128"/>
      <c r="AR210" s="128"/>
      <c r="AS210" s="128"/>
      <c r="AT210" s="128"/>
      <c r="AU210" s="128"/>
      <c r="AV210" s="128"/>
      <c r="AW210" s="128"/>
      <c r="AX210" s="128"/>
      <c r="AY210" s="128"/>
      <c r="AZ210" s="128"/>
      <c r="BA210" s="128"/>
      <c r="BB210" s="128"/>
      <c r="BC210" s="128"/>
      <c r="BD210" s="128"/>
      <c r="BE210" s="128"/>
      <c r="BF210" s="128"/>
      <c r="BG210" s="128"/>
      <c r="BH210" s="128"/>
      <c r="BI210" s="128"/>
      <c r="BJ210" s="128"/>
      <c r="BK210" s="128"/>
      <c r="BL210" s="128"/>
      <c r="BM210" s="128"/>
      <c r="BN210" s="128"/>
      <c r="BO210" s="128"/>
      <c r="BP210" s="128"/>
      <c r="BQ210" s="128"/>
    </row>
    <row r="211" spans="1:69" ht="14.25" customHeight="1">
      <c r="A211" s="128"/>
      <c r="B211" s="128"/>
      <c r="C211" s="128"/>
      <c r="D211" s="128"/>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28"/>
      <c r="AA211" s="128"/>
      <c r="AB211" s="128"/>
      <c r="AC211" s="128"/>
      <c r="AD211" s="128"/>
      <c r="AE211" s="128"/>
      <c r="AF211" s="128"/>
      <c r="AG211" s="128"/>
      <c r="AH211" s="128"/>
      <c r="AI211" s="128"/>
      <c r="AJ211" s="128"/>
      <c r="AK211" s="128"/>
      <c r="AL211" s="128"/>
      <c r="AM211" s="128"/>
      <c r="AN211" s="128"/>
      <c r="AO211" s="128"/>
      <c r="AP211" s="128"/>
      <c r="AQ211" s="128"/>
      <c r="AR211" s="128"/>
      <c r="AS211" s="128"/>
      <c r="AT211" s="128"/>
      <c r="AU211" s="128"/>
      <c r="AV211" s="128"/>
      <c r="AW211" s="128"/>
      <c r="AX211" s="128"/>
      <c r="AY211" s="128"/>
      <c r="AZ211" s="128"/>
      <c r="BA211" s="128"/>
      <c r="BB211" s="128"/>
      <c r="BC211" s="128"/>
      <c r="BD211" s="128"/>
      <c r="BE211" s="128"/>
      <c r="BF211" s="128"/>
      <c r="BG211" s="128"/>
      <c r="BH211" s="128"/>
      <c r="BI211" s="128"/>
      <c r="BJ211" s="128"/>
      <c r="BK211" s="128"/>
      <c r="BL211" s="128"/>
      <c r="BM211" s="128"/>
      <c r="BN211" s="128"/>
      <c r="BO211" s="128"/>
      <c r="BP211" s="128"/>
      <c r="BQ211" s="128"/>
    </row>
    <row r="212" spans="1:69" ht="14.25" customHeight="1">
      <c r="A212" s="128"/>
      <c r="B212" s="128"/>
      <c r="C212" s="128"/>
      <c r="D212" s="128"/>
      <c r="E212" s="128"/>
      <c r="F212" s="128"/>
      <c r="G212" s="128"/>
      <c r="H212" s="128"/>
      <c r="I212" s="128"/>
      <c r="J212" s="128"/>
      <c r="K212" s="128"/>
      <c r="L212" s="128"/>
      <c r="M212" s="128"/>
      <c r="N212" s="128"/>
      <c r="O212" s="128"/>
      <c r="P212" s="128"/>
      <c r="Q212" s="128"/>
      <c r="R212" s="128"/>
      <c r="S212" s="128"/>
      <c r="T212" s="128"/>
      <c r="U212" s="128"/>
      <c r="V212" s="128"/>
      <c r="W212" s="128"/>
      <c r="X212" s="128"/>
      <c r="Y212" s="128"/>
      <c r="Z212" s="128"/>
      <c r="AA212" s="128"/>
      <c r="AB212" s="128"/>
      <c r="AC212" s="128"/>
      <c r="AD212" s="128"/>
      <c r="AE212" s="128"/>
      <c r="AF212" s="128"/>
      <c r="AG212" s="128"/>
      <c r="AH212" s="128"/>
      <c r="AI212" s="128"/>
      <c r="AJ212" s="128"/>
      <c r="AK212" s="128"/>
      <c r="AL212" s="128"/>
      <c r="AM212" s="128"/>
      <c r="AN212" s="128"/>
      <c r="AO212" s="128"/>
      <c r="AP212" s="128"/>
      <c r="AQ212" s="128"/>
      <c r="AR212" s="128"/>
      <c r="AS212" s="128"/>
      <c r="AT212" s="128"/>
      <c r="AU212" s="128"/>
      <c r="AV212" s="128"/>
      <c r="AW212" s="128"/>
      <c r="AX212" s="128"/>
      <c r="AY212" s="128"/>
      <c r="AZ212" s="128"/>
      <c r="BA212" s="128"/>
      <c r="BB212" s="128"/>
      <c r="BC212" s="128"/>
      <c r="BD212" s="128"/>
      <c r="BE212" s="128"/>
      <c r="BF212" s="128"/>
      <c r="BG212" s="128"/>
      <c r="BH212" s="128"/>
      <c r="BI212" s="128"/>
      <c r="BJ212" s="128"/>
      <c r="BK212" s="128"/>
      <c r="BL212" s="128"/>
      <c r="BM212" s="128"/>
      <c r="BN212" s="128"/>
      <c r="BO212" s="128"/>
      <c r="BP212" s="128"/>
      <c r="BQ212" s="128"/>
    </row>
    <row r="213" spans="1:69" ht="14.25" customHeight="1">
      <c r="A213" s="128"/>
      <c r="B213" s="128"/>
      <c r="C213" s="128"/>
      <c r="D213" s="128"/>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28"/>
      <c r="AA213" s="128"/>
      <c r="AB213" s="128"/>
      <c r="AC213" s="128"/>
      <c r="AD213" s="128"/>
      <c r="AE213" s="128"/>
      <c r="AF213" s="128"/>
      <c r="AG213" s="128"/>
      <c r="AH213" s="128"/>
      <c r="AI213" s="128"/>
      <c r="AJ213" s="128"/>
      <c r="AK213" s="128"/>
      <c r="AL213" s="128"/>
      <c r="AM213" s="128"/>
      <c r="AN213" s="128"/>
      <c r="AO213" s="128"/>
      <c r="AP213" s="128"/>
      <c r="AQ213" s="128"/>
      <c r="AR213" s="128"/>
      <c r="AS213" s="128"/>
      <c r="AT213" s="128"/>
      <c r="AU213" s="128"/>
      <c r="AV213" s="128"/>
      <c r="AW213" s="128"/>
      <c r="AX213" s="128"/>
      <c r="AY213" s="128"/>
      <c r="AZ213" s="128"/>
      <c r="BA213" s="128"/>
      <c r="BB213" s="128"/>
      <c r="BC213" s="128"/>
      <c r="BD213" s="128"/>
      <c r="BE213" s="128"/>
      <c r="BF213" s="128"/>
      <c r="BG213" s="128"/>
      <c r="BH213" s="128"/>
      <c r="BI213" s="128"/>
      <c r="BJ213" s="128"/>
      <c r="BK213" s="128"/>
      <c r="BL213" s="128"/>
      <c r="BM213" s="128"/>
      <c r="BN213" s="128"/>
      <c r="BO213" s="128"/>
      <c r="BP213" s="128"/>
      <c r="BQ213" s="128"/>
    </row>
    <row r="214" spans="1:69" ht="14.25" customHeight="1">
      <c r="A214" s="128"/>
      <c r="B214" s="128"/>
      <c r="C214" s="128"/>
      <c r="D214" s="128"/>
      <c r="E214" s="128"/>
      <c r="F214" s="128"/>
      <c r="G214" s="128"/>
      <c r="H214" s="128"/>
      <c r="I214" s="128"/>
      <c r="J214" s="128"/>
      <c r="K214" s="128"/>
      <c r="L214" s="128"/>
      <c r="M214" s="128"/>
      <c r="N214" s="128"/>
      <c r="O214" s="128"/>
      <c r="P214" s="128"/>
      <c r="Q214" s="128"/>
      <c r="R214" s="128"/>
      <c r="S214" s="128"/>
      <c r="T214" s="128"/>
      <c r="U214" s="128"/>
      <c r="V214" s="128"/>
      <c r="W214" s="128"/>
      <c r="X214" s="128"/>
      <c r="Y214" s="128"/>
      <c r="Z214" s="128"/>
      <c r="AA214" s="128"/>
      <c r="AB214" s="128"/>
      <c r="AC214" s="128"/>
      <c r="AD214" s="128"/>
      <c r="AE214" s="128"/>
      <c r="AF214" s="128"/>
      <c r="AG214" s="128"/>
      <c r="AH214" s="128"/>
      <c r="AI214" s="128"/>
      <c r="AJ214" s="128"/>
      <c r="AK214" s="128"/>
      <c r="AL214" s="128"/>
      <c r="AM214" s="128"/>
      <c r="AN214" s="128"/>
      <c r="AO214" s="128"/>
      <c r="AP214" s="128"/>
      <c r="AQ214" s="128"/>
      <c r="AR214" s="128"/>
      <c r="AS214" s="128"/>
      <c r="AT214" s="128"/>
      <c r="AU214" s="128"/>
      <c r="AV214" s="128"/>
      <c r="AW214" s="128"/>
      <c r="AX214" s="128"/>
      <c r="AY214" s="128"/>
      <c r="AZ214" s="128"/>
      <c r="BA214" s="128"/>
      <c r="BB214" s="128"/>
      <c r="BC214" s="128"/>
      <c r="BD214" s="128"/>
      <c r="BE214" s="128"/>
      <c r="BF214" s="128"/>
      <c r="BG214" s="128"/>
      <c r="BH214" s="128"/>
      <c r="BI214" s="128"/>
      <c r="BJ214" s="128"/>
      <c r="BK214" s="128"/>
      <c r="BL214" s="128"/>
      <c r="BM214" s="128"/>
      <c r="BN214" s="128"/>
      <c r="BO214" s="128"/>
      <c r="BP214" s="128"/>
      <c r="BQ214" s="128"/>
    </row>
    <row r="215" spans="1:69" ht="14.25" customHeight="1">
      <c r="A215" s="128"/>
      <c r="B215" s="128"/>
      <c r="C215" s="128"/>
      <c r="D215" s="128"/>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row>
    <row r="216" spans="1:69" ht="14.25" customHeight="1">
      <c r="A216" s="128"/>
      <c r="B216" s="128"/>
      <c r="C216" s="128"/>
      <c r="D216" s="128"/>
      <c r="E216" s="128"/>
      <c r="F216" s="128"/>
      <c r="G216" s="128"/>
      <c r="H216" s="128"/>
      <c r="I216" s="128"/>
      <c r="J216" s="128"/>
      <c r="K216" s="128"/>
      <c r="L216" s="128"/>
      <c r="M216" s="128"/>
      <c r="N216" s="128"/>
      <c r="O216" s="128"/>
      <c r="P216" s="128"/>
      <c r="Q216" s="128"/>
      <c r="R216" s="128"/>
      <c r="S216" s="128"/>
      <c r="T216" s="128"/>
      <c r="U216" s="128"/>
      <c r="V216" s="128"/>
      <c r="W216" s="128"/>
      <c r="X216" s="128"/>
      <c r="Y216" s="128"/>
      <c r="Z216" s="128"/>
      <c r="AA216" s="128"/>
      <c r="AB216" s="128"/>
      <c r="AC216" s="128"/>
      <c r="AD216" s="128"/>
      <c r="AE216" s="128"/>
      <c r="AF216" s="128"/>
      <c r="AG216" s="128"/>
      <c r="AH216" s="128"/>
      <c r="AI216" s="128"/>
      <c r="AJ216" s="128"/>
      <c r="AK216" s="128"/>
      <c r="AL216" s="128"/>
      <c r="AM216" s="128"/>
      <c r="AN216" s="128"/>
      <c r="AO216" s="128"/>
      <c r="AP216" s="128"/>
      <c r="AQ216" s="128"/>
      <c r="AR216" s="128"/>
      <c r="AS216" s="128"/>
      <c r="AT216" s="128"/>
      <c r="AU216" s="128"/>
      <c r="AV216" s="128"/>
      <c r="AW216" s="128"/>
      <c r="AX216" s="128"/>
      <c r="AY216" s="128"/>
      <c r="AZ216" s="128"/>
      <c r="BA216" s="128"/>
      <c r="BB216" s="128"/>
      <c r="BC216" s="128"/>
      <c r="BD216" s="128"/>
      <c r="BE216" s="128"/>
      <c r="BF216" s="128"/>
      <c r="BG216" s="128"/>
      <c r="BH216" s="128"/>
      <c r="BI216" s="128"/>
      <c r="BJ216" s="128"/>
      <c r="BK216" s="128"/>
      <c r="BL216" s="128"/>
      <c r="BM216" s="128"/>
      <c r="BN216" s="128"/>
      <c r="BO216" s="128"/>
      <c r="BP216" s="128"/>
      <c r="BQ216" s="128"/>
    </row>
    <row r="217" spans="1:69" ht="14.25" customHeight="1">
      <c r="A217" s="128"/>
      <c r="B217" s="128"/>
      <c r="C217" s="128"/>
      <c r="D217" s="128"/>
      <c r="E217" s="128"/>
      <c r="F217" s="128"/>
      <c r="G217" s="128"/>
      <c r="H217" s="128"/>
      <c r="I217" s="128"/>
      <c r="J217" s="128"/>
      <c r="K217" s="128"/>
      <c r="L217" s="128"/>
      <c r="M217" s="128"/>
      <c r="N217" s="128"/>
      <c r="O217" s="128"/>
      <c r="P217" s="128"/>
      <c r="Q217" s="128"/>
      <c r="R217" s="128"/>
      <c r="S217" s="128"/>
      <c r="T217" s="128"/>
      <c r="U217" s="128"/>
      <c r="V217" s="128"/>
      <c r="W217" s="128"/>
      <c r="X217" s="128"/>
      <c r="Y217" s="128"/>
      <c r="Z217" s="128"/>
      <c r="AA217" s="128"/>
      <c r="AB217" s="128"/>
      <c r="AC217" s="128"/>
      <c r="AD217" s="128"/>
      <c r="AE217" s="128"/>
      <c r="AF217" s="128"/>
      <c r="AG217" s="128"/>
      <c r="AH217" s="128"/>
      <c r="AI217" s="128"/>
      <c r="AJ217" s="128"/>
      <c r="AK217" s="128"/>
      <c r="AL217" s="128"/>
      <c r="AM217" s="128"/>
      <c r="AN217" s="128"/>
      <c r="AO217" s="128"/>
      <c r="AP217" s="128"/>
      <c r="AQ217" s="128"/>
      <c r="AR217" s="128"/>
      <c r="AS217" s="128"/>
      <c r="AT217" s="128"/>
      <c r="AU217" s="128"/>
      <c r="AV217" s="128"/>
      <c r="AW217" s="128"/>
      <c r="AX217" s="128"/>
      <c r="AY217" s="128"/>
      <c r="AZ217" s="128"/>
      <c r="BA217" s="128"/>
      <c r="BB217" s="128"/>
      <c r="BC217" s="128"/>
      <c r="BD217" s="128"/>
      <c r="BE217" s="128"/>
      <c r="BF217" s="128"/>
      <c r="BG217" s="128"/>
      <c r="BH217" s="128"/>
      <c r="BI217" s="128"/>
      <c r="BJ217" s="128"/>
      <c r="BK217" s="128"/>
      <c r="BL217" s="128"/>
      <c r="BM217" s="128"/>
      <c r="BN217" s="128"/>
      <c r="BO217" s="128"/>
      <c r="BP217" s="128"/>
      <c r="BQ217" s="128"/>
    </row>
    <row r="218" spans="1:69" ht="14.25" customHeight="1">
      <c r="A218" s="128"/>
      <c r="B218" s="128"/>
      <c r="C218" s="128"/>
      <c r="D218" s="128"/>
      <c r="E218" s="128"/>
      <c r="F218" s="128"/>
      <c r="G218" s="128"/>
      <c r="H218" s="128"/>
      <c r="I218" s="128"/>
      <c r="J218" s="128"/>
      <c r="K218" s="128"/>
      <c r="L218" s="128"/>
      <c r="M218" s="128"/>
      <c r="N218" s="128"/>
      <c r="O218" s="128"/>
      <c r="P218" s="128"/>
      <c r="Q218" s="128"/>
      <c r="R218" s="128"/>
      <c r="S218" s="128"/>
      <c r="T218" s="128"/>
      <c r="U218" s="128"/>
      <c r="V218" s="128"/>
      <c r="W218" s="128"/>
      <c r="X218" s="128"/>
      <c r="Y218" s="128"/>
      <c r="Z218" s="128"/>
      <c r="AA218" s="128"/>
      <c r="AB218" s="128"/>
      <c r="AC218" s="128"/>
      <c r="AD218" s="128"/>
      <c r="AE218" s="128"/>
      <c r="AF218" s="128"/>
      <c r="AG218" s="128"/>
      <c r="AH218" s="128"/>
      <c r="AI218" s="128"/>
      <c r="AJ218" s="128"/>
      <c r="AK218" s="128"/>
      <c r="AL218" s="128"/>
      <c r="AM218" s="128"/>
      <c r="AN218" s="128"/>
      <c r="AO218" s="128"/>
      <c r="AP218" s="128"/>
      <c r="AQ218" s="128"/>
      <c r="AR218" s="128"/>
      <c r="AS218" s="128"/>
      <c r="AT218" s="128"/>
      <c r="AU218" s="128"/>
      <c r="AV218" s="128"/>
      <c r="AW218" s="128"/>
      <c r="AX218" s="128"/>
      <c r="AY218" s="128"/>
      <c r="AZ218" s="128"/>
      <c r="BA218" s="128"/>
      <c r="BB218" s="128"/>
      <c r="BC218" s="128"/>
      <c r="BD218" s="128"/>
      <c r="BE218" s="128"/>
      <c r="BF218" s="128"/>
      <c r="BG218" s="128"/>
      <c r="BH218" s="128"/>
      <c r="BI218" s="128"/>
      <c r="BJ218" s="128"/>
      <c r="BK218" s="128"/>
      <c r="BL218" s="128"/>
      <c r="BM218" s="128"/>
      <c r="BN218" s="128"/>
      <c r="BO218" s="128"/>
      <c r="BP218" s="128"/>
      <c r="BQ218" s="128"/>
    </row>
    <row r="219" spans="1:69" ht="14.25" customHeight="1">
      <c r="A219" s="128"/>
      <c r="B219" s="128"/>
      <c r="C219" s="128"/>
      <c r="D219" s="128"/>
      <c r="E219" s="128"/>
      <c r="F219" s="128"/>
      <c r="G219" s="128"/>
      <c r="H219" s="128"/>
      <c r="I219" s="128"/>
      <c r="J219" s="128"/>
      <c r="K219" s="128"/>
      <c r="L219" s="128"/>
      <c r="M219" s="128"/>
      <c r="N219" s="128"/>
      <c r="O219" s="128"/>
      <c r="P219" s="128"/>
      <c r="Q219" s="128"/>
      <c r="R219" s="128"/>
      <c r="S219" s="128"/>
      <c r="T219" s="128"/>
      <c r="U219" s="128"/>
      <c r="V219" s="128"/>
      <c r="W219" s="128"/>
      <c r="X219" s="128"/>
      <c r="Y219" s="128"/>
      <c r="Z219" s="128"/>
      <c r="AA219" s="128"/>
      <c r="AB219" s="128"/>
      <c r="AC219" s="128"/>
      <c r="AD219" s="128"/>
      <c r="AE219" s="128"/>
      <c r="AF219" s="128"/>
      <c r="AG219" s="128"/>
      <c r="AH219" s="128"/>
      <c r="AI219" s="128"/>
      <c r="AJ219" s="128"/>
      <c r="AK219" s="128"/>
      <c r="AL219" s="128"/>
      <c r="AM219" s="128"/>
      <c r="AN219" s="128"/>
      <c r="AO219" s="128"/>
      <c r="AP219" s="128"/>
      <c r="AQ219" s="128"/>
      <c r="AR219" s="128"/>
      <c r="AS219" s="128"/>
      <c r="AT219" s="128"/>
      <c r="AU219" s="128"/>
      <c r="AV219" s="128"/>
      <c r="AW219" s="128"/>
      <c r="AX219" s="128"/>
      <c r="AY219" s="128"/>
      <c r="AZ219" s="128"/>
      <c r="BA219" s="128"/>
      <c r="BB219" s="128"/>
      <c r="BC219" s="128"/>
      <c r="BD219" s="128"/>
      <c r="BE219" s="128"/>
      <c r="BF219" s="128"/>
      <c r="BG219" s="128"/>
      <c r="BH219" s="128"/>
      <c r="BI219" s="128"/>
      <c r="BJ219" s="128"/>
      <c r="BK219" s="128"/>
      <c r="BL219" s="128"/>
      <c r="BM219" s="128"/>
      <c r="BN219" s="128"/>
      <c r="BO219" s="128"/>
      <c r="BP219" s="128"/>
      <c r="BQ219" s="128"/>
    </row>
    <row r="220" spans="1:69" ht="14.25" customHeight="1">
      <c r="A220" s="128"/>
      <c r="B220" s="128"/>
      <c r="C220" s="128"/>
      <c r="D220" s="128"/>
      <c r="E220" s="128"/>
      <c r="F220" s="128"/>
      <c r="G220" s="128"/>
      <c r="H220" s="128"/>
      <c r="I220" s="128"/>
      <c r="J220" s="128"/>
      <c r="K220" s="128"/>
      <c r="L220" s="128"/>
      <c r="M220" s="128"/>
      <c r="N220" s="128"/>
      <c r="O220" s="128"/>
      <c r="P220" s="128"/>
      <c r="Q220" s="128"/>
      <c r="R220" s="128"/>
      <c r="S220" s="128"/>
      <c r="T220" s="128"/>
      <c r="U220" s="128"/>
      <c r="V220" s="128"/>
      <c r="W220" s="128"/>
      <c r="X220" s="128"/>
      <c r="Y220" s="128"/>
      <c r="Z220" s="128"/>
      <c r="AA220" s="128"/>
      <c r="AB220" s="128"/>
      <c r="AC220" s="128"/>
      <c r="AD220" s="128"/>
      <c r="AE220" s="128"/>
      <c r="AF220" s="128"/>
      <c r="AG220" s="128"/>
      <c r="AH220" s="128"/>
      <c r="AI220" s="128"/>
      <c r="AJ220" s="128"/>
      <c r="AK220" s="128"/>
      <c r="AL220" s="128"/>
      <c r="AM220" s="128"/>
      <c r="AN220" s="128"/>
      <c r="AO220" s="128"/>
      <c r="AP220" s="128"/>
      <c r="AQ220" s="128"/>
      <c r="AR220" s="128"/>
      <c r="AS220" s="128"/>
      <c r="AT220" s="128"/>
      <c r="AU220" s="128"/>
      <c r="AV220" s="128"/>
      <c r="AW220" s="128"/>
      <c r="AX220" s="128"/>
      <c r="AY220" s="128"/>
      <c r="AZ220" s="128"/>
      <c r="BA220" s="128"/>
      <c r="BB220" s="128"/>
      <c r="BC220" s="128"/>
      <c r="BD220" s="128"/>
      <c r="BE220" s="128"/>
      <c r="BF220" s="128"/>
      <c r="BG220" s="128"/>
      <c r="BH220" s="128"/>
      <c r="BI220" s="128"/>
      <c r="BJ220" s="128"/>
      <c r="BK220" s="128"/>
      <c r="BL220" s="128"/>
      <c r="BM220" s="128"/>
      <c r="BN220" s="128"/>
      <c r="BO220" s="128"/>
      <c r="BP220" s="128"/>
      <c r="BQ220" s="128"/>
    </row>
    <row r="221" spans="1:69" ht="14.25" customHeight="1">
      <c r="A221" s="128"/>
      <c r="B221" s="128"/>
      <c r="C221" s="128"/>
      <c r="D221" s="128"/>
      <c r="E221" s="128"/>
      <c r="F221" s="128"/>
      <c r="G221" s="128"/>
      <c r="H221" s="128"/>
      <c r="I221" s="128"/>
      <c r="J221" s="128"/>
      <c r="K221" s="128"/>
      <c r="L221" s="128"/>
      <c r="M221" s="128"/>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row>
    <row r="222" spans="1:69" ht="14.25" customHeight="1">
      <c r="A222" s="128"/>
      <c r="B222" s="128"/>
      <c r="C222" s="128"/>
      <c r="D222" s="128"/>
      <c r="E222" s="128"/>
      <c r="F222" s="128"/>
      <c r="G222" s="128"/>
      <c r="H222" s="128"/>
      <c r="I222" s="128"/>
      <c r="J222" s="128"/>
      <c r="K222" s="128"/>
      <c r="L222" s="128"/>
      <c r="M222" s="128"/>
      <c r="N222" s="128"/>
      <c r="O222" s="128"/>
      <c r="P222" s="128"/>
      <c r="Q222" s="128"/>
      <c r="R222" s="128"/>
      <c r="S222" s="128"/>
      <c r="T222" s="128"/>
      <c r="U222" s="128"/>
      <c r="V222" s="128"/>
      <c r="W222" s="128"/>
      <c r="X222" s="128"/>
      <c r="Y222" s="128"/>
      <c r="Z222" s="128"/>
      <c r="AA222" s="128"/>
      <c r="AB222" s="128"/>
      <c r="AC222" s="128"/>
      <c r="AD222" s="128"/>
      <c r="AE222" s="128"/>
      <c r="AF222" s="128"/>
      <c r="AG222" s="128"/>
      <c r="AH222" s="128"/>
      <c r="AI222" s="128"/>
      <c r="AJ222" s="128"/>
      <c r="AK222" s="128"/>
      <c r="AL222" s="128"/>
      <c r="AM222" s="128"/>
      <c r="AN222" s="128"/>
      <c r="AO222" s="128"/>
      <c r="AP222" s="128"/>
      <c r="AQ222" s="128"/>
      <c r="AR222" s="128"/>
      <c r="AS222" s="128"/>
      <c r="AT222" s="128"/>
      <c r="AU222" s="128"/>
      <c r="AV222" s="128"/>
      <c r="AW222" s="128"/>
      <c r="AX222" s="128"/>
      <c r="AY222" s="128"/>
      <c r="AZ222" s="128"/>
      <c r="BA222" s="128"/>
      <c r="BB222" s="128"/>
      <c r="BC222" s="128"/>
      <c r="BD222" s="128"/>
      <c r="BE222" s="128"/>
      <c r="BF222" s="128"/>
      <c r="BG222" s="128"/>
      <c r="BH222" s="128"/>
      <c r="BI222" s="128"/>
      <c r="BJ222" s="128"/>
      <c r="BK222" s="128"/>
      <c r="BL222" s="128"/>
      <c r="BM222" s="128"/>
      <c r="BN222" s="128"/>
      <c r="BO222" s="128"/>
      <c r="BP222" s="128"/>
      <c r="BQ222" s="128"/>
    </row>
    <row r="223" spans="1:69" ht="14.25" customHeight="1">
      <c r="A223" s="128"/>
      <c r="B223" s="128"/>
      <c r="C223" s="128"/>
      <c r="D223" s="128"/>
      <c r="E223" s="128"/>
      <c r="F223" s="128"/>
      <c r="G223" s="128"/>
      <c r="H223" s="128"/>
      <c r="I223" s="128"/>
      <c r="J223" s="128"/>
      <c r="K223" s="128"/>
      <c r="L223" s="128"/>
      <c r="M223" s="128"/>
      <c r="N223" s="128"/>
      <c r="O223" s="128"/>
      <c r="P223" s="128"/>
      <c r="Q223" s="128"/>
      <c r="R223" s="128"/>
      <c r="S223" s="128"/>
      <c r="T223" s="128"/>
      <c r="U223" s="128"/>
      <c r="V223" s="128"/>
      <c r="W223" s="128"/>
      <c r="X223" s="128"/>
      <c r="Y223" s="128"/>
      <c r="Z223" s="128"/>
      <c r="AA223" s="128"/>
      <c r="AB223" s="128"/>
      <c r="AC223" s="128"/>
      <c r="AD223" s="128"/>
      <c r="AE223" s="128"/>
      <c r="AF223" s="128"/>
      <c r="AG223" s="128"/>
      <c r="AH223" s="128"/>
      <c r="AI223" s="128"/>
      <c r="AJ223" s="128"/>
      <c r="AK223" s="128"/>
      <c r="AL223" s="128"/>
      <c r="AM223" s="128"/>
      <c r="AN223" s="128"/>
      <c r="AO223" s="128"/>
      <c r="AP223" s="128"/>
      <c r="AQ223" s="128"/>
      <c r="AR223" s="128"/>
      <c r="AS223" s="128"/>
      <c r="AT223" s="128"/>
      <c r="AU223" s="128"/>
      <c r="AV223" s="128"/>
      <c r="AW223" s="128"/>
      <c r="AX223" s="128"/>
      <c r="AY223" s="128"/>
      <c r="AZ223" s="128"/>
      <c r="BA223" s="128"/>
      <c r="BB223" s="128"/>
      <c r="BC223" s="128"/>
      <c r="BD223" s="128"/>
      <c r="BE223" s="128"/>
      <c r="BF223" s="128"/>
      <c r="BG223" s="128"/>
      <c r="BH223" s="128"/>
      <c r="BI223" s="128"/>
      <c r="BJ223" s="128"/>
      <c r="BK223" s="128"/>
      <c r="BL223" s="128"/>
      <c r="BM223" s="128"/>
      <c r="BN223" s="128"/>
      <c r="BO223" s="128"/>
      <c r="BP223" s="128"/>
      <c r="BQ223" s="128"/>
    </row>
    <row r="224" spans="1:69" ht="14.25" customHeight="1">
      <c r="A224" s="128"/>
      <c r="B224" s="128"/>
      <c r="C224" s="128"/>
      <c r="D224" s="128"/>
      <c r="E224" s="128"/>
      <c r="F224" s="128"/>
      <c r="G224" s="128"/>
      <c r="H224" s="128"/>
      <c r="I224" s="128"/>
      <c r="J224" s="128"/>
      <c r="K224" s="128"/>
      <c r="L224" s="128"/>
      <c r="M224" s="128"/>
      <c r="N224" s="128"/>
      <c r="O224" s="128"/>
      <c r="P224" s="128"/>
      <c r="Q224" s="128"/>
      <c r="R224" s="128"/>
      <c r="S224" s="128"/>
      <c r="T224" s="128"/>
      <c r="U224" s="128"/>
      <c r="V224" s="128"/>
      <c r="W224" s="128"/>
      <c r="X224" s="128"/>
      <c r="Y224" s="128"/>
      <c r="Z224" s="128"/>
      <c r="AA224" s="128"/>
      <c r="AB224" s="128"/>
      <c r="AC224" s="128"/>
      <c r="AD224" s="128"/>
      <c r="AE224" s="128"/>
      <c r="AF224" s="128"/>
      <c r="AG224" s="128"/>
      <c r="AH224" s="128"/>
      <c r="AI224" s="128"/>
      <c r="AJ224" s="128"/>
      <c r="AK224" s="128"/>
      <c r="AL224" s="128"/>
      <c r="AM224" s="128"/>
      <c r="AN224" s="128"/>
      <c r="AO224" s="128"/>
      <c r="AP224" s="128"/>
      <c r="AQ224" s="128"/>
      <c r="AR224" s="128"/>
      <c r="AS224" s="128"/>
      <c r="AT224" s="128"/>
      <c r="AU224" s="128"/>
      <c r="AV224" s="128"/>
      <c r="AW224" s="128"/>
      <c r="AX224" s="128"/>
      <c r="AY224" s="128"/>
      <c r="AZ224" s="128"/>
      <c r="BA224" s="128"/>
      <c r="BB224" s="128"/>
      <c r="BC224" s="128"/>
      <c r="BD224" s="128"/>
      <c r="BE224" s="128"/>
      <c r="BF224" s="128"/>
      <c r="BG224" s="128"/>
      <c r="BH224" s="128"/>
      <c r="BI224" s="128"/>
      <c r="BJ224" s="128"/>
      <c r="BK224" s="128"/>
      <c r="BL224" s="128"/>
      <c r="BM224" s="128"/>
      <c r="BN224" s="128"/>
      <c r="BO224" s="128"/>
      <c r="BP224" s="128"/>
      <c r="BQ224" s="128"/>
    </row>
    <row r="225" spans="1:69" ht="14.25" customHeight="1">
      <c r="A225" s="128"/>
      <c r="B225" s="128"/>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128"/>
      <c r="AH225" s="128"/>
      <c r="AI225" s="128"/>
      <c r="AJ225" s="128"/>
      <c r="AK225" s="128"/>
      <c r="AL225" s="128"/>
      <c r="AM225" s="128"/>
      <c r="AN225" s="128"/>
      <c r="AO225" s="128"/>
      <c r="AP225" s="128"/>
      <c r="AQ225" s="128"/>
      <c r="AR225" s="128"/>
      <c r="AS225" s="128"/>
      <c r="AT225" s="128"/>
      <c r="AU225" s="128"/>
      <c r="AV225" s="128"/>
      <c r="AW225" s="128"/>
      <c r="AX225" s="128"/>
      <c r="AY225" s="128"/>
      <c r="AZ225" s="128"/>
      <c r="BA225" s="128"/>
      <c r="BB225" s="128"/>
      <c r="BC225" s="128"/>
      <c r="BD225" s="128"/>
      <c r="BE225" s="128"/>
      <c r="BF225" s="128"/>
      <c r="BG225" s="128"/>
      <c r="BH225" s="128"/>
      <c r="BI225" s="128"/>
      <c r="BJ225" s="128"/>
      <c r="BK225" s="128"/>
      <c r="BL225" s="128"/>
      <c r="BM225" s="128"/>
      <c r="BN225" s="128"/>
      <c r="BO225" s="128"/>
      <c r="BP225" s="128"/>
      <c r="BQ225" s="128"/>
    </row>
    <row r="226" spans="1:69" ht="14.25" customHeight="1">
      <c r="A226" s="128"/>
      <c r="B226" s="128"/>
      <c r="C226" s="128"/>
      <c r="D226" s="128"/>
      <c r="E226" s="128"/>
      <c r="F226" s="128"/>
      <c r="G226" s="128"/>
      <c r="H226" s="128"/>
      <c r="I226" s="128"/>
      <c r="J226" s="128"/>
      <c r="K226" s="128"/>
      <c r="L226" s="128"/>
      <c r="M226" s="128"/>
      <c r="N226" s="128"/>
      <c r="O226" s="128"/>
      <c r="P226" s="128"/>
      <c r="Q226" s="128"/>
      <c r="R226" s="128"/>
      <c r="S226" s="128"/>
      <c r="T226" s="128"/>
      <c r="U226" s="128"/>
      <c r="V226" s="128"/>
      <c r="W226" s="128"/>
      <c r="X226" s="128"/>
      <c r="Y226" s="128"/>
      <c r="Z226" s="128"/>
      <c r="AA226" s="128"/>
      <c r="AB226" s="128"/>
      <c r="AC226" s="128"/>
      <c r="AD226" s="128"/>
      <c r="AE226" s="128"/>
      <c r="AF226" s="128"/>
      <c r="AG226" s="128"/>
      <c r="AH226" s="128"/>
      <c r="AI226" s="128"/>
      <c r="AJ226" s="128"/>
      <c r="AK226" s="128"/>
      <c r="AL226" s="128"/>
      <c r="AM226" s="128"/>
      <c r="AN226" s="128"/>
      <c r="AO226" s="128"/>
      <c r="AP226" s="128"/>
      <c r="AQ226" s="128"/>
      <c r="AR226" s="128"/>
      <c r="AS226" s="128"/>
      <c r="AT226" s="128"/>
      <c r="AU226" s="128"/>
      <c r="AV226" s="128"/>
      <c r="AW226" s="128"/>
      <c r="AX226" s="128"/>
      <c r="AY226" s="128"/>
      <c r="AZ226" s="128"/>
      <c r="BA226" s="128"/>
      <c r="BB226" s="128"/>
      <c r="BC226" s="128"/>
      <c r="BD226" s="128"/>
      <c r="BE226" s="128"/>
      <c r="BF226" s="128"/>
      <c r="BG226" s="128"/>
      <c r="BH226" s="128"/>
      <c r="BI226" s="128"/>
      <c r="BJ226" s="128"/>
      <c r="BK226" s="128"/>
      <c r="BL226" s="128"/>
      <c r="BM226" s="128"/>
      <c r="BN226" s="128"/>
      <c r="BO226" s="128"/>
      <c r="BP226" s="128"/>
      <c r="BQ226" s="128"/>
    </row>
    <row r="227" spans="1:69" ht="14.25" customHeight="1">
      <c r="A227" s="128"/>
      <c r="B227" s="128"/>
      <c r="C227" s="128"/>
      <c r="D227" s="128"/>
      <c r="E227" s="128"/>
      <c r="F227" s="128"/>
      <c r="G227" s="128"/>
      <c r="H227" s="128"/>
      <c r="I227" s="128"/>
      <c r="J227" s="128"/>
      <c r="K227" s="128"/>
      <c r="L227" s="128"/>
      <c r="M227" s="128"/>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row>
    <row r="228" spans="1:69" ht="14.25" customHeight="1">
      <c r="A228" s="128"/>
      <c r="B228" s="128"/>
      <c r="C228" s="128"/>
      <c r="D228" s="128"/>
      <c r="E228" s="128"/>
      <c r="F228" s="128"/>
      <c r="G228" s="128"/>
      <c r="H228" s="128"/>
      <c r="I228" s="128"/>
      <c r="J228" s="128"/>
      <c r="K228" s="128"/>
      <c r="L228" s="128"/>
      <c r="M228" s="128"/>
      <c r="N228" s="128"/>
      <c r="O228" s="128"/>
      <c r="P228" s="128"/>
      <c r="Q228" s="128"/>
      <c r="R228" s="128"/>
      <c r="S228" s="128"/>
      <c r="T228" s="128"/>
      <c r="U228" s="128"/>
      <c r="V228" s="128"/>
      <c r="W228" s="128"/>
      <c r="X228" s="128"/>
      <c r="Y228" s="128"/>
      <c r="Z228" s="128"/>
      <c r="AA228" s="128"/>
      <c r="AB228" s="128"/>
      <c r="AC228" s="128"/>
      <c r="AD228" s="128"/>
      <c r="AE228" s="128"/>
      <c r="AF228" s="128"/>
      <c r="AG228" s="128"/>
      <c r="AH228" s="128"/>
      <c r="AI228" s="128"/>
      <c r="AJ228" s="128"/>
      <c r="AK228" s="128"/>
      <c r="AL228" s="128"/>
      <c r="AM228" s="128"/>
      <c r="AN228" s="128"/>
      <c r="AO228" s="128"/>
      <c r="AP228" s="128"/>
      <c r="AQ228" s="128"/>
      <c r="AR228" s="128"/>
      <c r="AS228" s="128"/>
      <c r="AT228" s="128"/>
      <c r="AU228" s="128"/>
      <c r="AV228" s="128"/>
      <c r="AW228" s="128"/>
      <c r="AX228" s="128"/>
      <c r="AY228" s="128"/>
      <c r="AZ228" s="128"/>
      <c r="BA228" s="128"/>
      <c r="BB228" s="128"/>
      <c r="BC228" s="128"/>
      <c r="BD228" s="128"/>
      <c r="BE228" s="128"/>
      <c r="BF228" s="128"/>
      <c r="BG228" s="128"/>
      <c r="BH228" s="128"/>
      <c r="BI228" s="128"/>
      <c r="BJ228" s="128"/>
      <c r="BK228" s="128"/>
      <c r="BL228" s="128"/>
      <c r="BM228" s="128"/>
      <c r="BN228" s="128"/>
      <c r="BO228" s="128"/>
      <c r="BP228" s="128"/>
      <c r="BQ228" s="128"/>
    </row>
    <row r="229" spans="1:69" ht="14.25" customHeight="1">
      <c r="A229" s="128"/>
      <c r="B229" s="128"/>
      <c r="C229" s="128"/>
      <c r="D229" s="128"/>
      <c r="E229" s="128"/>
      <c r="F229" s="128"/>
      <c r="G229" s="128"/>
      <c r="H229" s="128"/>
      <c r="I229" s="128"/>
      <c r="J229" s="128"/>
      <c r="K229" s="128"/>
      <c r="L229" s="128"/>
      <c r="M229" s="128"/>
      <c r="N229" s="128"/>
      <c r="O229" s="128"/>
      <c r="P229" s="128"/>
      <c r="Q229" s="128"/>
      <c r="R229" s="128"/>
      <c r="S229" s="128"/>
      <c r="T229" s="128"/>
      <c r="U229" s="128"/>
      <c r="V229" s="128"/>
      <c r="W229" s="128"/>
      <c r="X229" s="128"/>
      <c r="Y229" s="128"/>
      <c r="Z229" s="128"/>
      <c r="AA229" s="128"/>
      <c r="AB229" s="128"/>
      <c r="AC229" s="128"/>
      <c r="AD229" s="128"/>
      <c r="AE229" s="128"/>
      <c r="AF229" s="128"/>
      <c r="AG229" s="128"/>
      <c r="AH229" s="128"/>
      <c r="AI229" s="128"/>
      <c r="AJ229" s="128"/>
      <c r="AK229" s="128"/>
      <c r="AL229" s="128"/>
      <c r="AM229" s="128"/>
      <c r="AN229" s="128"/>
      <c r="AO229" s="128"/>
      <c r="AP229" s="128"/>
      <c r="AQ229" s="128"/>
      <c r="AR229" s="128"/>
      <c r="AS229" s="128"/>
      <c r="AT229" s="128"/>
      <c r="AU229" s="128"/>
      <c r="AV229" s="128"/>
      <c r="AW229" s="128"/>
      <c r="AX229" s="128"/>
      <c r="AY229" s="128"/>
      <c r="AZ229" s="128"/>
      <c r="BA229" s="128"/>
      <c r="BB229" s="128"/>
      <c r="BC229" s="128"/>
      <c r="BD229" s="128"/>
      <c r="BE229" s="128"/>
      <c r="BF229" s="128"/>
      <c r="BG229" s="128"/>
      <c r="BH229" s="128"/>
      <c r="BI229" s="128"/>
      <c r="BJ229" s="128"/>
      <c r="BK229" s="128"/>
      <c r="BL229" s="128"/>
      <c r="BM229" s="128"/>
      <c r="BN229" s="128"/>
      <c r="BO229" s="128"/>
      <c r="BP229" s="128"/>
      <c r="BQ229" s="128"/>
    </row>
    <row r="230" spans="1:69" ht="14.25" customHeight="1">
      <c r="A230" s="128"/>
      <c r="B230" s="128"/>
      <c r="C230" s="128"/>
      <c r="D230" s="128"/>
      <c r="E230" s="128"/>
      <c r="F230" s="128"/>
      <c r="G230" s="128"/>
      <c r="H230" s="128"/>
      <c r="I230" s="128"/>
      <c r="J230" s="128"/>
      <c r="K230" s="128"/>
      <c r="L230" s="128"/>
      <c r="M230" s="128"/>
      <c r="N230" s="128"/>
      <c r="O230" s="128"/>
      <c r="P230" s="128"/>
      <c r="Q230" s="128"/>
      <c r="R230" s="128"/>
      <c r="S230" s="128"/>
      <c r="T230" s="128"/>
      <c r="U230" s="128"/>
      <c r="V230" s="128"/>
      <c r="W230" s="128"/>
      <c r="X230" s="128"/>
      <c r="Y230" s="128"/>
      <c r="Z230" s="128"/>
      <c r="AA230" s="128"/>
      <c r="AB230" s="128"/>
      <c r="AC230" s="128"/>
      <c r="AD230" s="128"/>
      <c r="AE230" s="128"/>
      <c r="AF230" s="128"/>
      <c r="AG230" s="128"/>
      <c r="AH230" s="128"/>
      <c r="AI230" s="128"/>
      <c r="AJ230" s="128"/>
      <c r="AK230" s="128"/>
      <c r="AL230" s="128"/>
      <c r="AM230" s="128"/>
      <c r="AN230" s="128"/>
      <c r="AO230" s="128"/>
      <c r="AP230" s="128"/>
      <c r="AQ230" s="128"/>
      <c r="AR230" s="128"/>
      <c r="AS230" s="128"/>
      <c r="AT230" s="128"/>
      <c r="AU230" s="128"/>
      <c r="AV230" s="128"/>
      <c r="AW230" s="128"/>
      <c r="AX230" s="128"/>
      <c r="AY230" s="128"/>
      <c r="AZ230" s="128"/>
      <c r="BA230" s="128"/>
      <c r="BB230" s="128"/>
      <c r="BC230" s="128"/>
      <c r="BD230" s="128"/>
      <c r="BE230" s="128"/>
      <c r="BF230" s="128"/>
      <c r="BG230" s="128"/>
      <c r="BH230" s="128"/>
      <c r="BI230" s="128"/>
      <c r="BJ230" s="128"/>
      <c r="BK230" s="128"/>
      <c r="BL230" s="128"/>
      <c r="BM230" s="128"/>
      <c r="BN230" s="128"/>
      <c r="BO230" s="128"/>
      <c r="BP230" s="128"/>
      <c r="BQ230" s="128"/>
    </row>
    <row r="231" spans="1:69" ht="14.25" customHeight="1">
      <c r="A231" s="128"/>
      <c r="B231" s="128"/>
      <c r="C231" s="128"/>
      <c r="D231" s="128"/>
      <c r="E231" s="128"/>
      <c r="F231" s="128"/>
      <c r="G231" s="128"/>
      <c r="H231" s="128"/>
      <c r="I231" s="128"/>
      <c r="J231" s="128"/>
      <c r="K231" s="128"/>
      <c r="L231" s="128"/>
      <c r="M231" s="128"/>
      <c r="N231" s="128"/>
      <c r="O231" s="128"/>
      <c r="P231" s="128"/>
      <c r="Q231" s="128"/>
      <c r="R231" s="128"/>
      <c r="S231" s="128"/>
      <c r="T231" s="128"/>
      <c r="U231" s="128"/>
      <c r="V231" s="128"/>
      <c r="W231" s="128"/>
      <c r="X231" s="128"/>
      <c r="Y231" s="128"/>
      <c r="Z231" s="128"/>
      <c r="AA231" s="128"/>
      <c r="AB231" s="128"/>
      <c r="AC231" s="128"/>
      <c r="AD231" s="128"/>
      <c r="AE231" s="128"/>
      <c r="AF231" s="128"/>
      <c r="AG231" s="128"/>
      <c r="AH231" s="128"/>
      <c r="AI231" s="128"/>
      <c r="AJ231" s="128"/>
      <c r="AK231" s="128"/>
      <c r="AL231" s="128"/>
      <c r="AM231" s="128"/>
      <c r="AN231" s="128"/>
      <c r="AO231" s="128"/>
      <c r="AP231" s="128"/>
      <c r="AQ231" s="128"/>
      <c r="AR231" s="128"/>
      <c r="AS231" s="128"/>
      <c r="AT231" s="128"/>
      <c r="AU231" s="128"/>
      <c r="AV231" s="128"/>
      <c r="AW231" s="128"/>
      <c r="AX231" s="128"/>
      <c r="AY231" s="128"/>
      <c r="AZ231" s="128"/>
      <c r="BA231" s="128"/>
      <c r="BB231" s="128"/>
      <c r="BC231" s="128"/>
      <c r="BD231" s="128"/>
      <c r="BE231" s="128"/>
      <c r="BF231" s="128"/>
      <c r="BG231" s="128"/>
      <c r="BH231" s="128"/>
      <c r="BI231" s="128"/>
      <c r="BJ231" s="128"/>
      <c r="BK231" s="128"/>
      <c r="BL231" s="128"/>
      <c r="BM231" s="128"/>
      <c r="BN231" s="128"/>
      <c r="BO231" s="128"/>
      <c r="BP231" s="128"/>
      <c r="BQ231" s="128"/>
    </row>
    <row r="232" spans="1:69" ht="14.25" customHeight="1">
      <c r="A232" s="128"/>
      <c r="B232" s="128"/>
      <c r="C232" s="128"/>
      <c r="D232" s="128"/>
      <c r="E232" s="128"/>
      <c r="F232" s="128"/>
      <c r="G232" s="128"/>
      <c r="H232" s="128"/>
      <c r="I232" s="128"/>
      <c r="J232" s="128"/>
      <c r="K232" s="128"/>
      <c r="L232" s="128"/>
      <c r="M232" s="128"/>
      <c r="N232" s="128"/>
      <c r="O232" s="128"/>
      <c r="P232" s="128"/>
      <c r="Q232" s="128"/>
      <c r="R232" s="128"/>
      <c r="S232" s="128"/>
      <c r="T232" s="128"/>
      <c r="U232" s="128"/>
      <c r="V232" s="128"/>
      <c r="W232" s="128"/>
      <c r="X232" s="128"/>
      <c r="Y232" s="128"/>
      <c r="Z232" s="128"/>
      <c r="AA232" s="128"/>
      <c r="AB232" s="128"/>
      <c r="AC232" s="128"/>
      <c r="AD232" s="128"/>
      <c r="AE232" s="128"/>
      <c r="AF232" s="128"/>
      <c r="AG232" s="128"/>
      <c r="AH232" s="128"/>
      <c r="AI232" s="128"/>
      <c r="AJ232" s="128"/>
      <c r="AK232" s="128"/>
      <c r="AL232" s="128"/>
      <c r="AM232" s="128"/>
      <c r="AN232" s="128"/>
      <c r="AO232" s="128"/>
      <c r="AP232" s="128"/>
      <c r="AQ232" s="128"/>
      <c r="AR232" s="128"/>
      <c r="AS232" s="128"/>
      <c r="AT232" s="128"/>
      <c r="AU232" s="128"/>
      <c r="AV232" s="128"/>
      <c r="AW232" s="128"/>
      <c r="AX232" s="128"/>
      <c r="AY232" s="128"/>
      <c r="AZ232" s="128"/>
      <c r="BA232" s="128"/>
      <c r="BB232" s="128"/>
      <c r="BC232" s="128"/>
      <c r="BD232" s="128"/>
      <c r="BE232" s="128"/>
      <c r="BF232" s="128"/>
      <c r="BG232" s="128"/>
      <c r="BH232" s="128"/>
      <c r="BI232" s="128"/>
      <c r="BJ232" s="128"/>
      <c r="BK232" s="128"/>
      <c r="BL232" s="128"/>
      <c r="BM232" s="128"/>
      <c r="BN232" s="128"/>
      <c r="BO232" s="128"/>
      <c r="BP232" s="128"/>
      <c r="BQ232" s="128"/>
    </row>
    <row r="233" spans="1:69" ht="14.25" customHeight="1">
      <c r="A233" s="128"/>
      <c r="B233" s="128"/>
      <c r="C233" s="128"/>
      <c r="D233" s="128"/>
      <c r="E233" s="128"/>
      <c r="F233" s="128"/>
      <c r="G233" s="128"/>
      <c r="H233" s="128"/>
      <c r="I233" s="128"/>
      <c r="J233" s="128"/>
      <c r="K233" s="128"/>
      <c r="L233" s="128"/>
      <c r="M233" s="128"/>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row>
    <row r="234" spans="1:69" ht="14.25" customHeight="1">
      <c r="A234" s="128"/>
      <c r="B234" s="128"/>
      <c r="C234" s="128"/>
      <c r="D234" s="128"/>
      <c r="E234" s="128"/>
      <c r="F234" s="128"/>
      <c r="G234" s="128"/>
      <c r="H234" s="128"/>
      <c r="I234" s="128"/>
      <c r="J234" s="128"/>
      <c r="K234" s="128"/>
      <c r="L234" s="128"/>
      <c r="M234" s="128"/>
      <c r="N234" s="128"/>
      <c r="O234" s="128"/>
      <c r="P234" s="128"/>
      <c r="Q234" s="128"/>
      <c r="R234" s="128"/>
      <c r="S234" s="128"/>
      <c r="T234" s="128"/>
      <c r="U234" s="128"/>
      <c r="V234" s="128"/>
      <c r="W234" s="128"/>
      <c r="X234" s="128"/>
      <c r="Y234" s="128"/>
      <c r="Z234" s="128"/>
      <c r="AA234" s="128"/>
      <c r="AB234" s="128"/>
      <c r="AC234" s="128"/>
      <c r="AD234" s="128"/>
      <c r="AE234" s="128"/>
      <c r="AF234" s="128"/>
      <c r="AG234" s="128"/>
      <c r="AH234" s="128"/>
      <c r="AI234" s="128"/>
      <c r="AJ234" s="128"/>
      <c r="AK234" s="128"/>
      <c r="AL234" s="128"/>
      <c r="AM234" s="128"/>
      <c r="AN234" s="128"/>
      <c r="AO234" s="128"/>
      <c r="AP234" s="128"/>
      <c r="AQ234" s="128"/>
      <c r="AR234" s="128"/>
      <c r="AS234" s="128"/>
      <c r="AT234" s="128"/>
      <c r="AU234" s="128"/>
      <c r="AV234" s="128"/>
      <c r="AW234" s="128"/>
      <c r="AX234" s="128"/>
      <c r="AY234" s="128"/>
      <c r="AZ234" s="128"/>
      <c r="BA234" s="128"/>
      <c r="BB234" s="128"/>
      <c r="BC234" s="128"/>
      <c r="BD234" s="128"/>
      <c r="BE234" s="128"/>
      <c r="BF234" s="128"/>
      <c r="BG234" s="128"/>
      <c r="BH234" s="128"/>
      <c r="BI234" s="128"/>
      <c r="BJ234" s="128"/>
      <c r="BK234" s="128"/>
      <c r="BL234" s="128"/>
      <c r="BM234" s="128"/>
      <c r="BN234" s="128"/>
      <c r="BO234" s="128"/>
      <c r="BP234" s="128"/>
      <c r="BQ234" s="128"/>
    </row>
    <row r="235" spans="1:69" ht="14.25" customHeight="1">
      <c r="A235" s="128"/>
      <c r="B235" s="128"/>
      <c r="C235" s="128"/>
      <c r="D235" s="128"/>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28"/>
      <c r="AA235" s="128"/>
      <c r="AB235" s="128"/>
      <c r="AC235" s="128"/>
      <c r="AD235" s="128"/>
      <c r="AE235" s="128"/>
      <c r="AF235" s="128"/>
      <c r="AG235" s="128"/>
      <c r="AH235" s="128"/>
      <c r="AI235" s="128"/>
      <c r="AJ235" s="128"/>
      <c r="AK235" s="128"/>
      <c r="AL235" s="128"/>
      <c r="AM235" s="128"/>
      <c r="AN235" s="128"/>
      <c r="AO235" s="128"/>
      <c r="AP235" s="128"/>
      <c r="AQ235" s="128"/>
      <c r="AR235" s="128"/>
      <c r="AS235" s="128"/>
      <c r="AT235" s="128"/>
      <c r="AU235" s="128"/>
      <c r="AV235" s="128"/>
      <c r="AW235" s="128"/>
      <c r="AX235" s="128"/>
      <c r="AY235" s="128"/>
      <c r="AZ235" s="128"/>
      <c r="BA235" s="128"/>
      <c r="BB235" s="128"/>
      <c r="BC235" s="128"/>
      <c r="BD235" s="128"/>
      <c r="BE235" s="128"/>
      <c r="BF235" s="128"/>
      <c r="BG235" s="128"/>
      <c r="BH235" s="128"/>
      <c r="BI235" s="128"/>
      <c r="BJ235" s="128"/>
      <c r="BK235" s="128"/>
      <c r="BL235" s="128"/>
      <c r="BM235" s="128"/>
      <c r="BN235" s="128"/>
      <c r="BO235" s="128"/>
      <c r="BP235" s="128"/>
      <c r="BQ235" s="128"/>
    </row>
    <row r="236" spans="1:69" ht="14.25" customHeight="1">
      <c r="A236" s="128"/>
      <c r="B236" s="128"/>
      <c r="C236" s="128"/>
      <c r="D236" s="128"/>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c r="AA236" s="128"/>
      <c r="AB236" s="128"/>
      <c r="AC236" s="128"/>
      <c r="AD236" s="128"/>
      <c r="AE236" s="128"/>
      <c r="AF236" s="128"/>
      <c r="AG236" s="128"/>
      <c r="AH236" s="128"/>
      <c r="AI236" s="128"/>
      <c r="AJ236" s="128"/>
      <c r="AK236" s="128"/>
      <c r="AL236" s="128"/>
      <c r="AM236" s="128"/>
      <c r="AN236" s="128"/>
      <c r="AO236" s="128"/>
      <c r="AP236" s="128"/>
      <c r="AQ236" s="128"/>
      <c r="AR236" s="128"/>
      <c r="AS236" s="128"/>
      <c r="AT236" s="128"/>
      <c r="AU236" s="128"/>
      <c r="AV236" s="128"/>
      <c r="AW236" s="128"/>
      <c r="AX236" s="128"/>
      <c r="AY236" s="128"/>
      <c r="AZ236" s="128"/>
      <c r="BA236" s="128"/>
      <c r="BB236" s="128"/>
      <c r="BC236" s="128"/>
      <c r="BD236" s="128"/>
      <c r="BE236" s="128"/>
      <c r="BF236" s="128"/>
      <c r="BG236" s="128"/>
      <c r="BH236" s="128"/>
      <c r="BI236" s="128"/>
      <c r="BJ236" s="128"/>
      <c r="BK236" s="128"/>
      <c r="BL236" s="128"/>
      <c r="BM236" s="128"/>
      <c r="BN236" s="128"/>
      <c r="BO236" s="128"/>
      <c r="BP236" s="128"/>
      <c r="BQ236" s="128"/>
    </row>
    <row r="237" spans="1:69" ht="14.25" customHeight="1">
      <c r="A237" s="128"/>
      <c r="B237" s="128"/>
      <c r="C237" s="12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c r="AA237" s="128"/>
      <c r="AB237" s="128"/>
      <c r="AC237" s="128"/>
      <c r="AD237" s="128"/>
      <c r="AE237" s="128"/>
      <c r="AF237" s="128"/>
      <c r="AG237" s="128"/>
      <c r="AH237" s="128"/>
      <c r="AI237" s="128"/>
      <c r="AJ237" s="128"/>
      <c r="AK237" s="128"/>
      <c r="AL237" s="128"/>
      <c r="AM237" s="128"/>
      <c r="AN237" s="128"/>
      <c r="AO237" s="128"/>
      <c r="AP237" s="128"/>
      <c r="AQ237" s="128"/>
      <c r="AR237" s="128"/>
      <c r="AS237" s="128"/>
      <c r="AT237" s="128"/>
      <c r="AU237" s="128"/>
      <c r="AV237" s="128"/>
      <c r="AW237" s="128"/>
      <c r="AX237" s="128"/>
      <c r="AY237" s="128"/>
      <c r="AZ237" s="128"/>
      <c r="BA237" s="128"/>
      <c r="BB237" s="128"/>
      <c r="BC237" s="128"/>
      <c r="BD237" s="128"/>
      <c r="BE237" s="128"/>
      <c r="BF237" s="128"/>
      <c r="BG237" s="128"/>
      <c r="BH237" s="128"/>
      <c r="BI237" s="128"/>
      <c r="BJ237" s="128"/>
      <c r="BK237" s="128"/>
      <c r="BL237" s="128"/>
      <c r="BM237" s="128"/>
      <c r="BN237" s="128"/>
      <c r="BO237" s="128"/>
      <c r="BP237" s="128"/>
      <c r="BQ237" s="128"/>
    </row>
    <row r="238" spans="1:69" ht="14.25" customHeight="1">
      <c r="A238" s="128"/>
      <c r="B238" s="128"/>
      <c r="C238" s="128"/>
      <c r="D238" s="128"/>
      <c r="E238" s="128"/>
      <c r="F238" s="128"/>
      <c r="G238" s="128"/>
      <c r="H238" s="128"/>
      <c r="I238" s="128"/>
      <c r="J238" s="128"/>
      <c r="K238" s="128"/>
      <c r="L238" s="128"/>
      <c r="M238" s="128"/>
      <c r="N238" s="128"/>
      <c r="O238" s="128"/>
      <c r="P238" s="128"/>
      <c r="Q238" s="128"/>
      <c r="R238" s="128"/>
      <c r="S238" s="128"/>
      <c r="T238" s="128"/>
      <c r="U238" s="128"/>
      <c r="V238" s="128"/>
      <c r="W238" s="128"/>
      <c r="X238" s="128"/>
      <c r="Y238" s="128"/>
      <c r="Z238" s="128"/>
      <c r="AA238" s="128"/>
      <c r="AB238" s="128"/>
      <c r="AC238" s="128"/>
      <c r="AD238" s="128"/>
      <c r="AE238" s="128"/>
      <c r="AF238" s="128"/>
      <c r="AG238" s="128"/>
      <c r="AH238" s="128"/>
      <c r="AI238" s="128"/>
      <c r="AJ238" s="128"/>
      <c r="AK238" s="128"/>
      <c r="AL238" s="128"/>
      <c r="AM238" s="128"/>
      <c r="AN238" s="128"/>
      <c r="AO238" s="128"/>
      <c r="AP238" s="128"/>
      <c r="AQ238" s="128"/>
      <c r="AR238" s="128"/>
      <c r="AS238" s="128"/>
      <c r="AT238" s="128"/>
      <c r="AU238" s="128"/>
      <c r="AV238" s="128"/>
      <c r="AW238" s="128"/>
      <c r="AX238" s="128"/>
      <c r="AY238" s="128"/>
      <c r="AZ238" s="128"/>
      <c r="BA238" s="128"/>
      <c r="BB238" s="128"/>
      <c r="BC238" s="128"/>
      <c r="BD238" s="128"/>
      <c r="BE238" s="128"/>
      <c r="BF238" s="128"/>
      <c r="BG238" s="128"/>
      <c r="BH238" s="128"/>
      <c r="BI238" s="128"/>
      <c r="BJ238" s="128"/>
      <c r="BK238" s="128"/>
      <c r="BL238" s="128"/>
      <c r="BM238" s="128"/>
      <c r="BN238" s="128"/>
      <c r="BO238" s="128"/>
      <c r="BP238" s="128"/>
      <c r="BQ238" s="128"/>
    </row>
    <row r="239" spans="1:69" ht="14.25" customHeight="1">
      <c r="A239" s="128"/>
      <c r="B239" s="128"/>
      <c r="C239" s="12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row>
    <row r="240" spans="1:69" ht="14.25" customHeight="1">
      <c r="A240" s="128"/>
      <c r="B240" s="128"/>
      <c r="C240" s="128"/>
      <c r="D240" s="128"/>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c r="AA240" s="128"/>
      <c r="AB240" s="128"/>
      <c r="AC240" s="128"/>
      <c r="AD240" s="128"/>
      <c r="AE240" s="128"/>
      <c r="AF240" s="128"/>
      <c r="AG240" s="128"/>
      <c r="AH240" s="128"/>
      <c r="AI240" s="128"/>
      <c r="AJ240" s="128"/>
      <c r="AK240" s="128"/>
      <c r="AL240" s="128"/>
      <c r="AM240" s="128"/>
      <c r="AN240" s="128"/>
      <c r="AO240" s="128"/>
      <c r="AP240" s="128"/>
      <c r="AQ240" s="128"/>
      <c r="AR240" s="128"/>
      <c r="AS240" s="128"/>
      <c r="AT240" s="128"/>
      <c r="AU240" s="128"/>
      <c r="AV240" s="128"/>
      <c r="AW240" s="128"/>
      <c r="AX240" s="128"/>
      <c r="AY240" s="128"/>
      <c r="AZ240" s="128"/>
      <c r="BA240" s="128"/>
      <c r="BB240" s="128"/>
      <c r="BC240" s="128"/>
      <c r="BD240" s="128"/>
      <c r="BE240" s="128"/>
      <c r="BF240" s="128"/>
      <c r="BG240" s="128"/>
      <c r="BH240" s="128"/>
      <c r="BI240" s="128"/>
      <c r="BJ240" s="128"/>
      <c r="BK240" s="128"/>
      <c r="BL240" s="128"/>
      <c r="BM240" s="128"/>
      <c r="BN240" s="128"/>
      <c r="BO240" s="128"/>
      <c r="BP240" s="128"/>
      <c r="BQ240" s="128"/>
    </row>
    <row r="241" spans="1:69" ht="14.25" customHeight="1">
      <c r="A241" s="128"/>
      <c r="B241" s="128"/>
      <c r="C241" s="128"/>
      <c r="D241" s="128"/>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28"/>
      <c r="AA241" s="128"/>
      <c r="AB241" s="128"/>
      <c r="AC241" s="128"/>
      <c r="AD241" s="128"/>
      <c r="AE241" s="128"/>
      <c r="AF241" s="128"/>
      <c r="AG241" s="128"/>
      <c r="AH241" s="128"/>
      <c r="AI241" s="128"/>
      <c r="AJ241" s="128"/>
      <c r="AK241" s="128"/>
      <c r="AL241" s="128"/>
      <c r="AM241" s="128"/>
      <c r="AN241" s="128"/>
      <c r="AO241" s="128"/>
      <c r="AP241" s="128"/>
      <c r="AQ241" s="128"/>
      <c r="AR241" s="128"/>
      <c r="AS241" s="128"/>
      <c r="AT241" s="128"/>
      <c r="AU241" s="128"/>
      <c r="AV241" s="128"/>
      <c r="AW241" s="128"/>
      <c r="AX241" s="128"/>
      <c r="AY241" s="128"/>
      <c r="AZ241" s="128"/>
      <c r="BA241" s="128"/>
      <c r="BB241" s="128"/>
      <c r="BC241" s="128"/>
      <c r="BD241" s="128"/>
      <c r="BE241" s="128"/>
      <c r="BF241" s="128"/>
      <c r="BG241" s="128"/>
      <c r="BH241" s="128"/>
      <c r="BI241" s="128"/>
      <c r="BJ241" s="128"/>
      <c r="BK241" s="128"/>
      <c r="BL241" s="128"/>
      <c r="BM241" s="128"/>
      <c r="BN241" s="128"/>
      <c r="BO241" s="128"/>
      <c r="BP241" s="128"/>
      <c r="BQ241" s="128"/>
    </row>
    <row r="242" spans="1:69" ht="14.25" customHeight="1">
      <c r="A242" s="128"/>
      <c r="B242" s="128"/>
      <c r="C242" s="128"/>
      <c r="D242" s="128"/>
      <c r="E242" s="128"/>
      <c r="F242" s="128"/>
      <c r="G242" s="128"/>
      <c r="H242" s="128"/>
      <c r="I242" s="128"/>
      <c r="J242" s="128"/>
      <c r="K242" s="128"/>
      <c r="L242" s="128"/>
      <c r="M242" s="128"/>
      <c r="N242" s="128"/>
      <c r="O242" s="128"/>
      <c r="P242" s="128"/>
      <c r="Q242" s="128"/>
      <c r="R242" s="128"/>
      <c r="S242" s="128"/>
      <c r="T242" s="128"/>
      <c r="U242" s="128"/>
      <c r="V242" s="128"/>
      <c r="W242" s="128"/>
      <c r="X242" s="128"/>
      <c r="Y242" s="128"/>
      <c r="Z242" s="128"/>
      <c r="AA242" s="128"/>
      <c r="AB242" s="128"/>
      <c r="AC242" s="128"/>
      <c r="AD242" s="128"/>
      <c r="AE242" s="128"/>
      <c r="AF242" s="128"/>
      <c r="AG242" s="128"/>
      <c r="AH242" s="128"/>
      <c r="AI242" s="128"/>
      <c r="AJ242" s="128"/>
      <c r="AK242" s="128"/>
      <c r="AL242" s="128"/>
      <c r="AM242" s="128"/>
      <c r="AN242" s="128"/>
      <c r="AO242" s="128"/>
      <c r="AP242" s="128"/>
      <c r="AQ242" s="128"/>
      <c r="AR242" s="128"/>
      <c r="AS242" s="128"/>
      <c r="AT242" s="128"/>
      <c r="AU242" s="128"/>
      <c r="AV242" s="128"/>
      <c r="AW242" s="128"/>
      <c r="AX242" s="128"/>
      <c r="AY242" s="128"/>
      <c r="AZ242" s="128"/>
      <c r="BA242" s="128"/>
      <c r="BB242" s="128"/>
      <c r="BC242" s="128"/>
      <c r="BD242" s="128"/>
      <c r="BE242" s="128"/>
      <c r="BF242" s="128"/>
      <c r="BG242" s="128"/>
      <c r="BH242" s="128"/>
      <c r="BI242" s="128"/>
      <c r="BJ242" s="128"/>
      <c r="BK242" s="128"/>
      <c r="BL242" s="128"/>
      <c r="BM242" s="128"/>
      <c r="BN242" s="128"/>
      <c r="BO242" s="128"/>
      <c r="BP242" s="128"/>
      <c r="BQ242" s="128"/>
    </row>
    <row r="243" spans="1:69" ht="14.25" customHeight="1">
      <c r="A243" s="128"/>
      <c r="B243" s="128"/>
      <c r="C243" s="128"/>
      <c r="D243" s="128"/>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28"/>
      <c r="AA243" s="128"/>
      <c r="AB243" s="128"/>
      <c r="AC243" s="128"/>
      <c r="AD243" s="128"/>
      <c r="AE243" s="128"/>
      <c r="AF243" s="128"/>
      <c r="AG243" s="128"/>
      <c r="AH243" s="128"/>
      <c r="AI243" s="128"/>
      <c r="AJ243" s="128"/>
      <c r="AK243" s="128"/>
      <c r="AL243" s="128"/>
      <c r="AM243" s="128"/>
      <c r="AN243" s="128"/>
      <c r="AO243" s="128"/>
      <c r="AP243" s="128"/>
      <c r="AQ243" s="128"/>
      <c r="AR243" s="128"/>
      <c r="AS243" s="128"/>
      <c r="AT243" s="128"/>
      <c r="AU243" s="128"/>
      <c r="AV243" s="128"/>
      <c r="AW243" s="128"/>
      <c r="AX243" s="128"/>
      <c r="AY243" s="128"/>
      <c r="AZ243" s="128"/>
      <c r="BA243" s="128"/>
      <c r="BB243" s="128"/>
      <c r="BC243" s="128"/>
      <c r="BD243" s="128"/>
      <c r="BE243" s="128"/>
      <c r="BF243" s="128"/>
      <c r="BG243" s="128"/>
      <c r="BH243" s="128"/>
      <c r="BI243" s="128"/>
      <c r="BJ243" s="128"/>
      <c r="BK243" s="128"/>
      <c r="BL243" s="128"/>
      <c r="BM243" s="128"/>
      <c r="BN243" s="128"/>
      <c r="BO243" s="128"/>
      <c r="BP243" s="128"/>
      <c r="BQ243" s="128"/>
    </row>
    <row r="244" spans="1:69" ht="14.25" customHeight="1">
      <c r="A244" s="128"/>
      <c r="B244" s="128"/>
      <c r="C244" s="128"/>
      <c r="D244" s="128"/>
      <c r="E244" s="128"/>
      <c r="F244" s="128"/>
      <c r="G244" s="128"/>
      <c r="H244" s="128"/>
      <c r="I244" s="128"/>
      <c r="J244" s="128"/>
      <c r="K244" s="128"/>
      <c r="L244" s="128"/>
      <c r="M244" s="128"/>
      <c r="N244" s="128"/>
      <c r="O244" s="128"/>
      <c r="P244" s="128"/>
      <c r="Q244" s="128"/>
      <c r="R244" s="128"/>
      <c r="S244" s="128"/>
      <c r="T244" s="128"/>
      <c r="U244" s="128"/>
      <c r="V244" s="128"/>
      <c r="W244" s="128"/>
      <c r="X244" s="128"/>
      <c r="Y244" s="128"/>
      <c r="Z244" s="128"/>
      <c r="AA244" s="128"/>
      <c r="AB244" s="128"/>
      <c r="AC244" s="128"/>
      <c r="AD244" s="128"/>
      <c r="AE244" s="128"/>
      <c r="AF244" s="128"/>
      <c r="AG244" s="128"/>
      <c r="AH244" s="128"/>
      <c r="AI244" s="128"/>
      <c r="AJ244" s="128"/>
      <c r="AK244" s="128"/>
      <c r="AL244" s="128"/>
      <c r="AM244" s="128"/>
      <c r="AN244" s="128"/>
      <c r="AO244" s="128"/>
      <c r="AP244" s="128"/>
      <c r="AQ244" s="128"/>
      <c r="AR244" s="128"/>
      <c r="AS244" s="128"/>
      <c r="AT244" s="128"/>
      <c r="AU244" s="128"/>
      <c r="AV244" s="128"/>
      <c r="AW244" s="128"/>
      <c r="AX244" s="128"/>
      <c r="AY244" s="128"/>
      <c r="AZ244" s="128"/>
      <c r="BA244" s="128"/>
      <c r="BB244" s="128"/>
      <c r="BC244" s="128"/>
      <c r="BD244" s="128"/>
      <c r="BE244" s="128"/>
      <c r="BF244" s="128"/>
      <c r="BG244" s="128"/>
      <c r="BH244" s="128"/>
      <c r="BI244" s="128"/>
      <c r="BJ244" s="128"/>
      <c r="BK244" s="128"/>
      <c r="BL244" s="128"/>
      <c r="BM244" s="128"/>
      <c r="BN244" s="128"/>
      <c r="BO244" s="128"/>
      <c r="BP244" s="128"/>
      <c r="BQ244" s="128"/>
    </row>
    <row r="245" spans="1:69" ht="14.25" customHeight="1">
      <c r="A245" s="128"/>
      <c r="B245" s="128"/>
      <c r="C245" s="128"/>
      <c r="D245" s="128"/>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row>
    <row r="246" spans="1:69" ht="14.25" customHeight="1">
      <c r="A246" s="128"/>
      <c r="B246" s="128"/>
      <c r="C246" s="128"/>
      <c r="D246" s="128"/>
      <c r="E246" s="128"/>
      <c r="F246" s="128"/>
      <c r="G246" s="128"/>
      <c r="H246" s="128"/>
      <c r="I246" s="128"/>
      <c r="J246" s="128"/>
      <c r="K246" s="128"/>
      <c r="L246" s="128"/>
      <c r="M246" s="128"/>
      <c r="N246" s="128"/>
      <c r="O246" s="128"/>
      <c r="P246" s="128"/>
      <c r="Q246" s="128"/>
      <c r="R246" s="128"/>
      <c r="S246" s="128"/>
      <c r="T246" s="128"/>
      <c r="U246" s="128"/>
      <c r="V246" s="128"/>
      <c r="W246" s="128"/>
      <c r="X246" s="128"/>
      <c r="Y246" s="128"/>
      <c r="Z246" s="128"/>
      <c r="AA246" s="128"/>
      <c r="AB246" s="128"/>
      <c r="AC246" s="128"/>
      <c r="AD246" s="128"/>
      <c r="AE246" s="128"/>
      <c r="AF246" s="128"/>
      <c r="AG246" s="128"/>
      <c r="AH246" s="128"/>
      <c r="AI246" s="128"/>
      <c r="AJ246" s="128"/>
      <c r="AK246" s="128"/>
      <c r="AL246" s="128"/>
      <c r="AM246" s="128"/>
      <c r="AN246" s="128"/>
      <c r="AO246" s="128"/>
      <c r="AP246" s="128"/>
      <c r="AQ246" s="128"/>
      <c r="AR246" s="128"/>
      <c r="AS246" s="128"/>
      <c r="AT246" s="128"/>
      <c r="AU246" s="128"/>
      <c r="AV246" s="128"/>
      <c r="AW246" s="128"/>
      <c r="AX246" s="128"/>
      <c r="AY246" s="128"/>
      <c r="AZ246" s="128"/>
      <c r="BA246" s="128"/>
      <c r="BB246" s="128"/>
      <c r="BC246" s="128"/>
      <c r="BD246" s="128"/>
      <c r="BE246" s="128"/>
      <c r="BF246" s="128"/>
      <c r="BG246" s="128"/>
      <c r="BH246" s="128"/>
      <c r="BI246" s="128"/>
      <c r="BJ246" s="128"/>
      <c r="BK246" s="128"/>
      <c r="BL246" s="128"/>
      <c r="BM246" s="128"/>
      <c r="BN246" s="128"/>
      <c r="BO246" s="128"/>
      <c r="BP246" s="128"/>
      <c r="BQ246" s="128"/>
    </row>
    <row r="247" spans="1:69" ht="14.25" customHeight="1">
      <c r="A247" s="128"/>
      <c r="B247" s="128"/>
      <c r="C247" s="128"/>
      <c r="D247" s="128"/>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28"/>
      <c r="AA247" s="128"/>
      <c r="AB247" s="128"/>
      <c r="AC247" s="128"/>
      <c r="AD247" s="128"/>
      <c r="AE247" s="128"/>
      <c r="AF247" s="128"/>
      <c r="AG247" s="128"/>
      <c r="AH247" s="128"/>
      <c r="AI247" s="128"/>
      <c r="AJ247" s="128"/>
      <c r="AK247" s="128"/>
      <c r="AL247" s="128"/>
      <c r="AM247" s="128"/>
      <c r="AN247" s="128"/>
      <c r="AO247" s="128"/>
      <c r="AP247" s="128"/>
      <c r="AQ247" s="128"/>
      <c r="AR247" s="128"/>
      <c r="AS247" s="128"/>
      <c r="AT247" s="128"/>
      <c r="AU247" s="128"/>
      <c r="AV247" s="128"/>
      <c r="AW247" s="128"/>
      <c r="AX247" s="128"/>
      <c r="AY247" s="128"/>
      <c r="AZ247" s="128"/>
      <c r="BA247" s="128"/>
      <c r="BB247" s="128"/>
      <c r="BC247" s="128"/>
      <c r="BD247" s="128"/>
      <c r="BE247" s="128"/>
      <c r="BF247" s="128"/>
      <c r="BG247" s="128"/>
      <c r="BH247" s="128"/>
      <c r="BI247" s="128"/>
      <c r="BJ247" s="128"/>
      <c r="BK247" s="128"/>
      <c r="BL247" s="128"/>
      <c r="BM247" s="128"/>
      <c r="BN247" s="128"/>
      <c r="BO247" s="128"/>
      <c r="BP247" s="128"/>
      <c r="BQ247" s="128"/>
    </row>
    <row r="248" spans="1:69" ht="14.25" customHeight="1">
      <c r="A248" s="128"/>
      <c r="B248" s="128"/>
      <c r="C248" s="128"/>
      <c r="D248" s="128"/>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c r="AA248" s="128"/>
      <c r="AB248" s="128"/>
      <c r="AC248" s="128"/>
      <c r="AD248" s="128"/>
      <c r="AE248" s="128"/>
      <c r="AF248" s="128"/>
      <c r="AG248" s="128"/>
      <c r="AH248" s="128"/>
      <c r="AI248" s="128"/>
      <c r="AJ248" s="128"/>
      <c r="AK248" s="128"/>
      <c r="AL248" s="128"/>
      <c r="AM248" s="128"/>
      <c r="AN248" s="128"/>
      <c r="AO248" s="128"/>
      <c r="AP248" s="128"/>
      <c r="AQ248" s="128"/>
      <c r="AR248" s="128"/>
      <c r="AS248" s="128"/>
      <c r="AT248" s="128"/>
      <c r="AU248" s="128"/>
      <c r="AV248" s="128"/>
      <c r="AW248" s="128"/>
      <c r="AX248" s="128"/>
      <c r="AY248" s="128"/>
      <c r="AZ248" s="128"/>
      <c r="BA248" s="128"/>
      <c r="BB248" s="128"/>
      <c r="BC248" s="128"/>
      <c r="BD248" s="128"/>
      <c r="BE248" s="128"/>
      <c r="BF248" s="128"/>
      <c r="BG248" s="128"/>
      <c r="BH248" s="128"/>
      <c r="BI248" s="128"/>
      <c r="BJ248" s="128"/>
      <c r="BK248" s="128"/>
      <c r="BL248" s="128"/>
      <c r="BM248" s="128"/>
      <c r="BN248" s="128"/>
      <c r="BO248" s="128"/>
      <c r="BP248" s="128"/>
      <c r="BQ248" s="128"/>
    </row>
    <row r="249" spans="1:69" ht="14.25" customHeight="1">
      <c r="A249" s="128"/>
      <c r="B249" s="128"/>
      <c r="C249" s="128"/>
      <c r="D249" s="128"/>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28"/>
      <c r="AA249" s="128"/>
      <c r="AB249" s="128"/>
      <c r="AC249" s="128"/>
      <c r="AD249" s="128"/>
      <c r="AE249" s="128"/>
      <c r="AF249" s="128"/>
      <c r="AG249" s="128"/>
      <c r="AH249" s="128"/>
      <c r="AI249" s="128"/>
      <c r="AJ249" s="128"/>
      <c r="AK249" s="128"/>
      <c r="AL249" s="128"/>
      <c r="AM249" s="128"/>
      <c r="AN249" s="128"/>
      <c r="AO249" s="128"/>
      <c r="AP249" s="128"/>
      <c r="AQ249" s="128"/>
      <c r="AR249" s="128"/>
      <c r="AS249" s="128"/>
      <c r="AT249" s="128"/>
      <c r="AU249" s="128"/>
      <c r="AV249" s="128"/>
      <c r="AW249" s="128"/>
      <c r="AX249" s="128"/>
      <c r="AY249" s="128"/>
      <c r="AZ249" s="128"/>
      <c r="BA249" s="128"/>
      <c r="BB249" s="128"/>
      <c r="BC249" s="128"/>
      <c r="BD249" s="128"/>
      <c r="BE249" s="128"/>
      <c r="BF249" s="128"/>
      <c r="BG249" s="128"/>
      <c r="BH249" s="128"/>
      <c r="BI249" s="128"/>
      <c r="BJ249" s="128"/>
      <c r="BK249" s="128"/>
      <c r="BL249" s="128"/>
      <c r="BM249" s="128"/>
      <c r="BN249" s="128"/>
      <c r="BO249" s="128"/>
      <c r="BP249" s="128"/>
      <c r="BQ249" s="128"/>
    </row>
    <row r="250" spans="1:69" ht="14.25" customHeight="1">
      <c r="A250" s="128"/>
      <c r="B250" s="128"/>
      <c r="C250" s="128"/>
      <c r="D250" s="128"/>
      <c r="E250" s="128"/>
      <c r="F250" s="128"/>
      <c r="G250" s="128"/>
      <c r="H250" s="128"/>
      <c r="I250" s="128"/>
      <c r="J250" s="128"/>
      <c r="K250" s="128"/>
      <c r="L250" s="128"/>
      <c r="M250" s="128"/>
      <c r="N250" s="128"/>
      <c r="O250" s="128"/>
      <c r="P250" s="128"/>
      <c r="Q250" s="128"/>
      <c r="R250" s="128"/>
      <c r="S250" s="128"/>
      <c r="T250" s="128"/>
      <c r="U250" s="128"/>
      <c r="V250" s="128"/>
      <c r="W250" s="128"/>
      <c r="X250" s="128"/>
      <c r="Y250" s="128"/>
      <c r="Z250" s="128"/>
      <c r="AA250" s="128"/>
      <c r="AB250" s="128"/>
      <c r="AC250" s="128"/>
      <c r="AD250" s="128"/>
      <c r="AE250" s="128"/>
      <c r="AF250" s="128"/>
      <c r="AG250" s="128"/>
      <c r="AH250" s="128"/>
      <c r="AI250" s="128"/>
      <c r="AJ250" s="128"/>
      <c r="AK250" s="128"/>
      <c r="AL250" s="128"/>
      <c r="AM250" s="128"/>
      <c r="AN250" s="128"/>
      <c r="AO250" s="128"/>
      <c r="AP250" s="128"/>
      <c r="AQ250" s="128"/>
      <c r="AR250" s="128"/>
      <c r="AS250" s="128"/>
      <c r="AT250" s="128"/>
      <c r="AU250" s="128"/>
      <c r="AV250" s="128"/>
      <c r="AW250" s="128"/>
      <c r="AX250" s="128"/>
      <c r="AY250" s="128"/>
      <c r="AZ250" s="128"/>
      <c r="BA250" s="128"/>
      <c r="BB250" s="128"/>
      <c r="BC250" s="128"/>
      <c r="BD250" s="128"/>
      <c r="BE250" s="128"/>
      <c r="BF250" s="128"/>
      <c r="BG250" s="128"/>
      <c r="BH250" s="128"/>
      <c r="BI250" s="128"/>
      <c r="BJ250" s="128"/>
      <c r="BK250" s="128"/>
      <c r="BL250" s="128"/>
      <c r="BM250" s="128"/>
      <c r="BN250" s="128"/>
      <c r="BO250" s="128"/>
      <c r="BP250" s="128"/>
      <c r="BQ250" s="128"/>
    </row>
    <row r="251" spans="1:69" ht="14.25" customHeight="1">
      <c r="A251" s="128"/>
      <c r="B251" s="128"/>
      <c r="C251" s="128"/>
      <c r="D251" s="128"/>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row>
    <row r="252" spans="1:69" ht="14.25" customHeight="1">
      <c r="A252" s="128"/>
      <c r="B252" s="128"/>
      <c r="C252" s="128"/>
      <c r="D252" s="128"/>
      <c r="E252" s="128"/>
      <c r="F252" s="128"/>
      <c r="G252" s="128"/>
      <c r="H252" s="128"/>
      <c r="I252" s="128"/>
      <c r="J252" s="128"/>
      <c r="K252" s="128"/>
      <c r="L252" s="128"/>
      <c r="M252" s="128"/>
      <c r="N252" s="128"/>
      <c r="O252" s="128"/>
      <c r="P252" s="128"/>
      <c r="Q252" s="128"/>
      <c r="R252" s="128"/>
      <c r="S252" s="128"/>
      <c r="T252" s="128"/>
      <c r="U252" s="128"/>
      <c r="V252" s="128"/>
      <c r="W252" s="128"/>
      <c r="X252" s="128"/>
      <c r="Y252" s="128"/>
      <c r="Z252" s="128"/>
      <c r="AA252" s="128"/>
      <c r="AB252" s="128"/>
      <c r="AC252" s="128"/>
      <c r="AD252" s="128"/>
      <c r="AE252" s="128"/>
      <c r="AF252" s="128"/>
      <c r="AG252" s="128"/>
      <c r="AH252" s="128"/>
      <c r="AI252" s="128"/>
      <c r="AJ252" s="128"/>
      <c r="AK252" s="128"/>
      <c r="AL252" s="128"/>
      <c r="AM252" s="128"/>
      <c r="AN252" s="128"/>
      <c r="AO252" s="128"/>
      <c r="AP252" s="128"/>
      <c r="AQ252" s="128"/>
      <c r="AR252" s="128"/>
      <c r="AS252" s="128"/>
      <c r="AT252" s="128"/>
      <c r="AU252" s="128"/>
      <c r="AV252" s="128"/>
      <c r="AW252" s="128"/>
      <c r="AX252" s="128"/>
      <c r="AY252" s="128"/>
      <c r="AZ252" s="128"/>
      <c r="BA252" s="128"/>
      <c r="BB252" s="128"/>
      <c r="BC252" s="128"/>
      <c r="BD252" s="128"/>
      <c r="BE252" s="128"/>
      <c r="BF252" s="128"/>
      <c r="BG252" s="128"/>
      <c r="BH252" s="128"/>
      <c r="BI252" s="128"/>
      <c r="BJ252" s="128"/>
      <c r="BK252" s="128"/>
      <c r="BL252" s="128"/>
      <c r="BM252" s="128"/>
      <c r="BN252" s="128"/>
      <c r="BO252" s="128"/>
      <c r="BP252" s="128"/>
      <c r="BQ252" s="128"/>
    </row>
    <row r="253" spans="1:69" ht="14.25" customHeight="1">
      <c r="A253" s="128"/>
      <c r="B253" s="128"/>
      <c r="C253" s="12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c r="AA253" s="128"/>
      <c r="AB253" s="128"/>
      <c r="AC253" s="128"/>
      <c r="AD253" s="128"/>
      <c r="AE253" s="128"/>
      <c r="AF253" s="128"/>
      <c r="AG253" s="128"/>
      <c r="AH253" s="128"/>
      <c r="AI253" s="128"/>
      <c r="AJ253" s="128"/>
      <c r="AK253" s="128"/>
      <c r="AL253" s="128"/>
      <c r="AM253" s="128"/>
      <c r="AN253" s="128"/>
      <c r="AO253" s="128"/>
      <c r="AP253" s="128"/>
      <c r="AQ253" s="128"/>
      <c r="AR253" s="128"/>
      <c r="AS253" s="128"/>
      <c r="AT253" s="128"/>
      <c r="AU253" s="128"/>
      <c r="AV253" s="128"/>
      <c r="AW253" s="128"/>
      <c r="AX253" s="128"/>
      <c r="AY253" s="128"/>
      <c r="AZ253" s="128"/>
      <c r="BA253" s="128"/>
      <c r="BB253" s="128"/>
      <c r="BC253" s="128"/>
      <c r="BD253" s="128"/>
      <c r="BE253" s="128"/>
      <c r="BF253" s="128"/>
      <c r="BG253" s="128"/>
      <c r="BH253" s="128"/>
      <c r="BI253" s="128"/>
      <c r="BJ253" s="128"/>
      <c r="BK253" s="128"/>
      <c r="BL253" s="128"/>
      <c r="BM253" s="128"/>
      <c r="BN253" s="128"/>
      <c r="BO253" s="128"/>
      <c r="BP253" s="128"/>
      <c r="BQ253" s="128"/>
    </row>
    <row r="254" spans="1:69" ht="14.25" customHeight="1">
      <c r="A254" s="128"/>
      <c r="B254" s="128"/>
      <c r="C254" s="128"/>
      <c r="D254" s="128"/>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c r="AA254" s="128"/>
      <c r="AB254" s="128"/>
      <c r="AC254" s="128"/>
      <c r="AD254" s="128"/>
      <c r="AE254" s="128"/>
      <c r="AF254" s="128"/>
      <c r="AG254" s="128"/>
      <c r="AH254" s="128"/>
      <c r="AI254" s="128"/>
      <c r="AJ254" s="128"/>
      <c r="AK254" s="128"/>
      <c r="AL254" s="128"/>
      <c r="AM254" s="128"/>
      <c r="AN254" s="128"/>
      <c r="AO254" s="128"/>
      <c r="AP254" s="128"/>
      <c r="AQ254" s="128"/>
      <c r="AR254" s="128"/>
      <c r="AS254" s="128"/>
      <c r="AT254" s="128"/>
      <c r="AU254" s="128"/>
      <c r="AV254" s="128"/>
      <c r="AW254" s="128"/>
      <c r="AX254" s="128"/>
      <c r="AY254" s="128"/>
      <c r="AZ254" s="128"/>
      <c r="BA254" s="128"/>
      <c r="BB254" s="128"/>
      <c r="BC254" s="128"/>
      <c r="BD254" s="128"/>
      <c r="BE254" s="128"/>
      <c r="BF254" s="128"/>
      <c r="BG254" s="128"/>
      <c r="BH254" s="128"/>
      <c r="BI254" s="128"/>
      <c r="BJ254" s="128"/>
      <c r="BK254" s="128"/>
      <c r="BL254" s="128"/>
      <c r="BM254" s="128"/>
      <c r="BN254" s="128"/>
      <c r="BO254" s="128"/>
      <c r="BP254" s="128"/>
      <c r="BQ254" s="128"/>
    </row>
    <row r="255" spans="1:69" ht="14.25" customHeight="1">
      <c r="A255" s="128"/>
      <c r="B255" s="128"/>
      <c r="C255" s="128"/>
      <c r="D255" s="128"/>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28"/>
      <c r="AA255" s="128"/>
      <c r="AB255" s="128"/>
      <c r="AC255" s="128"/>
      <c r="AD255" s="128"/>
      <c r="AE255" s="128"/>
      <c r="AF255" s="128"/>
      <c r="AG255" s="128"/>
      <c r="AH255" s="128"/>
      <c r="AI255" s="128"/>
      <c r="AJ255" s="128"/>
      <c r="AK255" s="128"/>
      <c r="AL255" s="128"/>
      <c r="AM255" s="128"/>
      <c r="AN255" s="128"/>
      <c r="AO255" s="128"/>
      <c r="AP255" s="128"/>
      <c r="AQ255" s="128"/>
      <c r="AR255" s="128"/>
      <c r="AS255" s="128"/>
      <c r="AT255" s="128"/>
      <c r="AU255" s="128"/>
      <c r="AV255" s="128"/>
      <c r="AW255" s="128"/>
      <c r="AX255" s="128"/>
      <c r="AY255" s="128"/>
      <c r="AZ255" s="128"/>
      <c r="BA255" s="128"/>
      <c r="BB255" s="128"/>
      <c r="BC255" s="128"/>
      <c r="BD255" s="128"/>
      <c r="BE255" s="128"/>
      <c r="BF255" s="128"/>
      <c r="BG255" s="128"/>
      <c r="BH255" s="128"/>
      <c r="BI255" s="128"/>
      <c r="BJ255" s="128"/>
      <c r="BK255" s="128"/>
      <c r="BL255" s="128"/>
      <c r="BM255" s="128"/>
      <c r="BN255" s="128"/>
      <c r="BO255" s="128"/>
      <c r="BP255" s="128"/>
      <c r="BQ255" s="128"/>
    </row>
    <row r="256" spans="1:69" ht="14.25" customHeight="1">
      <c r="A256" s="128"/>
      <c r="B256" s="128"/>
      <c r="C256" s="128"/>
      <c r="D256" s="128"/>
      <c r="E256" s="128"/>
      <c r="F256" s="128"/>
      <c r="G256" s="128"/>
      <c r="H256" s="128"/>
      <c r="I256" s="128"/>
      <c r="J256" s="128"/>
      <c r="K256" s="128"/>
      <c r="L256" s="128"/>
      <c r="M256" s="128"/>
      <c r="N256" s="128"/>
      <c r="O256" s="128"/>
      <c r="P256" s="128"/>
      <c r="Q256" s="128"/>
      <c r="R256" s="128"/>
      <c r="S256" s="128"/>
      <c r="T256" s="128"/>
      <c r="U256" s="128"/>
      <c r="V256" s="128"/>
      <c r="W256" s="128"/>
      <c r="X256" s="128"/>
      <c r="Y256" s="128"/>
      <c r="Z256" s="128"/>
      <c r="AA256" s="128"/>
      <c r="AB256" s="128"/>
      <c r="AC256" s="128"/>
      <c r="AD256" s="128"/>
      <c r="AE256" s="128"/>
      <c r="AF256" s="128"/>
      <c r="AG256" s="128"/>
      <c r="AH256" s="128"/>
      <c r="AI256" s="128"/>
      <c r="AJ256" s="128"/>
      <c r="AK256" s="128"/>
      <c r="AL256" s="128"/>
      <c r="AM256" s="128"/>
      <c r="AN256" s="128"/>
      <c r="AO256" s="128"/>
      <c r="AP256" s="128"/>
      <c r="AQ256" s="128"/>
      <c r="AR256" s="128"/>
      <c r="AS256" s="128"/>
      <c r="AT256" s="128"/>
      <c r="AU256" s="128"/>
      <c r="AV256" s="128"/>
      <c r="AW256" s="128"/>
      <c r="AX256" s="128"/>
      <c r="AY256" s="128"/>
      <c r="AZ256" s="128"/>
      <c r="BA256" s="128"/>
      <c r="BB256" s="128"/>
      <c r="BC256" s="128"/>
      <c r="BD256" s="128"/>
      <c r="BE256" s="128"/>
      <c r="BF256" s="128"/>
      <c r="BG256" s="128"/>
      <c r="BH256" s="128"/>
      <c r="BI256" s="128"/>
      <c r="BJ256" s="128"/>
      <c r="BK256" s="128"/>
      <c r="BL256" s="128"/>
      <c r="BM256" s="128"/>
      <c r="BN256" s="128"/>
      <c r="BO256" s="128"/>
      <c r="BP256" s="128"/>
      <c r="BQ256" s="128"/>
    </row>
    <row r="257" spans="1:69" ht="14.25" customHeight="1">
      <c r="A257" s="128"/>
      <c r="B257" s="128"/>
      <c r="C257" s="128"/>
      <c r="D257" s="128"/>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28"/>
      <c r="AA257" s="128"/>
      <c r="AB257" s="128"/>
      <c r="AC257" s="128"/>
      <c r="AD257" s="128"/>
      <c r="AE257" s="128"/>
      <c r="AF257" s="128"/>
      <c r="AG257" s="128"/>
      <c r="AH257" s="128"/>
      <c r="AI257" s="128"/>
      <c r="AJ257" s="128"/>
      <c r="AK257" s="128"/>
      <c r="AL257" s="128"/>
      <c r="AM257" s="128"/>
      <c r="AN257" s="128"/>
      <c r="AO257" s="128"/>
      <c r="AP257" s="128"/>
      <c r="AQ257" s="128"/>
      <c r="AR257" s="128"/>
      <c r="AS257" s="128"/>
      <c r="AT257" s="128"/>
      <c r="AU257" s="128"/>
      <c r="AV257" s="128"/>
      <c r="AW257" s="128"/>
      <c r="AX257" s="128"/>
      <c r="AY257" s="128"/>
      <c r="AZ257" s="128"/>
      <c r="BA257" s="128"/>
      <c r="BB257" s="128"/>
      <c r="BC257" s="128"/>
      <c r="BD257" s="128"/>
      <c r="BE257" s="128"/>
      <c r="BF257" s="128"/>
      <c r="BG257" s="128"/>
      <c r="BH257" s="128"/>
      <c r="BI257" s="128"/>
      <c r="BJ257" s="128"/>
      <c r="BK257" s="128"/>
      <c r="BL257" s="128"/>
      <c r="BM257" s="128"/>
      <c r="BN257" s="128"/>
      <c r="BO257" s="128"/>
      <c r="BP257" s="128"/>
      <c r="BQ257" s="128"/>
    </row>
    <row r="258" spans="1:69" ht="14.25" customHeight="1">
      <c r="A258" s="128"/>
      <c r="B258" s="128"/>
      <c r="C258" s="128"/>
      <c r="D258" s="128"/>
      <c r="E258" s="128"/>
      <c r="F258" s="128"/>
      <c r="G258" s="128"/>
      <c r="H258" s="128"/>
      <c r="I258" s="128"/>
      <c r="J258" s="128"/>
      <c r="K258" s="128"/>
      <c r="L258" s="128"/>
      <c r="M258" s="128"/>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row>
    <row r="259" spans="1:69" ht="14.25" customHeight="1">
      <c r="A259" s="128"/>
      <c r="B259" s="128"/>
      <c r="C259" s="128"/>
      <c r="D259" s="128"/>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28"/>
      <c r="AA259" s="128"/>
      <c r="AB259" s="128"/>
      <c r="AC259" s="128"/>
      <c r="AD259" s="128"/>
      <c r="AE259" s="128"/>
      <c r="AF259" s="128"/>
      <c r="AG259" s="128"/>
      <c r="AH259" s="128"/>
      <c r="AI259" s="128"/>
      <c r="AJ259" s="128"/>
      <c r="AK259" s="128"/>
      <c r="AL259" s="128"/>
      <c r="AM259" s="128"/>
      <c r="AN259" s="128"/>
      <c r="AO259" s="128"/>
      <c r="AP259" s="128"/>
      <c r="AQ259" s="128"/>
      <c r="AR259" s="128"/>
      <c r="AS259" s="128"/>
      <c r="AT259" s="128"/>
      <c r="AU259" s="128"/>
      <c r="AV259" s="128"/>
      <c r="AW259" s="128"/>
      <c r="AX259" s="128"/>
      <c r="AY259" s="128"/>
      <c r="AZ259" s="128"/>
      <c r="BA259" s="128"/>
      <c r="BB259" s="128"/>
      <c r="BC259" s="128"/>
      <c r="BD259" s="128"/>
      <c r="BE259" s="128"/>
      <c r="BF259" s="128"/>
      <c r="BG259" s="128"/>
      <c r="BH259" s="128"/>
      <c r="BI259" s="128"/>
      <c r="BJ259" s="128"/>
      <c r="BK259" s="128"/>
      <c r="BL259" s="128"/>
      <c r="BM259" s="128"/>
      <c r="BN259" s="128"/>
      <c r="BO259" s="128"/>
      <c r="BP259" s="128"/>
      <c r="BQ259" s="128"/>
    </row>
    <row r="260" spans="1:69" ht="14.25" customHeight="1">
      <c r="A260" s="128"/>
      <c r="B260" s="128"/>
      <c r="C260" s="128"/>
      <c r="D260" s="128"/>
      <c r="E260" s="128"/>
      <c r="F260" s="128"/>
      <c r="G260" s="128"/>
      <c r="H260" s="128"/>
      <c r="I260" s="128"/>
      <c r="J260" s="128"/>
      <c r="K260" s="128"/>
      <c r="L260" s="128"/>
      <c r="M260" s="128"/>
      <c r="N260" s="128"/>
      <c r="O260" s="128"/>
      <c r="P260" s="128"/>
      <c r="Q260" s="128"/>
      <c r="R260" s="128"/>
      <c r="S260" s="128"/>
      <c r="T260" s="128"/>
      <c r="U260" s="128"/>
      <c r="V260" s="128"/>
      <c r="W260" s="128"/>
      <c r="X260" s="128"/>
      <c r="Y260" s="128"/>
      <c r="Z260" s="128"/>
      <c r="AA260" s="128"/>
      <c r="AB260" s="128"/>
      <c r="AC260" s="128"/>
      <c r="AD260" s="128"/>
      <c r="AE260" s="128"/>
      <c r="AF260" s="128"/>
      <c r="AG260" s="128"/>
      <c r="AH260" s="128"/>
      <c r="AI260" s="128"/>
      <c r="AJ260" s="128"/>
      <c r="AK260" s="128"/>
      <c r="AL260" s="128"/>
      <c r="AM260" s="128"/>
      <c r="AN260" s="128"/>
      <c r="AO260" s="128"/>
      <c r="AP260" s="128"/>
      <c r="AQ260" s="128"/>
      <c r="AR260" s="128"/>
      <c r="AS260" s="128"/>
      <c r="AT260" s="128"/>
      <c r="AU260" s="128"/>
      <c r="AV260" s="128"/>
      <c r="AW260" s="128"/>
      <c r="AX260" s="128"/>
      <c r="AY260" s="128"/>
      <c r="AZ260" s="128"/>
      <c r="BA260" s="128"/>
      <c r="BB260" s="128"/>
      <c r="BC260" s="128"/>
      <c r="BD260" s="128"/>
      <c r="BE260" s="128"/>
      <c r="BF260" s="128"/>
      <c r="BG260" s="128"/>
      <c r="BH260" s="128"/>
      <c r="BI260" s="128"/>
      <c r="BJ260" s="128"/>
      <c r="BK260" s="128"/>
      <c r="BL260" s="128"/>
      <c r="BM260" s="128"/>
      <c r="BN260" s="128"/>
      <c r="BO260" s="128"/>
      <c r="BP260" s="128"/>
      <c r="BQ260" s="128"/>
    </row>
    <row r="261" spans="1:69" ht="14.25" customHeight="1">
      <c r="A261" s="128"/>
      <c r="B261" s="128"/>
      <c r="C261" s="128"/>
      <c r="D261" s="128"/>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28"/>
      <c r="AA261" s="128"/>
      <c r="AB261" s="128"/>
      <c r="AC261" s="128"/>
      <c r="AD261" s="128"/>
      <c r="AE261" s="128"/>
      <c r="AF261" s="128"/>
      <c r="AG261" s="128"/>
      <c r="AH261" s="128"/>
      <c r="AI261" s="128"/>
      <c r="AJ261" s="128"/>
      <c r="AK261" s="128"/>
      <c r="AL261" s="128"/>
      <c r="AM261" s="128"/>
      <c r="AN261" s="128"/>
      <c r="AO261" s="128"/>
      <c r="AP261" s="128"/>
      <c r="AQ261" s="128"/>
      <c r="AR261" s="128"/>
      <c r="AS261" s="128"/>
      <c r="AT261" s="128"/>
      <c r="AU261" s="128"/>
      <c r="AV261" s="128"/>
      <c r="AW261" s="128"/>
      <c r="AX261" s="128"/>
      <c r="AY261" s="128"/>
      <c r="AZ261" s="128"/>
      <c r="BA261" s="128"/>
      <c r="BB261" s="128"/>
      <c r="BC261" s="128"/>
      <c r="BD261" s="128"/>
      <c r="BE261" s="128"/>
      <c r="BF261" s="128"/>
      <c r="BG261" s="128"/>
      <c r="BH261" s="128"/>
      <c r="BI261" s="128"/>
      <c r="BJ261" s="128"/>
      <c r="BK261" s="128"/>
      <c r="BL261" s="128"/>
      <c r="BM261" s="128"/>
      <c r="BN261" s="128"/>
      <c r="BO261" s="128"/>
      <c r="BP261" s="128"/>
      <c r="BQ261" s="128"/>
    </row>
    <row r="262" spans="1:69" ht="14.25" customHeight="1">
      <c r="A262" s="128"/>
      <c r="B262" s="128"/>
      <c r="C262" s="128"/>
      <c r="D262" s="128"/>
      <c r="E262" s="128"/>
      <c r="F262" s="128"/>
      <c r="G262" s="128"/>
      <c r="H262" s="128"/>
      <c r="I262" s="128"/>
      <c r="J262" s="128"/>
      <c r="K262" s="128"/>
      <c r="L262" s="128"/>
      <c r="M262" s="128"/>
      <c r="N262" s="128"/>
      <c r="O262" s="128"/>
      <c r="P262" s="128"/>
      <c r="Q262" s="128"/>
      <c r="R262" s="128"/>
      <c r="S262" s="128"/>
      <c r="T262" s="128"/>
      <c r="U262" s="128"/>
      <c r="V262" s="128"/>
      <c r="W262" s="128"/>
      <c r="X262" s="128"/>
      <c r="Y262" s="128"/>
      <c r="Z262" s="128"/>
      <c r="AA262" s="128"/>
      <c r="AB262" s="128"/>
      <c r="AC262" s="128"/>
      <c r="AD262" s="128"/>
      <c r="AE262" s="128"/>
      <c r="AF262" s="128"/>
      <c r="AG262" s="128"/>
      <c r="AH262" s="128"/>
      <c r="AI262" s="128"/>
      <c r="AJ262" s="128"/>
      <c r="AK262" s="128"/>
      <c r="AL262" s="128"/>
      <c r="AM262" s="128"/>
      <c r="AN262" s="128"/>
      <c r="AO262" s="128"/>
      <c r="AP262" s="128"/>
      <c r="AQ262" s="128"/>
      <c r="AR262" s="128"/>
      <c r="AS262" s="128"/>
      <c r="AT262" s="128"/>
      <c r="AU262" s="128"/>
      <c r="AV262" s="128"/>
      <c r="AW262" s="128"/>
      <c r="AX262" s="128"/>
      <c r="AY262" s="128"/>
      <c r="AZ262" s="128"/>
      <c r="BA262" s="128"/>
      <c r="BB262" s="128"/>
      <c r="BC262" s="128"/>
      <c r="BD262" s="128"/>
      <c r="BE262" s="128"/>
      <c r="BF262" s="128"/>
      <c r="BG262" s="128"/>
      <c r="BH262" s="128"/>
      <c r="BI262" s="128"/>
      <c r="BJ262" s="128"/>
      <c r="BK262" s="128"/>
      <c r="BL262" s="128"/>
      <c r="BM262" s="128"/>
      <c r="BN262" s="128"/>
      <c r="BO262" s="128"/>
      <c r="BP262" s="128"/>
      <c r="BQ262" s="128"/>
    </row>
    <row r="263" spans="1:69" ht="14.25" customHeight="1">
      <c r="A263" s="128"/>
      <c r="B263" s="128"/>
      <c r="C263" s="128"/>
      <c r="D263" s="128"/>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28"/>
      <c r="AA263" s="128"/>
      <c r="AB263" s="128"/>
      <c r="AC263" s="128"/>
      <c r="AD263" s="128"/>
      <c r="AE263" s="128"/>
      <c r="AF263" s="128"/>
      <c r="AG263" s="128"/>
      <c r="AH263" s="128"/>
      <c r="AI263" s="128"/>
      <c r="AJ263" s="128"/>
      <c r="AK263" s="128"/>
      <c r="AL263" s="128"/>
      <c r="AM263" s="128"/>
      <c r="AN263" s="128"/>
      <c r="AO263" s="128"/>
      <c r="AP263" s="128"/>
      <c r="AQ263" s="128"/>
      <c r="AR263" s="128"/>
      <c r="AS263" s="128"/>
      <c r="AT263" s="128"/>
      <c r="AU263" s="128"/>
      <c r="AV263" s="128"/>
      <c r="AW263" s="128"/>
      <c r="AX263" s="128"/>
      <c r="AY263" s="128"/>
      <c r="AZ263" s="128"/>
      <c r="BA263" s="128"/>
      <c r="BB263" s="128"/>
      <c r="BC263" s="128"/>
      <c r="BD263" s="128"/>
      <c r="BE263" s="128"/>
      <c r="BF263" s="128"/>
      <c r="BG263" s="128"/>
      <c r="BH263" s="128"/>
      <c r="BI263" s="128"/>
      <c r="BJ263" s="128"/>
      <c r="BK263" s="128"/>
      <c r="BL263" s="128"/>
      <c r="BM263" s="128"/>
      <c r="BN263" s="128"/>
      <c r="BO263" s="128"/>
      <c r="BP263" s="128"/>
      <c r="BQ263" s="128"/>
    </row>
    <row r="264" spans="1:69" ht="14.25" customHeight="1">
      <c r="A264" s="128"/>
      <c r="B264" s="128"/>
      <c r="C264" s="128"/>
      <c r="D264" s="128"/>
      <c r="E264" s="128"/>
      <c r="F264" s="128"/>
      <c r="G264" s="128"/>
      <c r="H264" s="128"/>
      <c r="I264" s="128"/>
      <c r="J264" s="128"/>
      <c r="K264" s="128"/>
      <c r="L264" s="128"/>
      <c r="M264" s="128"/>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row>
    <row r="265" spans="1:69" ht="14.25" customHeight="1">
      <c r="A265" s="128"/>
      <c r="B265" s="128"/>
      <c r="C265" s="128"/>
      <c r="D265" s="128"/>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28"/>
      <c r="AA265" s="128"/>
      <c r="AB265" s="128"/>
      <c r="AC265" s="128"/>
      <c r="AD265" s="128"/>
      <c r="AE265" s="128"/>
      <c r="AF265" s="128"/>
      <c r="AG265" s="128"/>
      <c r="AH265" s="128"/>
      <c r="AI265" s="128"/>
      <c r="AJ265" s="128"/>
      <c r="AK265" s="128"/>
      <c r="AL265" s="128"/>
      <c r="AM265" s="128"/>
      <c r="AN265" s="128"/>
      <c r="AO265" s="128"/>
      <c r="AP265" s="128"/>
      <c r="AQ265" s="128"/>
      <c r="AR265" s="128"/>
      <c r="AS265" s="128"/>
      <c r="AT265" s="128"/>
      <c r="AU265" s="128"/>
      <c r="AV265" s="128"/>
      <c r="AW265" s="128"/>
      <c r="AX265" s="128"/>
      <c r="AY265" s="128"/>
      <c r="AZ265" s="128"/>
      <c r="BA265" s="128"/>
      <c r="BB265" s="128"/>
      <c r="BC265" s="128"/>
      <c r="BD265" s="128"/>
      <c r="BE265" s="128"/>
      <c r="BF265" s="128"/>
      <c r="BG265" s="128"/>
      <c r="BH265" s="128"/>
      <c r="BI265" s="128"/>
      <c r="BJ265" s="128"/>
      <c r="BK265" s="128"/>
      <c r="BL265" s="128"/>
      <c r="BM265" s="128"/>
      <c r="BN265" s="128"/>
      <c r="BO265" s="128"/>
      <c r="BP265" s="128"/>
      <c r="BQ265" s="128"/>
    </row>
    <row r="266" spans="1:69" ht="14.25" customHeight="1">
      <c r="A266" s="128"/>
      <c r="B266" s="128"/>
      <c r="C266" s="128"/>
      <c r="D266" s="128"/>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c r="AA266" s="128"/>
      <c r="AB266" s="128"/>
      <c r="AC266" s="128"/>
      <c r="AD266" s="128"/>
      <c r="AE266" s="128"/>
      <c r="AF266" s="128"/>
      <c r="AG266" s="128"/>
      <c r="AH266" s="128"/>
      <c r="AI266" s="128"/>
      <c r="AJ266" s="128"/>
      <c r="AK266" s="128"/>
      <c r="AL266" s="128"/>
      <c r="AM266" s="128"/>
      <c r="AN266" s="128"/>
      <c r="AO266" s="128"/>
      <c r="AP266" s="128"/>
      <c r="AQ266" s="128"/>
      <c r="AR266" s="128"/>
      <c r="AS266" s="128"/>
      <c r="AT266" s="128"/>
      <c r="AU266" s="128"/>
      <c r="AV266" s="128"/>
      <c r="AW266" s="128"/>
      <c r="AX266" s="128"/>
      <c r="AY266" s="128"/>
      <c r="AZ266" s="128"/>
      <c r="BA266" s="128"/>
      <c r="BB266" s="128"/>
      <c r="BC266" s="128"/>
      <c r="BD266" s="128"/>
      <c r="BE266" s="128"/>
      <c r="BF266" s="128"/>
      <c r="BG266" s="128"/>
      <c r="BH266" s="128"/>
      <c r="BI266" s="128"/>
      <c r="BJ266" s="128"/>
      <c r="BK266" s="128"/>
      <c r="BL266" s="128"/>
      <c r="BM266" s="128"/>
      <c r="BN266" s="128"/>
      <c r="BO266" s="128"/>
      <c r="BP266" s="128"/>
      <c r="BQ266" s="128"/>
    </row>
    <row r="267" spans="1:69" ht="14.25" customHeight="1">
      <c r="A267" s="128"/>
      <c r="B267" s="128"/>
      <c r="C267" s="128"/>
      <c r="D267" s="128"/>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28"/>
      <c r="AA267" s="128"/>
      <c r="AB267" s="128"/>
      <c r="AC267" s="128"/>
      <c r="AD267" s="128"/>
      <c r="AE267" s="128"/>
      <c r="AF267" s="128"/>
      <c r="AG267" s="128"/>
      <c r="AH267" s="128"/>
      <c r="AI267" s="128"/>
      <c r="AJ267" s="128"/>
      <c r="AK267" s="128"/>
      <c r="AL267" s="128"/>
      <c r="AM267" s="128"/>
      <c r="AN267" s="128"/>
      <c r="AO267" s="128"/>
      <c r="AP267" s="128"/>
      <c r="AQ267" s="128"/>
      <c r="AR267" s="128"/>
      <c r="AS267" s="128"/>
      <c r="AT267" s="128"/>
      <c r="AU267" s="128"/>
      <c r="AV267" s="128"/>
      <c r="AW267" s="128"/>
      <c r="AX267" s="128"/>
      <c r="AY267" s="128"/>
      <c r="AZ267" s="128"/>
      <c r="BA267" s="128"/>
      <c r="BB267" s="128"/>
      <c r="BC267" s="128"/>
      <c r="BD267" s="128"/>
      <c r="BE267" s="128"/>
      <c r="BF267" s="128"/>
      <c r="BG267" s="128"/>
      <c r="BH267" s="128"/>
      <c r="BI267" s="128"/>
      <c r="BJ267" s="128"/>
      <c r="BK267" s="128"/>
      <c r="BL267" s="128"/>
      <c r="BM267" s="128"/>
      <c r="BN267" s="128"/>
      <c r="BO267" s="128"/>
      <c r="BP267" s="128"/>
      <c r="BQ267" s="128"/>
    </row>
    <row r="268" spans="1:69" ht="14.25" customHeight="1">
      <c r="A268" s="128"/>
      <c r="B268" s="128"/>
      <c r="C268" s="128"/>
      <c r="D268" s="128"/>
      <c r="E268" s="128"/>
      <c r="F268" s="128"/>
      <c r="G268" s="128"/>
      <c r="H268" s="128"/>
      <c r="I268" s="128"/>
      <c r="J268" s="128"/>
      <c r="K268" s="128"/>
      <c r="L268" s="128"/>
      <c r="M268" s="128"/>
      <c r="N268" s="128"/>
      <c r="O268" s="128"/>
      <c r="P268" s="128"/>
      <c r="Q268" s="128"/>
      <c r="R268" s="128"/>
      <c r="S268" s="128"/>
      <c r="T268" s="128"/>
      <c r="U268" s="128"/>
      <c r="V268" s="128"/>
      <c r="W268" s="128"/>
      <c r="X268" s="128"/>
      <c r="Y268" s="128"/>
      <c r="Z268" s="128"/>
      <c r="AA268" s="128"/>
      <c r="AB268" s="128"/>
      <c r="AC268" s="128"/>
      <c r="AD268" s="128"/>
      <c r="AE268" s="128"/>
      <c r="AF268" s="128"/>
      <c r="AG268" s="128"/>
      <c r="AH268" s="128"/>
      <c r="AI268" s="128"/>
      <c r="AJ268" s="128"/>
      <c r="AK268" s="128"/>
      <c r="AL268" s="128"/>
      <c r="AM268" s="128"/>
      <c r="AN268" s="128"/>
      <c r="AO268" s="128"/>
      <c r="AP268" s="128"/>
      <c r="AQ268" s="128"/>
      <c r="AR268" s="128"/>
      <c r="AS268" s="128"/>
      <c r="AT268" s="128"/>
      <c r="AU268" s="128"/>
      <c r="AV268" s="128"/>
      <c r="AW268" s="128"/>
      <c r="AX268" s="128"/>
      <c r="AY268" s="128"/>
      <c r="AZ268" s="128"/>
      <c r="BA268" s="128"/>
      <c r="BB268" s="128"/>
      <c r="BC268" s="128"/>
      <c r="BD268" s="128"/>
      <c r="BE268" s="128"/>
      <c r="BF268" s="128"/>
      <c r="BG268" s="128"/>
      <c r="BH268" s="128"/>
      <c r="BI268" s="128"/>
      <c r="BJ268" s="128"/>
      <c r="BK268" s="128"/>
      <c r="BL268" s="128"/>
      <c r="BM268" s="128"/>
      <c r="BN268" s="128"/>
      <c r="BO268" s="128"/>
      <c r="BP268" s="128"/>
      <c r="BQ268" s="128"/>
    </row>
    <row r="269" spans="1:69" ht="14.25" customHeight="1">
      <c r="A269" s="128"/>
      <c r="B269" s="128"/>
      <c r="C269" s="128"/>
      <c r="D269" s="128"/>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28"/>
      <c r="AA269" s="128"/>
      <c r="AB269" s="128"/>
      <c r="AC269" s="128"/>
      <c r="AD269" s="128"/>
      <c r="AE269" s="128"/>
      <c r="AF269" s="128"/>
      <c r="AG269" s="128"/>
      <c r="AH269" s="128"/>
      <c r="AI269" s="128"/>
      <c r="AJ269" s="128"/>
      <c r="AK269" s="128"/>
      <c r="AL269" s="128"/>
      <c r="AM269" s="128"/>
      <c r="AN269" s="128"/>
      <c r="AO269" s="128"/>
      <c r="AP269" s="128"/>
      <c r="AQ269" s="128"/>
      <c r="AR269" s="128"/>
      <c r="AS269" s="128"/>
      <c r="AT269" s="128"/>
      <c r="AU269" s="128"/>
      <c r="AV269" s="128"/>
      <c r="AW269" s="128"/>
      <c r="AX269" s="128"/>
      <c r="AY269" s="128"/>
      <c r="AZ269" s="128"/>
      <c r="BA269" s="128"/>
      <c r="BB269" s="128"/>
      <c r="BC269" s="128"/>
      <c r="BD269" s="128"/>
      <c r="BE269" s="128"/>
      <c r="BF269" s="128"/>
      <c r="BG269" s="128"/>
      <c r="BH269" s="128"/>
      <c r="BI269" s="128"/>
      <c r="BJ269" s="128"/>
      <c r="BK269" s="128"/>
      <c r="BL269" s="128"/>
      <c r="BM269" s="128"/>
      <c r="BN269" s="128"/>
      <c r="BO269" s="128"/>
      <c r="BP269" s="128"/>
      <c r="BQ269" s="128"/>
    </row>
    <row r="270" spans="1:69" ht="14.25" customHeight="1">
      <c r="A270" s="128"/>
      <c r="B270" s="128"/>
      <c r="C270" s="128"/>
      <c r="D270" s="128"/>
      <c r="E270" s="128"/>
      <c r="F270" s="128"/>
      <c r="G270" s="128"/>
      <c r="H270" s="128"/>
      <c r="I270" s="128"/>
      <c r="J270" s="128"/>
      <c r="K270" s="128"/>
      <c r="L270" s="128"/>
      <c r="M270" s="128"/>
      <c r="N270" s="128"/>
      <c r="O270" s="128"/>
      <c r="P270" s="128"/>
      <c r="Q270" s="128"/>
      <c r="R270" s="128"/>
      <c r="S270" s="128"/>
      <c r="T270" s="128"/>
      <c r="U270" s="128"/>
      <c r="V270" s="128"/>
      <c r="W270" s="128"/>
      <c r="X270" s="128"/>
      <c r="Y270" s="128"/>
      <c r="Z270" s="128"/>
      <c r="AA270" s="128"/>
      <c r="AB270" s="128"/>
      <c r="AC270" s="128"/>
      <c r="AD270" s="128"/>
      <c r="AE270" s="128"/>
      <c r="AF270" s="128"/>
      <c r="AG270" s="128"/>
      <c r="AH270" s="128"/>
      <c r="AI270" s="128"/>
      <c r="AJ270" s="128"/>
      <c r="AK270" s="128"/>
      <c r="AL270" s="128"/>
      <c r="AM270" s="128"/>
      <c r="AN270" s="128"/>
      <c r="AO270" s="128"/>
      <c r="AP270" s="128"/>
      <c r="AQ270" s="128"/>
      <c r="AR270" s="128"/>
      <c r="AS270" s="128"/>
      <c r="AT270" s="128"/>
      <c r="AU270" s="128"/>
      <c r="AV270" s="128"/>
      <c r="AW270" s="128"/>
      <c r="AX270" s="128"/>
      <c r="AY270" s="128"/>
      <c r="AZ270" s="128"/>
      <c r="BA270" s="128"/>
      <c r="BB270" s="128"/>
      <c r="BC270" s="128"/>
      <c r="BD270" s="128"/>
      <c r="BE270" s="128"/>
      <c r="BF270" s="128"/>
      <c r="BG270" s="128"/>
      <c r="BH270" s="128"/>
      <c r="BI270" s="128"/>
      <c r="BJ270" s="128"/>
      <c r="BK270" s="128"/>
      <c r="BL270" s="128"/>
      <c r="BM270" s="128"/>
      <c r="BN270" s="128"/>
      <c r="BO270" s="128"/>
      <c r="BP270" s="128"/>
      <c r="BQ270" s="128"/>
    </row>
    <row r="271" spans="1:69" ht="14.25" customHeight="1">
      <c r="A271" s="128"/>
      <c r="B271" s="128"/>
      <c r="C271" s="128"/>
      <c r="D271" s="128"/>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row>
    <row r="272" spans="1:69" ht="14.25" customHeight="1">
      <c r="A272" s="128"/>
      <c r="B272" s="128"/>
      <c r="C272" s="128"/>
      <c r="D272" s="128"/>
      <c r="E272" s="128"/>
      <c r="F272" s="128"/>
      <c r="G272" s="128"/>
      <c r="H272" s="128"/>
      <c r="I272" s="128"/>
      <c r="J272" s="128"/>
      <c r="K272" s="128"/>
      <c r="L272" s="128"/>
      <c r="M272" s="128"/>
      <c r="N272" s="128"/>
      <c r="O272" s="128"/>
      <c r="P272" s="128"/>
      <c r="Q272" s="128"/>
      <c r="R272" s="128"/>
      <c r="S272" s="128"/>
      <c r="T272" s="128"/>
      <c r="U272" s="128"/>
      <c r="V272" s="128"/>
      <c r="W272" s="128"/>
      <c r="X272" s="128"/>
      <c r="Y272" s="128"/>
      <c r="Z272" s="128"/>
      <c r="AA272" s="128"/>
      <c r="AB272" s="128"/>
      <c r="AC272" s="128"/>
      <c r="AD272" s="128"/>
      <c r="AE272" s="128"/>
      <c r="AF272" s="128"/>
      <c r="AG272" s="128"/>
      <c r="AH272" s="128"/>
      <c r="AI272" s="128"/>
      <c r="AJ272" s="128"/>
      <c r="AK272" s="128"/>
      <c r="AL272" s="128"/>
      <c r="AM272" s="128"/>
      <c r="AN272" s="128"/>
      <c r="AO272" s="128"/>
      <c r="AP272" s="128"/>
      <c r="AQ272" s="128"/>
      <c r="AR272" s="128"/>
      <c r="AS272" s="128"/>
      <c r="AT272" s="128"/>
      <c r="AU272" s="128"/>
      <c r="AV272" s="128"/>
      <c r="AW272" s="128"/>
      <c r="AX272" s="128"/>
      <c r="AY272" s="128"/>
      <c r="AZ272" s="128"/>
      <c r="BA272" s="128"/>
      <c r="BB272" s="128"/>
      <c r="BC272" s="128"/>
      <c r="BD272" s="128"/>
      <c r="BE272" s="128"/>
      <c r="BF272" s="128"/>
      <c r="BG272" s="128"/>
      <c r="BH272" s="128"/>
      <c r="BI272" s="128"/>
      <c r="BJ272" s="128"/>
      <c r="BK272" s="128"/>
      <c r="BL272" s="128"/>
      <c r="BM272" s="128"/>
      <c r="BN272" s="128"/>
      <c r="BO272" s="128"/>
      <c r="BP272" s="128"/>
      <c r="BQ272" s="128"/>
    </row>
    <row r="273" spans="1:69" ht="14.25" customHeight="1">
      <c r="A273" s="128"/>
      <c r="B273" s="128"/>
      <c r="C273" s="128"/>
      <c r="D273" s="128"/>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28"/>
      <c r="AA273" s="128"/>
      <c r="AB273" s="128"/>
      <c r="AC273" s="128"/>
      <c r="AD273" s="128"/>
      <c r="AE273" s="128"/>
      <c r="AF273" s="128"/>
      <c r="AG273" s="128"/>
      <c r="AH273" s="128"/>
      <c r="AI273" s="128"/>
      <c r="AJ273" s="128"/>
      <c r="AK273" s="128"/>
      <c r="AL273" s="128"/>
      <c r="AM273" s="128"/>
      <c r="AN273" s="128"/>
      <c r="AO273" s="128"/>
      <c r="AP273" s="128"/>
      <c r="AQ273" s="128"/>
      <c r="AR273" s="128"/>
      <c r="AS273" s="128"/>
      <c r="AT273" s="128"/>
      <c r="AU273" s="128"/>
      <c r="AV273" s="128"/>
      <c r="AW273" s="128"/>
      <c r="AX273" s="128"/>
      <c r="AY273" s="128"/>
      <c r="AZ273" s="128"/>
      <c r="BA273" s="128"/>
      <c r="BB273" s="128"/>
      <c r="BC273" s="128"/>
      <c r="BD273" s="128"/>
      <c r="BE273" s="128"/>
      <c r="BF273" s="128"/>
      <c r="BG273" s="128"/>
      <c r="BH273" s="128"/>
      <c r="BI273" s="128"/>
      <c r="BJ273" s="128"/>
      <c r="BK273" s="128"/>
      <c r="BL273" s="128"/>
      <c r="BM273" s="128"/>
      <c r="BN273" s="128"/>
      <c r="BO273" s="128"/>
      <c r="BP273" s="128"/>
      <c r="BQ273" s="128"/>
    </row>
    <row r="274" spans="1:69" ht="15.75" customHeight="1"/>
    <row r="275" spans="1:69" ht="15.75" customHeight="1"/>
    <row r="276" spans="1:69" ht="15.75" customHeight="1"/>
    <row r="277" spans="1:69" ht="15.75" customHeight="1"/>
    <row r="278" spans="1:69" ht="15.75" customHeight="1"/>
    <row r="279" spans="1:69" ht="15.75" customHeight="1"/>
    <row r="280" spans="1:69" ht="15.75" customHeight="1"/>
    <row r="281" spans="1:69" ht="15.75" customHeight="1"/>
    <row r="282" spans="1:69" ht="15.75" customHeight="1"/>
    <row r="283" spans="1:69" ht="15.75" customHeight="1"/>
    <row r="284" spans="1:69" ht="15.75" customHeight="1"/>
    <row r="285" spans="1:69" ht="15.75" customHeight="1"/>
    <row r="286" spans="1:69" ht="15.75" customHeight="1"/>
    <row r="287" spans="1:69" ht="15.75" customHeight="1"/>
    <row r="288" spans="1:69"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7">
    <mergeCell ref="P3:U3"/>
    <mergeCell ref="O4:U4"/>
    <mergeCell ref="AP4:AU4"/>
    <mergeCell ref="M5:U5"/>
    <mergeCell ref="AA5:AF5"/>
    <mergeCell ref="AP5:AT5"/>
    <mergeCell ref="BF5:BK5"/>
    <mergeCell ref="AA11:AF11"/>
    <mergeCell ref="AM11:AN11"/>
    <mergeCell ref="J8:K8"/>
    <mergeCell ref="J9:K9"/>
    <mergeCell ref="Q9:R9"/>
    <mergeCell ref="J10:K10"/>
    <mergeCell ref="J11:K11"/>
    <mergeCell ref="X11:Y11"/>
    <mergeCell ref="AP11:AU11"/>
    <mergeCell ref="BC15:BD15"/>
    <mergeCell ref="BC18:BD18"/>
    <mergeCell ref="J13:K13"/>
    <mergeCell ref="J14:K14"/>
    <mergeCell ref="J15:K15"/>
    <mergeCell ref="X15:Y15"/>
    <mergeCell ref="AM15:AN15"/>
    <mergeCell ref="X18:Y18"/>
    <mergeCell ref="AM18:AN18"/>
    <mergeCell ref="J18:K18"/>
    <mergeCell ref="BM18:BP19"/>
    <mergeCell ref="BC19:BD19"/>
    <mergeCell ref="BC9:BD9"/>
    <mergeCell ref="BC11:BD11"/>
    <mergeCell ref="BF11:BK11"/>
    <mergeCell ref="AW14:AZ14"/>
    <mergeCell ref="BM14:BP14"/>
    <mergeCell ref="AW15:AZ15"/>
    <mergeCell ref="BM15:BP15"/>
    <mergeCell ref="BM32:BP32"/>
    <mergeCell ref="J32:K32"/>
    <mergeCell ref="O32:R32"/>
    <mergeCell ref="X32:Y32"/>
    <mergeCell ref="AA32:AF32"/>
    <mergeCell ref="AH32:AJ32"/>
    <mergeCell ref="AM32:AN32"/>
    <mergeCell ref="AP32:AU32"/>
    <mergeCell ref="J19:K19"/>
    <mergeCell ref="J21:K21"/>
    <mergeCell ref="AW23:AZ23"/>
    <mergeCell ref="AW24:AZ24"/>
    <mergeCell ref="BC24:BD24"/>
    <mergeCell ref="BM24:BP24"/>
    <mergeCell ref="X21:Y21"/>
    <mergeCell ref="AA21:AF21"/>
    <mergeCell ref="AP21:AU21"/>
    <mergeCell ref="BC21:BD21"/>
    <mergeCell ref="BF21:BK21"/>
    <mergeCell ref="BC23:BD23"/>
    <mergeCell ref="BM23:BP23"/>
    <mergeCell ref="J24:K24"/>
    <mergeCell ref="X24:Y24"/>
    <mergeCell ref="AM24:AN24"/>
    <mergeCell ref="AP53:AQ53"/>
    <mergeCell ref="AP54:AQ54"/>
    <mergeCell ref="X34:Y34"/>
    <mergeCell ref="AA34:AF34"/>
    <mergeCell ref="AH34:AK34"/>
    <mergeCell ref="AP34:AU34"/>
    <mergeCell ref="AW32:AZ32"/>
    <mergeCell ref="BC32:BD32"/>
    <mergeCell ref="BF32:BK32"/>
    <mergeCell ref="BC41:BD41"/>
    <mergeCell ref="BF41:BK41"/>
    <mergeCell ref="AW35:AY35"/>
    <mergeCell ref="BC35:BD35"/>
    <mergeCell ref="BF35:BK35"/>
    <mergeCell ref="AM34:AN34"/>
    <mergeCell ref="AM36:AN36"/>
    <mergeCell ref="AM38:AN38"/>
    <mergeCell ref="AP38:AU38"/>
    <mergeCell ref="BM35:BO35"/>
    <mergeCell ref="AW37:AZ37"/>
    <mergeCell ref="BF37:BK37"/>
    <mergeCell ref="BM37:BP37"/>
    <mergeCell ref="AA40:AF40"/>
    <mergeCell ref="AH40:AK40"/>
    <mergeCell ref="AM40:AN40"/>
    <mergeCell ref="AP40:AU40"/>
    <mergeCell ref="J35:K35"/>
    <mergeCell ref="J37:K37"/>
    <mergeCell ref="O37:U37"/>
    <mergeCell ref="X38:Y38"/>
    <mergeCell ref="J40:K40"/>
    <mergeCell ref="O40:R40"/>
    <mergeCell ref="X40:Y40"/>
    <mergeCell ref="O35:U35"/>
    <mergeCell ref="X36:Y36"/>
    <mergeCell ref="AP36:AU36"/>
    <mergeCell ref="BC37:BD37"/>
    <mergeCell ref="BC39:BD39"/>
    <mergeCell ref="BF39:BK39"/>
    <mergeCell ref="AH23:AK23"/>
    <mergeCell ref="AH24:AK24"/>
    <mergeCell ref="AH26:AJ27"/>
    <mergeCell ref="AM26:AN26"/>
    <mergeCell ref="AW26:AY27"/>
    <mergeCell ref="BC26:BD26"/>
    <mergeCell ref="H19:I19"/>
    <mergeCell ref="X19:Y19"/>
    <mergeCell ref="AH19:AK19"/>
    <mergeCell ref="AM19:AN19"/>
    <mergeCell ref="AH20:AK21"/>
    <mergeCell ref="AM21:AN21"/>
    <mergeCell ref="J22:K22"/>
    <mergeCell ref="J23:K23"/>
    <mergeCell ref="X23:Y23"/>
    <mergeCell ref="AM23:AN23"/>
    <mergeCell ref="G21:I24"/>
    <mergeCell ref="H26:I26"/>
    <mergeCell ref="J26:K26"/>
    <mergeCell ref="H27:I27"/>
    <mergeCell ref="J27:K27"/>
    <mergeCell ref="H28:I28"/>
    <mergeCell ref="J28:K28"/>
    <mergeCell ref="BM26:BO27"/>
    <mergeCell ref="J30:K30"/>
    <mergeCell ref="O30:U30"/>
    <mergeCell ref="X30:Y30"/>
    <mergeCell ref="AA30:AF30"/>
    <mergeCell ref="AM30:AN30"/>
    <mergeCell ref="AP30:AU30"/>
    <mergeCell ref="BC30:BD30"/>
    <mergeCell ref="BF30:BK30"/>
    <mergeCell ref="X26:Y26"/>
    <mergeCell ref="X28:Y28"/>
    <mergeCell ref="AA28:AF28"/>
    <mergeCell ref="AM28:AN28"/>
    <mergeCell ref="AP28:AU28"/>
    <mergeCell ref="BC28:BD28"/>
    <mergeCell ref="BF28:BK28"/>
  </mergeCells>
  <hyperlinks>
    <hyperlink ref="AR81" r:id="rId1" xr:uid="{00000000-0004-0000-0C00-000000000000}"/>
  </hyperlinks>
  <pageMargins left="0.25" right="0.25" top="0.75" bottom="0.75" header="0" footer="0"/>
  <pageSetup paperSize="9" scale="32" orientation="landscape"/>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dimension ref="A1:Z1000"/>
  <sheetViews>
    <sheetView workbookViewId="0"/>
  </sheetViews>
  <sheetFormatPr baseColWidth="10" defaultColWidth="14.44140625" defaultRowHeight="15" customHeight="1"/>
  <cols>
    <col min="1" max="1" width="36.88671875" customWidth="1"/>
    <col min="2" max="2" width="19.6640625" customWidth="1"/>
    <col min="3" max="3" width="20.88671875" customWidth="1"/>
    <col min="4" max="4" width="38.44140625" customWidth="1"/>
    <col min="5" max="5" width="27.44140625" customWidth="1"/>
    <col min="6" max="10" width="27" customWidth="1"/>
    <col min="11" max="26" width="10.6640625" customWidth="1"/>
  </cols>
  <sheetData>
    <row r="1" spans="1:26" ht="15.75" customHeight="1">
      <c r="A1" s="986" t="s">
        <v>69</v>
      </c>
      <c r="B1" s="1362">
        <v>45662</v>
      </c>
      <c r="C1" s="1363"/>
      <c r="D1" s="1363"/>
      <c r="E1" s="1363"/>
      <c r="F1" s="1363"/>
      <c r="G1" s="1368"/>
      <c r="H1" s="92"/>
      <c r="I1" s="92"/>
      <c r="J1" s="92"/>
      <c r="K1" s="92"/>
      <c r="L1" s="92"/>
      <c r="M1" s="92"/>
      <c r="N1" s="92"/>
      <c r="O1" s="92"/>
      <c r="P1" s="92"/>
      <c r="Q1" s="92"/>
      <c r="R1" s="92"/>
      <c r="S1" s="92"/>
      <c r="T1" s="92"/>
      <c r="U1" s="92"/>
      <c r="V1" s="92"/>
      <c r="W1" s="92"/>
      <c r="X1" s="92"/>
      <c r="Y1" s="92"/>
      <c r="Z1" s="92"/>
    </row>
    <row r="2" spans="1:26" ht="15.75" customHeight="1">
      <c r="A2" s="200" t="s">
        <v>72</v>
      </c>
      <c r="B2" s="1369" t="s">
        <v>73</v>
      </c>
      <c r="C2" s="1339"/>
      <c r="D2" s="1339"/>
      <c r="E2" s="1339"/>
      <c r="F2" s="1339"/>
      <c r="G2" s="1387"/>
      <c r="H2" s="92"/>
      <c r="I2" s="92"/>
      <c r="J2" s="92"/>
      <c r="K2" s="92"/>
      <c r="L2" s="92"/>
      <c r="M2" s="92"/>
      <c r="N2" s="92"/>
      <c r="O2" s="92"/>
      <c r="P2" s="92"/>
      <c r="Q2" s="92"/>
      <c r="R2" s="92"/>
      <c r="S2" s="92"/>
      <c r="T2" s="92"/>
      <c r="U2" s="92"/>
      <c r="V2" s="92"/>
      <c r="W2" s="92"/>
      <c r="X2" s="92"/>
      <c r="Y2" s="92"/>
      <c r="Z2" s="92"/>
    </row>
    <row r="3" spans="1:26" ht="15.75" customHeight="1">
      <c r="A3" s="200" t="s">
        <v>75</v>
      </c>
      <c r="B3" s="1375" t="s">
        <v>541</v>
      </c>
      <c r="C3" s="1339"/>
      <c r="D3" s="1339"/>
      <c r="E3" s="1340"/>
      <c r="F3" s="1375" t="s">
        <v>245</v>
      </c>
      <c r="G3" s="1387"/>
      <c r="H3" s="84"/>
      <c r="I3" s="84"/>
      <c r="J3" s="84"/>
      <c r="K3" s="92"/>
      <c r="L3" s="92"/>
      <c r="M3" s="92"/>
      <c r="N3" s="92"/>
      <c r="O3" s="92"/>
      <c r="P3" s="92"/>
      <c r="Q3" s="92"/>
      <c r="R3" s="92"/>
      <c r="S3" s="92"/>
      <c r="T3" s="92"/>
      <c r="U3" s="92"/>
      <c r="V3" s="92"/>
      <c r="W3" s="92"/>
      <c r="X3" s="92"/>
      <c r="Y3" s="92"/>
      <c r="Z3" s="92"/>
    </row>
    <row r="4" spans="1:26" ht="15.75" customHeight="1">
      <c r="A4" s="200" t="s">
        <v>78</v>
      </c>
      <c r="B4" s="1462" t="s">
        <v>79</v>
      </c>
      <c r="C4" s="1339"/>
      <c r="D4" s="1339"/>
      <c r="E4" s="1339"/>
      <c r="F4" s="1339"/>
      <c r="G4" s="1387"/>
      <c r="H4" s="92"/>
      <c r="I4" s="92"/>
      <c r="J4" s="92"/>
      <c r="K4" s="92"/>
      <c r="L4" s="92"/>
      <c r="M4" s="92"/>
      <c r="N4" s="92"/>
      <c r="O4" s="92"/>
      <c r="P4" s="92"/>
      <c r="Q4" s="92"/>
      <c r="R4" s="92"/>
      <c r="S4" s="92"/>
      <c r="T4" s="92"/>
      <c r="U4" s="92"/>
      <c r="V4" s="92"/>
      <c r="W4" s="92"/>
      <c r="X4" s="92"/>
      <c r="Y4" s="92"/>
      <c r="Z4" s="92"/>
    </row>
    <row r="5" spans="1:26" ht="15.75" customHeight="1">
      <c r="A5" s="200" t="s">
        <v>80</v>
      </c>
      <c r="B5" s="1355" t="s">
        <v>542</v>
      </c>
      <c r="C5" s="1339"/>
      <c r="D5" s="1339"/>
      <c r="E5" s="1339"/>
      <c r="F5" s="1339"/>
      <c r="G5" s="1387"/>
      <c r="H5" s="92"/>
      <c r="I5" s="92"/>
      <c r="J5" s="92"/>
      <c r="K5" s="92"/>
      <c r="L5" s="92"/>
      <c r="M5" s="92"/>
      <c r="N5" s="92"/>
      <c r="O5" s="92"/>
      <c r="P5" s="92"/>
      <c r="Q5" s="92"/>
      <c r="R5" s="92"/>
      <c r="S5" s="92"/>
      <c r="T5" s="92"/>
      <c r="U5" s="92"/>
      <c r="V5" s="92"/>
      <c r="W5" s="92"/>
      <c r="X5" s="92"/>
      <c r="Y5" s="92"/>
      <c r="Z5" s="92"/>
    </row>
    <row r="6" spans="1:26" ht="15.75" customHeight="1">
      <c r="A6" s="200" t="s">
        <v>82</v>
      </c>
      <c r="B6" s="1369" t="s">
        <v>83</v>
      </c>
      <c r="C6" s="1339"/>
      <c r="D6" s="1339"/>
      <c r="E6" s="1339"/>
      <c r="F6" s="1339"/>
      <c r="G6" s="1387"/>
      <c r="H6" s="95"/>
      <c r="I6" s="95"/>
      <c r="J6" s="95"/>
      <c r="K6" s="95"/>
      <c r="L6" s="95"/>
      <c r="M6" s="95"/>
      <c r="N6" s="95"/>
      <c r="O6" s="95"/>
      <c r="P6" s="95"/>
      <c r="Q6" s="95"/>
      <c r="R6" s="95"/>
      <c r="S6" s="95"/>
      <c r="T6" s="95"/>
      <c r="U6" s="95"/>
      <c r="V6" s="95"/>
      <c r="W6" s="95"/>
      <c r="X6" s="95"/>
      <c r="Y6" s="95"/>
      <c r="Z6" s="95"/>
    </row>
    <row r="7" spans="1:26" ht="15.75" customHeight="1">
      <c r="A7" s="201" t="s">
        <v>84</v>
      </c>
      <c r="B7" s="1388" t="s">
        <v>85</v>
      </c>
      <c r="C7" s="1389"/>
      <c r="D7" s="1389"/>
      <c r="E7" s="1389"/>
      <c r="F7" s="1389"/>
      <c r="G7" s="1390"/>
      <c r="H7" s="92"/>
      <c r="I7" s="92"/>
      <c r="J7" s="92"/>
      <c r="K7" s="92"/>
      <c r="L7" s="92"/>
      <c r="M7" s="92"/>
      <c r="N7" s="92"/>
      <c r="O7" s="92"/>
      <c r="P7" s="92"/>
      <c r="Q7" s="92"/>
      <c r="R7" s="92"/>
      <c r="S7" s="92"/>
      <c r="T7" s="92"/>
      <c r="U7" s="92"/>
      <c r="V7" s="92"/>
      <c r="W7" s="92"/>
      <c r="X7" s="92"/>
      <c r="Y7" s="92"/>
      <c r="Z7" s="92"/>
    </row>
    <row r="8" spans="1:26" ht="15.75" customHeight="1">
      <c r="A8" s="987" t="s">
        <v>233</v>
      </c>
      <c r="B8" s="98"/>
      <c r="C8" s="1461" t="s">
        <v>543</v>
      </c>
      <c r="D8" s="1337"/>
      <c r="E8" s="1337"/>
      <c r="F8" s="1337"/>
      <c r="G8" s="1461" t="s">
        <v>544</v>
      </c>
      <c r="H8" s="1337"/>
      <c r="I8" s="1337"/>
      <c r="J8" s="1337"/>
      <c r="K8" s="92"/>
      <c r="L8" s="92"/>
      <c r="M8" s="92"/>
      <c r="N8" s="92"/>
      <c r="O8" s="92"/>
      <c r="P8" s="92"/>
      <c r="Q8" s="92"/>
      <c r="R8" s="92"/>
      <c r="S8" s="92"/>
      <c r="T8" s="92"/>
      <c r="U8" s="92"/>
      <c r="V8" s="92"/>
      <c r="W8" s="92"/>
      <c r="X8" s="92"/>
      <c r="Y8" s="92"/>
      <c r="Z8" s="92"/>
    </row>
    <row r="9" spans="1:26" ht="15.75" customHeight="1">
      <c r="A9" s="988" t="s">
        <v>204</v>
      </c>
      <c r="B9" s="989" t="s">
        <v>91</v>
      </c>
      <c r="C9" s="989" t="s">
        <v>545</v>
      </c>
      <c r="D9" s="100" t="s">
        <v>546</v>
      </c>
      <c r="E9" s="100" t="s">
        <v>547</v>
      </c>
      <c r="F9" s="100" t="s">
        <v>548</v>
      </c>
      <c r="G9" s="989" t="s">
        <v>545</v>
      </c>
      <c r="H9" s="100" t="s">
        <v>546</v>
      </c>
      <c r="I9" s="100" t="s">
        <v>547</v>
      </c>
      <c r="J9" s="100" t="s">
        <v>548</v>
      </c>
      <c r="K9" s="209"/>
      <c r="L9" s="209"/>
      <c r="M9" s="209"/>
      <c r="N9" s="209"/>
      <c r="O9" s="209"/>
      <c r="P9" s="209"/>
      <c r="Q9" s="209"/>
      <c r="R9" s="209"/>
      <c r="S9" s="209"/>
      <c r="T9" s="209"/>
      <c r="U9" s="209"/>
      <c r="V9" s="209"/>
      <c r="W9" s="209"/>
      <c r="X9" s="209"/>
      <c r="Y9" s="209"/>
      <c r="Z9" s="209"/>
    </row>
    <row r="10" spans="1:26" ht="15.75" hidden="1" customHeight="1">
      <c r="A10" s="990" t="s">
        <v>106</v>
      </c>
      <c r="B10" s="100">
        <v>417</v>
      </c>
      <c r="C10" s="991">
        <v>11.951228430866383</v>
      </c>
      <c r="D10" s="991">
        <v>12.92025260266753</v>
      </c>
      <c r="E10" s="991">
        <v>19.470706486361774</v>
      </c>
      <c r="F10" s="991">
        <v>26.87897489898964</v>
      </c>
      <c r="G10" s="991">
        <v>14.093444689999501</v>
      </c>
      <c r="H10" s="991">
        <v>15.38557839018298</v>
      </c>
      <c r="I10" s="991">
        <v>20.504835886971271</v>
      </c>
      <c r="J10" s="991">
        <v>28.306572722456384</v>
      </c>
      <c r="K10" s="1"/>
      <c r="L10" s="92"/>
      <c r="M10" s="92"/>
      <c r="N10" s="92"/>
      <c r="O10" s="92"/>
      <c r="P10" s="92"/>
      <c r="Q10" s="92"/>
      <c r="R10" s="92"/>
      <c r="S10" s="92"/>
      <c r="T10" s="92"/>
      <c r="U10" s="92"/>
      <c r="V10" s="92"/>
      <c r="W10" s="92"/>
      <c r="X10" s="92"/>
      <c r="Y10" s="92"/>
      <c r="Z10" s="92"/>
    </row>
    <row r="11" spans="1:26" ht="15.75" hidden="1" customHeight="1">
      <c r="A11" s="990" t="s">
        <v>107</v>
      </c>
      <c r="B11" s="100">
        <v>300</v>
      </c>
      <c r="C11" s="991">
        <v>12.712864671093516</v>
      </c>
      <c r="D11" s="991">
        <v>17.817018442398741</v>
      </c>
      <c r="E11" s="991">
        <v>27.493400274781134</v>
      </c>
      <c r="F11" s="991">
        <v>34.175159179933047</v>
      </c>
      <c r="G11" s="991">
        <v>15.491837075545607</v>
      </c>
      <c r="H11" s="991">
        <v>22.485445541976635</v>
      </c>
      <c r="I11" s="991">
        <v>30.858645171588098</v>
      </c>
      <c r="J11" s="991">
        <v>38.358264175255449</v>
      </c>
      <c r="K11" s="1"/>
      <c r="L11" s="92"/>
      <c r="M11" s="92"/>
      <c r="N11" s="92"/>
      <c r="O11" s="92"/>
      <c r="P11" s="92"/>
      <c r="Q11" s="92"/>
      <c r="R11" s="92"/>
      <c r="S11" s="92"/>
      <c r="T11" s="92"/>
      <c r="U11" s="92"/>
      <c r="V11" s="92"/>
      <c r="W11" s="92"/>
      <c r="X11" s="92"/>
      <c r="Y11" s="92"/>
      <c r="Z11" s="92"/>
    </row>
    <row r="12" spans="1:26" ht="15.75" hidden="1" customHeight="1">
      <c r="A12" s="990" t="s">
        <v>108</v>
      </c>
      <c r="B12" s="100">
        <v>151</v>
      </c>
      <c r="C12" s="991">
        <v>8.7540372475095847</v>
      </c>
      <c r="D12" s="991">
        <v>8.859743965106361</v>
      </c>
      <c r="E12" s="991">
        <v>16.544135959367118</v>
      </c>
      <c r="F12" s="991">
        <v>20.470245776165964</v>
      </c>
      <c r="G12" s="991">
        <v>9.4110322382571354</v>
      </c>
      <c r="H12" s="991">
        <v>9.5308538245743133</v>
      </c>
      <c r="I12" s="991">
        <v>16.879171316098756</v>
      </c>
      <c r="J12" s="991">
        <v>20.884788796898274</v>
      </c>
      <c r="K12" s="1"/>
      <c r="L12" s="92"/>
      <c r="M12" s="92"/>
      <c r="N12" s="92"/>
      <c r="O12" s="92"/>
      <c r="P12" s="92"/>
      <c r="Q12" s="92"/>
      <c r="R12" s="92"/>
      <c r="S12" s="92"/>
      <c r="T12" s="92"/>
      <c r="U12" s="92"/>
      <c r="V12" s="92"/>
      <c r="W12" s="92"/>
      <c r="X12" s="92"/>
      <c r="Y12" s="92"/>
      <c r="Z12" s="92"/>
    </row>
    <row r="13" spans="1:26" ht="15.75" hidden="1" customHeight="1">
      <c r="A13" s="990" t="s">
        <v>109</v>
      </c>
      <c r="B13" s="100">
        <v>1194</v>
      </c>
      <c r="C13" s="991">
        <v>12.389602234969308</v>
      </c>
      <c r="D13" s="991">
        <v>12.737551855791756</v>
      </c>
      <c r="E13" s="991">
        <v>15.694507480997327</v>
      </c>
      <c r="F13" s="991">
        <v>21.003910956789333</v>
      </c>
      <c r="G13" s="991">
        <v>12.618164507916227</v>
      </c>
      <c r="H13" s="991">
        <v>12.971024227512363</v>
      </c>
      <c r="I13" s="991">
        <v>16.050519781819098</v>
      </c>
      <c r="J13" s="991">
        <v>21.480361120965302</v>
      </c>
      <c r="K13" s="1"/>
      <c r="L13" s="92"/>
      <c r="M13" s="92"/>
      <c r="N13" s="92"/>
      <c r="O13" s="92"/>
      <c r="P13" s="92"/>
      <c r="Q13" s="92"/>
      <c r="R13" s="92"/>
      <c r="S13" s="92"/>
      <c r="T13" s="92"/>
      <c r="U13" s="92"/>
      <c r="V13" s="92"/>
      <c r="W13" s="92"/>
      <c r="X13" s="92"/>
      <c r="Y13" s="92"/>
      <c r="Z13" s="92"/>
    </row>
    <row r="14" spans="1:26" ht="15.75" hidden="1" customHeight="1">
      <c r="A14" s="990" t="s">
        <v>110</v>
      </c>
      <c r="B14" s="100">
        <v>162</v>
      </c>
      <c r="C14" s="991">
        <v>8.7560075221125793</v>
      </c>
      <c r="D14" s="991">
        <v>12.12555584215913</v>
      </c>
      <c r="E14" s="991">
        <v>19.801842238501486</v>
      </c>
      <c r="F14" s="991">
        <v>26.646040577508721</v>
      </c>
      <c r="G14" s="991">
        <v>9.1324281915659071</v>
      </c>
      <c r="H14" s="991">
        <v>12.718380636552672</v>
      </c>
      <c r="I14" s="991">
        <v>20.355560311371434</v>
      </c>
      <c r="J14" s="991">
        <v>27.39114267763075</v>
      </c>
      <c r="K14" s="1"/>
      <c r="L14" s="92"/>
      <c r="M14" s="92"/>
      <c r="N14" s="92"/>
      <c r="O14" s="92"/>
      <c r="P14" s="92"/>
      <c r="Q14" s="92"/>
      <c r="R14" s="92"/>
      <c r="S14" s="92"/>
      <c r="T14" s="92"/>
      <c r="U14" s="92"/>
      <c r="V14" s="92"/>
      <c r="W14" s="92"/>
      <c r="X14" s="92"/>
      <c r="Y14" s="92"/>
      <c r="Z14" s="92"/>
    </row>
    <row r="15" spans="1:26" ht="15.75" hidden="1" customHeight="1">
      <c r="A15" s="990" t="s">
        <v>111</v>
      </c>
      <c r="B15" s="100">
        <v>780</v>
      </c>
      <c r="C15" s="991">
        <v>5.1174632766790413</v>
      </c>
      <c r="D15" s="991">
        <v>7.2426584817611523</v>
      </c>
      <c r="E15" s="991">
        <v>13.350115616373527</v>
      </c>
      <c r="F15" s="991">
        <v>17.580830825647038</v>
      </c>
      <c r="G15" s="991">
        <v>5.6693146562470309</v>
      </c>
      <c r="H15" s="991">
        <v>8.2314601334446849</v>
      </c>
      <c r="I15" s="991">
        <v>13.942311067896917</v>
      </c>
      <c r="J15" s="991">
        <v>18.360695835668466</v>
      </c>
      <c r="K15" s="1"/>
      <c r="L15" s="92"/>
      <c r="M15" s="92"/>
      <c r="N15" s="92"/>
      <c r="O15" s="92"/>
      <c r="P15" s="92"/>
      <c r="Q15" s="92"/>
      <c r="R15" s="92"/>
      <c r="S15" s="92"/>
      <c r="T15" s="92"/>
      <c r="U15" s="92"/>
      <c r="V15" s="92"/>
      <c r="W15" s="92"/>
      <c r="X15" s="92"/>
      <c r="Y15" s="92"/>
      <c r="Z15" s="92"/>
    </row>
    <row r="16" spans="1:26" ht="15.75" hidden="1" customHeight="1">
      <c r="A16" s="990" t="s">
        <v>112</v>
      </c>
      <c r="B16" s="100">
        <v>621</v>
      </c>
      <c r="C16" s="991" t="s">
        <v>113</v>
      </c>
      <c r="D16" s="991" t="s">
        <v>113</v>
      </c>
      <c r="E16" s="991" t="s">
        <v>113</v>
      </c>
      <c r="F16" s="991" t="s">
        <v>113</v>
      </c>
      <c r="G16" s="991" t="s">
        <v>113</v>
      </c>
      <c r="H16" s="991" t="s">
        <v>113</v>
      </c>
      <c r="I16" s="991" t="s">
        <v>113</v>
      </c>
      <c r="J16" s="991" t="s">
        <v>113</v>
      </c>
      <c r="K16" s="1"/>
      <c r="L16" s="92"/>
      <c r="M16" s="92"/>
      <c r="N16" s="92"/>
      <c r="O16" s="92"/>
      <c r="P16" s="92"/>
      <c r="Q16" s="92"/>
      <c r="R16" s="92"/>
      <c r="S16" s="92"/>
      <c r="T16" s="92"/>
      <c r="U16" s="92"/>
      <c r="V16" s="92"/>
      <c r="W16" s="92"/>
      <c r="X16" s="92"/>
      <c r="Y16" s="92"/>
      <c r="Z16" s="92"/>
    </row>
    <row r="17" spans="1:26" ht="15.75" hidden="1" customHeight="1">
      <c r="A17" s="990" t="s">
        <v>114</v>
      </c>
      <c r="B17" s="100">
        <v>849</v>
      </c>
      <c r="C17" s="991" t="s">
        <v>113</v>
      </c>
      <c r="D17" s="991" t="s">
        <v>113</v>
      </c>
      <c r="E17" s="991" t="s">
        <v>113</v>
      </c>
      <c r="F17" s="991" t="s">
        <v>113</v>
      </c>
      <c r="G17" s="991" t="s">
        <v>113</v>
      </c>
      <c r="H17" s="991" t="s">
        <v>113</v>
      </c>
      <c r="I17" s="991" t="s">
        <v>113</v>
      </c>
      <c r="J17" s="991" t="s">
        <v>113</v>
      </c>
      <c r="K17" s="1"/>
      <c r="L17" s="92"/>
      <c r="M17" s="92"/>
      <c r="N17" s="92"/>
      <c r="O17" s="92"/>
      <c r="P17" s="92"/>
      <c r="Q17" s="92"/>
      <c r="R17" s="92"/>
      <c r="S17" s="92"/>
      <c r="T17" s="92"/>
      <c r="U17" s="92"/>
      <c r="V17" s="92"/>
      <c r="W17" s="92"/>
      <c r="X17" s="92"/>
      <c r="Y17" s="92"/>
      <c r="Z17" s="92"/>
    </row>
    <row r="18" spans="1:26" ht="15.75" hidden="1" customHeight="1">
      <c r="A18" s="990" t="s">
        <v>115</v>
      </c>
      <c r="B18" s="100">
        <v>216</v>
      </c>
      <c r="C18" s="991">
        <v>10.744598713915281</v>
      </c>
      <c r="D18" s="991">
        <v>10.864403573135078</v>
      </c>
      <c r="E18" s="991">
        <v>12.947360370099922</v>
      </c>
      <c r="F18" s="991">
        <v>17.202741984280088</v>
      </c>
      <c r="G18" s="991">
        <v>11.168437315475241</v>
      </c>
      <c r="H18" s="991">
        <v>11.296785169652569</v>
      </c>
      <c r="I18" s="991">
        <v>13.062257715082696</v>
      </c>
      <c r="J18" s="991">
        <v>17.355402397207346</v>
      </c>
      <c r="K18" s="1"/>
      <c r="L18" s="92"/>
      <c r="M18" s="92"/>
      <c r="N18" s="92"/>
      <c r="O18" s="92"/>
      <c r="P18" s="92"/>
      <c r="Q18" s="92"/>
      <c r="R18" s="92"/>
      <c r="S18" s="92"/>
      <c r="T18" s="92"/>
      <c r="U18" s="92"/>
      <c r="V18" s="92"/>
      <c r="W18" s="92"/>
      <c r="X18" s="92"/>
      <c r="Y18" s="92"/>
      <c r="Z18" s="92"/>
    </row>
    <row r="19" spans="1:26" ht="15.75" hidden="1" customHeight="1">
      <c r="A19" s="990" t="s">
        <v>116</v>
      </c>
      <c r="B19" s="100">
        <v>101</v>
      </c>
      <c r="C19" s="991">
        <v>15.688123785583979</v>
      </c>
      <c r="D19" s="991">
        <v>15.971324202788859</v>
      </c>
      <c r="E19" s="991">
        <v>19.414654477752674</v>
      </c>
      <c r="F19" s="991">
        <v>24.665306789470606</v>
      </c>
      <c r="G19" s="991">
        <v>16.611511008357205</v>
      </c>
      <c r="H19" s="991">
        <v>16.928952216867511</v>
      </c>
      <c r="I19" s="991">
        <v>19.439609440771576</v>
      </c>
      <c r="J19" s="991">
        <v>24.697010769548466</v>
      </c>
      <c r="K19" s="1"/>
      <c r="L19" s="92"/>
      <c r="M19" s="92"/>
      <c r="N19" s="92"/>
      <c r="O19" s="92"/>
      <c r="P19" s="92"/>
      <c r="Q19" s="92"/>
      <c r="R19" s="92"/>
      <c r="S19" s="92"/>
      <c r="T19" s="92"/>
      <c r="U19" s="92"/>
      <c r="V19" s="92"/>
      <c r="W19" s="92"/>
      <c r="X19" s="92"/>
      <c r="Y19" s="92"/>
      <c r="Z19" s="92"/>
    </row>
    <row r="20" spans="1:26" ht="15.75" hidden="1" customHeight="1">
      <c r="A20" s="990" t="s">
        <v>117</v>
      </c>
      <c r="B20" s="100">
        <v>126</v>
      </c>
      <c r="C20" s="991">
        <v>7.4066685575241822</v>
      </c>
      <c r="D20" s="991">
        <v>7.4336340529543712</v>
      </c>
      <c r="E20" s="991">
        <v>11.248085810490112</v>
      </c>
      <c r="F20" s="991">
        <v>13.964720544859166</v>
      </c>
      <c r="G20" s="991">
        <v>9.6412929964865235</v>
      </c>
      <c r="H20" s="991">
        <v>9.6843515390953101</v>
      </c>
      <c r="I20" s="991">
        <v>11.945640401921422</v>
      </c>
      <c r="J20" s="991">
        <v>14.830748338231519</v>
      </c>
      <c r="K20" s="1"/>
      <c r="L20" s="92"/>
      <c r="M20" s="92"/>
      <c r="N20" s="92"/>
      <c r="O20" s="92"/>
      <c r="P20" s="92"/>
      <c r="Q20" s="92"/>
      <c r="R20" s="92"/>
      <c r="S20" s="92"/>
      <c r="T20" s="92"/>
      <c r="U20" s="92"/>
      <c r="V20" s="92"/>
      <c r="W20" s="92"/>
      <c r="X20" s="92"/>
      <c r="Y20" s="92"/>
      <c r="Z20" s="92"/>
    </row>
    <row r="21" spans="1:26" ht="15.75" hidden="1" customHeight="1">
      <c r="A21" s="990" t="s">
        <v>118</v>
      </c>
      <c r="B21" s="100">
        <v>606</v>
      </c>
      <c r="C21" s="991">
        <v>197.63625168336495</v>
      </c>
      <c r="D21" s="991" t="s">
        <v>113</v>
      </c>
      <c r="E21" s="991" t="s">
        <v>113</v>
      </c>
      <c r="F21" s="991" t="s">
        <v>113</v>
      </c>
      <c r="G21" s="991" t="s">
        <v>113</v>
      </c>
      <c r="H21" s="991" t="s">
        <v>113</v>
      </c>
      <c r="I21" s="991" t="s">
        <v>113</v>
      </c>
      <c r="J21" s="991" t="s">
        <v>113</v>
      </c>
      <c r="K21" s="1"/>
      <c r="L21" s="92"/>
      <c r="M21" s="92"/>
      <c r="N21" s="92"/>
      <c r="O21" s="92"/>
      <c r="P21" s="92"/>
      <c r="Q21" s="92"/>
      <c r="R21" s="92"/>
      <c r="S21" s="92"/>
      <c r="T21" s="92"/>
      <c r="U21" s="92"/>
      <c r="V21" s="92"/>
      <c r="W21" s="92"/>
      <c r="X21" s="92"/>
      <c r="Y21" s="92"/>
      <c r="Z21" s="92"/>
    </row>
    <row r="22" spans="1:26" ht="15.75" hidden="1" customHeight="1">
      <c r="A22" s="990" t="s">
        <v>119</v>
      </c>
      <c r="B22" s="100">
        <v>462</v>
      </c>
      <c r="C22" s="991">
        <v>10.685096799154158</v>
      </c>
      <c r="D22" s="991">
        <v>11.907869725109522</v>
      </c>
      <c r="E22" s="991">
        <v>16.651118535377062</v>
      </c>
      <c r="F22" s="991">
        <v>21.476295769859995</v>
      </c>
      <c r="G22" s="991">
        <v>11.189671572900211</v>
      </c>
      <c r="H22" s="991">
        <v>12.522763638310137</v>
      </c>
      <c r="I22" s="991">
        <v>16.820312914362102</v>
      </c>
      <c r="J22" s="991">
        <v>21.694519459635572</v>
      </c>
      <c r="K22" s="1"/>
      <c r="L22" s="92"/>
      <c r="M22" s="92"/>
      <c r="N22" s="92"/>
      <c r="O22" s="92"/>
      <c r="P22" s="92"/>
      <c r="Q22" s="92"/>
      <c r="R22" s="92"/>
      <c r="S22" s="92"/>
      <c r="T22" s="92"/>
      <c r="U22" s="92"/>
      <c r="V22" s="92"/>
      <c r="W22" s="92"/>
      <c r="X22" s="92"/>
      <c r="Y22" s="92"/>
      <c r="Z22" s="92"/>
    </row>
    <row r="23" spans="1:26" ht="15.75" hidden="1" customHeight="1">
      <c r="A23" s="990" t="s">
        <v>120</v>
      </c>
      <c r="B23" s="100">
        <v>974</v>
      </c>
      <c r="C23" s="991">
        <v>14.822165966288061</v>
      </c>
      <c r="D23" s="991">
        <v>15.979569702346412</v>
      </c>
      <c r="E23" s="991">
        <v>22.033240918860638</v>
      </c>
      <c r="F23" s="991">
        <v>29.278260252137304</v>
      </c>
      <c r="G23" s="991">
        <v>16.406338025860556</v>
      </c>
      <c r="H23" s="991">
        <v>17.794157503464639</v>
      </c>
      <c r="I23" s="991">
        <v>22.648665518967171</v>
      </c>
      <c r="J23" s="991">
        <v>30.096050139419052</v>
      </c>
      <c r="K23" s="1"/>
      <c r="L23" s="92"/>
      <c r="M23" s="92"/>
      <c r="N23" s="92"/>
      <c r="O23" s="92"/>
      <c r="P23" s="92"/>
      <c r="Q23" s="92"/>
      <c r="R23" s="92"/>
      <c r="S23" s="92"/>
      <c r="T23" s="92"/>
      <c r="U23" s="92"/>
      <c r="V23" s="92"/>
      <c r="W23" s="92"/>
      <c r="X23" s="92"/>
      <c r="Y23" s="92"/>
      <c r="Z23" s="92"/>
    </row>
    <row r="24" spans="1:26" ht="15.75" hidden="1" customHeight="1">
      <c r="A24" s="990" t="s">
        <v>121</v>
      </c>
      <c r="B24" s="100">
        <v>45</v>
      </c>
      <c r="C24" s="991">
        <v>7.2170717828391044</v>
      </c>
      <c r="D24" s="991">
        <v>7.2771082284648241</v>
      </c>
      <c r="E24" s="991">
        <v>13.502588554663282</v>
      </c>
      <c r="F24" s="991">
        <v>17.456932825319051</v>
      </c>
      <c r="G24" s="991">
        <v>7.3999807153529025</v>
      </c>
      <c r="H24" s="991">
        <v>7.4625253265018445</v>
      </c>
      <c r="I24" s="991">
        <v>13.628204978288181</v>
      </c>
      <c r="J24" s="991">
        <v>17.619337053226843</v>
      </c>
      <c r="K24" s="1"/>
      <c r="L24" s="92"/>
      <c r="M24" s="92"/>
      <c r="N24" s="92"/>
      <c r="O24" s="92"/>
      <c r="P24" s="92"/>
      <c r="Q24" s="92"/>
      <c r="R24" s="92"/>
      <c r="S24" s="92"/>
      <c r="T24" s="92"/>
      <c r="U24" s="92"/>
      <c r="V24" s="92"/>
      <c r="W24" s="92"/>
      <c r="X24" s="92"/>
      <c r="Y24" s="92"/>
      <c r="Z24" s="92"/>
    </row>
    <row r="25" spans="1:26" ht="15.75" hidden="1" customHeight="1">
      <c r="A25" s="990" t="s">
        <v>122</v>
      </c>
      <c r="B25" s="100">
        <v>897</v>
      </c>
      <c r="C25" s="991">
        <v>9.3634976514418948</v>
      </c>
      <c r="D25" s="991">
        <v>10.877089343936419</v>
      </c>
      <c r="E25" s="991">
        <v>25.707501671760706</v>
      </c>
      <c r="F25" s="991">
        <v>32.830524600263331</v>
      </c>
      <c r="G25" s="991">
        <v>10.318605251585144</v>
      </c>
      <c r="H25" s="991">
        <v>12.064441822579548</v>
      </c>
      <c r="I25" s="991">
        <v>27.242217227651278</v>
      </c>
      <c r="J25" s="991">
        <v>34.79047844779803</v>
      </c>
      <c r="K25" s="1"/>
      <c r="L25" s="92"/>
      <c r="M25" s="92"/>
      <c r="N25" s="92"/>
      <c r="O25" s="92"/>
      <c r="P25" s="92"/>
      <c r="Q25" s="92"/>
      <c r="R25" s="92"/>
      <c r="S25" s="92"/>
      <c r="T25" s="92"/>
      <c r="U25" s="92"/>
      <c r="V25" s="92"/>
      <c r="W25" s="92"/>
      <c r="X25" s="92"/>
      <c r="Y25" s="92"/>
      <c r="Z25" s="92"/>
    </row>
    <row r="26" spans="1:26" ht="15.75" hidden="1" customHeight="1">
      <c r="A26" s="990" t="s">
        <v>123</v>
      </c>
      <c r="B26" s="100">
        <v>64</v>
      </c>
      <c r="C26" s="991">
        <v>6.7487264973778442</v>
      </c>
      <c r="D26" s="991">
        <v>8.4191756106108553</v>
      </c>
      <c r="E26" s="991">
        <v>17.463822445049399</v>
      </c>
      <c r="F26" s="991">
        <v>23.835180199883307</v>
      </c>
      <c r="G26" s="991">
        <v>7.4396265029244448</v>
      </c>
      <c r="H26" s="991">
        <v>9.3722684235822697</v>
      </c>
      <c r="I26" s="991">
        <v>18.523609498684653</v>
      </c>
      <c r="J26" s="991">
        <v>25.281611270537056</v>
      </c>
      <c r="K26" s="1"/>
      <c r="L26" s="92"/>
      <c r="M26" s="92"/>
      <c r="N26" s="92"/>
      <c r="O26" s="92"/>
      <c r="P26" s="92"/>
      <c r="Q26" s="92"/>
      <c r="R26" s="92"/>
      <c r="S26" s="92"/>
      <c r="T26" s="92"/>
      <c r="U26" s="92"/>
      <c r="V26" s="92"/>
      <c r="W26" s="92"/>
      <c r="X26" s="92"/>
      <c r="Y26" s="92"/>
      <c r="Z26" s="92"/>
    </row>
    <row r="27" spans="1:26" ht="15.75" hidden="1" customHeight="1">
      <c r="A27" s="990" t="s">
        <v>124</v>
      </c>
      <c r="B27" s="100">
        <v>951</v>
      </c>
      <c r="C27" s="991">
        <v>11.048529828554267</v>
      </c>
      <c r="D27" s="991">
        <v>12.545314456391363</v>
      </c>
      <c r="E27" s="991">
        <v>20.102124642214093</v>
      </c>
      <c r="F27" s="991">
        <v>26.274212372813015</v>
      </c>
      <c r="G27" s="991">
        <v>11.53250881661914</v>
      </c>
      <c r="H27" s="991">
        <v>13.105039190615402</v>
      </c>
      <c r="I27" s="991">
        <v>20.863074464760903</v>
      </c>
      <c r="J27" s="991">
        <v>27.268801631336647</v>
      </c>
      <c r="K27" s="1"/>
      <c r="L27" s="92"/>
      <c r="M27" s="92"/>
      <c r="N27" s="92"/>
      <c r="O27" s="92"/>
      <c r="P27" s="92"/>
      <c r="Q27" s="92"/>
      <c r="R27" s="92"/>
      <c r="S27" s="92"/>
      <c r="T27" s="92"/>
      <c r="U27" s="92"/>
      <c r="V27" s="92"/>
      <c r="W27" s="92"/>
      <c r="X27" s="92"/>
      <c r="Y27" s="92"/>
      <c r="Z27" s="92"/>
    </row>
    <row r="28" spans="1:26" ht="15.75" hidden="1" customHeight="1">
      <c r="A28" s="990" t="s">
        <v>125</v>
      </c>
      <c r="B28" s="100">
        <v>216</v>
      </c>
      <c r="C28" s="991">
        <v>5.2057745353548945</v>
      </c>
      <c r="D28" s="991">
        <v>5.3519535082121825</v>
      </c>
      <c r="E28" s="991">
        <v>7.3831426225960541</v>
      </c>
      <c r="F28" s="991">
        <v>9.4576694428166395</v>
      </c>
      <c r="G28" s="991">
        <v>5.0475661474503619</v>
      </c>
      <c r="H28" s="991">
        <v>5.1780149993034374</v>
      </c>
      <c r="I28" s="991">
        <v>7.7612833534420238</v>
      </c>
      <c r="J28" s="991">
        <v>9.9420607404005352</v>
      </c>
      <c r="K28" s="1"/>
      <c r="L28" s="92"/>
      <c r="M28" s="92"/>
      <c r="N28" s="92"/>
      <c r="O28" s="92"/>
      <c r="P28" s="92"/>
      <c r="Q28" s="92"/>
      <c r="R28" s="92"/>
      <c r="S28" s="92"/>
      <c r="T28" s="92"/>
      <c r="U28" s="92"/>
      <c r="V28" s="92"/>
      <c r="W28" s="92"/>
      <c r="X28" s="92"/>
      <c r="Y28" s="92"/>
      <c r="Z28" s="92"/>
    </row>
    <row r="29" spans="1:26" ht="15.75" hidden="1" customHeight="1">
      <c r="A29" s="990" t="s">
        <v>126</v>
      </c>
      <c r="B29" s="100">
        <v>1182</v>
      </c>
      <c r="C29" s="991">
        <v>13.288968350203092</v>
      </c>
      <c r="D29" s="991">
        <v>15.245954362476072</v>
      </c>
      <c r="E29" s="991">
        <v>20.351275427379321</v>
      </c>
      <c r="F29" s="991">
        <v>26.311207206678514</v>
      </c>
      <c r="G29" s="991">
        <v>14.085009315608991</v>
      </c>
      <c r="H29" s="991">
        <v>16.249645134391535</v>
      </c>
      <c r="I29" s="991">
        <v>20.784981873152198</v>
      </c>
      <c r="J29" s="991">
        <v>26.871925880175024</v>
      </c>
      <c r="K29" s="1"/>
      <c r="L29" s="92"/>
      <c r="M29" s="92"/>
      <c r="N29" s="92"/>
      <c r="O29" s="92"/>
      <c r="P29" s="92"/>
      <c r="Q29" s="92"/>
      <c r="R29" s="92"/>
      <c r="S29" s="92"/>
      <c r="T29" s="92"/>
      <c r="U29" s="92"/>
      <c r="V29" s="92"/>
      <c r="W29" s="92"/>
      <c r="X29" s="92"/>
      <c r="Y29" s="92"/>
      <c r="Z29" s="92"/>
    </row>
    <row r="30" spans="1:26" ht="15.75" hidden="1" customHeight="1">
      <c r="A30" s="990" t="s">
        <v>127</v>
      </c>
      <c r="B30" s="100">
        <v>342</v>
      </c>
      <c r="C30" s="991">
        <v>14.083232033901046</v>
      </c>
      <c r="D30" s="991">
        <v>19.044383449948704</v>
      </c>
      <c r="E30" s="991">
        <v>25.458165307974447</v>
      </c>
      <c r="F30" s="991">
        <v>31.977042502654406</v>
      </c>
      <c r="G30" s="991">
        <v>15.468900891433307</v>
      </c>
      <c r="H30" s="991">
        <v>21.615523815018843</v>
      </c>
      <c r="I30" s="991">
        <v>25.617042117579977</v>
      </c>
      <c r="J30" s="991">
        <v>32.176601678737327</v>
      </c>
      <c r="K30" s="1"/>
      <c r="L30" s="92"/>
      <c r="M30" s="92"/>
      <c r="N30" s="92"/>
      <c r="O30" s="92"/>
      <c r="P30" s="92"/>
      <c r="Q30" s="92"/>
      <c r="R30" s="92"/>
      <c r="S30" s="92"/>
      <c r="T30" s="92"/>
      <c r="U30" s="92"/>
      <c r="V30" s="92"/>
      <c r="W30" s="92"/>
      <c r="X30" s="92"/>
      <c r="Y30" s="92"/>
      <c r="Z30" s="92"/>
    </row>
    <row r="31" spans="1:26" ht="15.75" hidden="1" customHeight="1">
      <c r="A31" s="990" t="s">
        <v>128</v>
      </c>
      <c r="B31" s="100">
        <v>804</v>
      </c>
      <c r="C31" s="991">
        <v>8.6756480218969436</v>
      </c>
      <c r="D31" s="991">
        <v>10.268126391930863</v>
      </c>
      <c r="E31" s="991">
        <v>14.965943010321554</v>
      </c>
      <c r="F31" s="991">
        <v>19.69201437967881</v>
      </c>
      <c r="G31" s="991">
        <v>9.0630295458921442</v>
      </c>
      <c r="H31" s="991">
        <v>10.776975642234559</v>
      </c>
      <c r="I31" s="991">
        <v>15.246060448094886</v>
      </c>
      <c r="J31" s="991">
        <v>20.060589658151201</v>
      </c>
      <c r="K31" s="1"/>
      <c r="L31" s="92"/>
      <c r="M31" s="92"/>
      <c r="N31" s="92"/>
      <c r="O31" s="92"/>
      <c r="P31" s="92"/>
      <c r="Q31" s="92"/>
      <c r="R31" s="92"/>
      <c r="S31" s="92"/>
      <c r="T31" s="92"/>
      <c r="U31" s="92"/>
      <c r="V31" s="92"/>
      <c r="W31" s="92"/>
      <c r="X31" s="92"/>
      <c r="Y31" s="92"/>
      <c r="Z31" s="92"/>
    </row>
    <row r="32" spans="1:26" ht="15.75" hidden="1" customHeight="1">
      <c r="A32" s="990" t="s">
        <v>129</v>
      </c>
      <c r="B32" s="100">
        <v>335</v>
      </c>
      <c r="C32" s="991">
        <v>8.051290866753174</v>
      </c>
      <c r="D32" s="991">
        <v>8.3981307244855898</v>
      </c>
      <c r="E32" s="991">
        <v>10.126118827408375</v>
      </c>
      <c r="F32" s="991">
        <v>12.309050397269303</v>
      </c>
      <c r="G32" s="991">
        <v>8.9177113774203836</v>
      </c>
      <c r="H32" s="991">
        <v>9.3405877966229998</v>
      </c>
      <c r="I32" s="991">
        <v>10.231469703577019</v>
      </c>
      <c r="J32" s="991">
        <v>12.43711222098071</v>
      </c>
      <c r="K32" s="1"/>
      <c r="L32" s="92"/>
      <c r="M32" s="92"/>
      <c r="N32" s="92"/>
      <c r="O32" s="92"/>
      <c r="P32" s="92"/>
      <c r="Q32" s="92"/>
      <c r="R32" s="92"/>
      <c r="S32" s="92"/>
      <c r="T32" s="92"/>
      <c r="U32" s="92"/>
      <c r="V32" s="92"/>
      <c r="W32" s="92"/>
      <c r="X32" s="92"/>
      <c r="Y32" s="92"/>
      <c r="Z32" s="92"/>
    </row>
    <row r="33" spans="1:26" ht="15.75" hidden="1" customHeight="1">
      <c r="A33" s="990" t="s">
        <v>130</v>
      </c>
      <c r="B33" s="100">
        <v>1223</v>
      </c>
      <c r="C33" s="991">
        <v>6.7521401238486725</v>
      </c>
      <c r="D33" s="991">
        <v>15.972191315595955</v>
      </c>
      <c r="E33" s="991" t="s">
        <v>113</v>
      </c>
      <c r="F33" s="991" t="s">
        <v>113</v>
      </c>
      <c r="G33" s="991">
        <v>13.365284133769137</v>
      </c>
      <c r="H33" s="991">
        <v>78.88330490789302</v>
      </c>
      <c r="I33" s="991" t="s">
        <v>113</v>
      </c>
      <c r="J33" s="991" t="s">
        <v>113</v>
      </c>
      <c r="K33" s="1"/>
      <c r="L33" s="92"/>
      <c r="M33" s="92"/>
      <c r="N33" s="92"/>
      <c r="O33" s="92"/>
      <c r="P33" s="92"/>
      <c r="Q33" s="92"/>
      <c r="R33" s="92"/>
      <c r="S33" s="92"/>
      <c r="T33" s="92"/>
      <c r="U33" s="92"/>
      <c r="V33" s="92"/>
      <c r="W33" s="92"/>
      <c r="X33" s="92"/>
      <c r="Y33" s="92"/>
      <c r="Z33" s="92"/>
    </row>
    <row r="34" spans="1:26" ht="15.75" hidden="1" customHeight="1">
      <c r="A34" s="990" t="s">
        <v>131</v>
      </c>
      <c r="B34" s="100">
        <v>1271</v>
      </c>
      <c r="C34" s="991">
        <v>8.3014458534584978</v>
      </c>
      <c r="D34" s="991">
        <v>13.408666143145313</v>
      </c>
      <c r="E34" s="991">
        <v>18.824918010965483</v>
      </c>
      <c r="F34" s="991">
        <v>22.005997309187872</v>
      </c>
      <c r="G34" s="991">
        <v>9.2588473304464944</v>
      </c>
      <c r="H34" s="991">
        <v>15.79339387926195</v>
      </c>
      <c r="I34" s="991">
        <v>19.328373111208208</v>
      </c>
      <c r="J34" s="991">
        <v>22.594527446465751</v>
      </c>
      <c r="K34" s="1"/>
      <c r="L34" s="92"/>
      <c r="M34" s="92"/>
      <c r="N34" s="92"/>
      <c r="O34" s="92"/>
      <c r="P34" s="92"/>
      <c r="Q34" s="92"/>
      <c r="R34" s="92"/>
      <c r="S34" s="92"/>
      <c r="T34" s="92"/>
      <c r="U34" s="92"/>
      <c r="V34" s="92"/>
      <c r="W34" s="92"/>
      <c r="X34" s="92"/>
      <c r="Y34" s="92"/>
      <c r="Z34" s="92"/>
    </row>
    <row r="35" spans="1:26" ht="15.75" hidden="1" customHeight="1">
      <c r="A35" s="990" t="s">
        <v>132</v>
      </c>
      <c r="B35" s="100">
        <v>272</v>
      </c>
      <c r="C35" s="991">
        <v>9.8943147123284785</v>
      </c>
      <c r="D35" s="991">
        <v>11.187385345832285</v>
      </c>
      <c r="E35" s="991">
        <v>16.921324079239835</v>
      </c>
      <c r="F35" s="991">
        <v>21.065557169444016</v>
      </c>
      <c r="G35" s="991">
        <v>11.857715265185401</v>
      </c>
      <c r="H35" s="991">
        <v>13.674440149719295</v>
      </c>
      <c r="I35" s="991">
        <v>17.642644444703809</v>
      </c>
      <c r="J35" s="991">
        <v>21.963537453079606</v>
      </c>
      <c r="K35" s="1"/>
      <c r="L35" s="92"/>
      <c r="M35" s="92"/>
      <c r="N35" s="92"/>
      <c r="O35" s="92"/>
      <c r="P35" s="92"/>
      <c r="Q35" s="92"/>
      <c r="R35" s="92"/>
      <c r="S35" s="92"/>
      <c r="T35" s="92"/>
      <c r="U35" s="92"/>
      <c r="V35" s="92"/>
      <c r="W35" s="92"/>
      <c r="X35" s="92"/>
      <c r="Y35" s="92"/>
      <c r="Z35" s="92"/>
    </row>
    <row r="36" spans="1:26" ht="15.75" hidden="1" customHeight="1">
      <c r="A36" s="990" t="s">
        <v>133</v>
      </c>
      <c r="B36" s="100">
        <v>1101</v>
      </c>
      <c r="C36" s="991">
        <v>13.309449387018971</v>
      </c>
      <c r="D36" s="991">
        <v>17.143812161217038</v>
      </c>
      <c r="E36" s="991">
        <v>27.802776777855911</v>
      </c>
      <c r="F36" s="991">
        <v>35.336821778162765</v>
      </c>
      <c r="G36" s="991">
        <v>15.410444128234586</v>
      </c>
      <c r="H36" s="991">
        <v>20.430449519340495</v>
      </c>
      <c r="I36" s="991">
        <v>29.302372019454822</v>
      </c>
      <c r="J36" s="991">
        <v>37.24277995691444</v>
      </c>
      <c r="K36" s="1"/>
      <c r="L36" s="92"/>
      <c r="M36" s="92"/>
      <c r="N36" s="92"/>
      <c r="O36" s="92"/>
      <c r="P36" s="92"/>
      <c r="Q36" s="92"/>
      <c r="R36" s="92"/>
      <c r="S36" s="92"/>
      <c r="T36" s="92"/>
      <c r="U36" s="92"/>
      <c r="V36" s="92"/>
      <c r="W36" s="92"/>
      <c r="X36" s="92"/>
      <c r="Y36" s="92"/>
      <c r="Z36" s="92"/>
    </row>
    <row r="37" spans="1:26" ht="15.75" hidden="1" customHeight="1">
      <c r="A37" s="990" t="s">
        <v>134</v>
      </c>
      <c r="B37" s="100">
        <v>125</v>
      </c>
      <c r="C37" s="991">
        <v>6.1658952153209849</v>
      </c>
      <c r="D37" s="991">
        <v>10.518161345684888</v>
      </c>
      <c r="E37" s="991">
        <v>16.117104817395361</v>
      </c>
      <c r="F37" s="991">
        <v>21.057074994122626</v>
      </c>
      <c r="G37" s="991">
        <v>6.8496626689773263</v>
      </c>
      <c r="H37" s="991">
        <v>12.451225019109625</v>
      </c>
      <c r="I37" s="991">
        <v>16.467914245333315</v>
      </c>
      <c r="J37" s="991">
        <v>21.515409199702891</v>
      </c>
      <c r="K37" s="1"/>
      <c r="L37" s="92"/>
      <c r="M37" s="92"/>
      <c r="N37" s="92"/>
      <c r="O37" s="92"/>
      <c r="P37" s="92"/>
      <c r="Q37" s="92"/>
      <c r="R37" s="92"/>
      <c r="S37" s="92"/>
      <c r="T37" s="92"/>
      <c r="U37" s="92"/>
      <c r="V37" s="92"/>
      <c r="W37" s="92"/>
      <c r="X37" s="92"/>
      <c r="Y37" s="92"/>
      <c r="Z37" s="92"/>
    </row>
    <row r="38" spans="1:26" ht="15.75" hidden="1" customHeight="1">
      <c r="A38" s="990" t="s">
        <v>135</v>
      </c>
      <c r="B38" s="100">
        <v>1480</v>
      </c>
      <c r="C38" s="991">
        <v>9.9666565738226875</v>
      </c>
      <c r="D38" s="991">
        <v>13.89883400396274</v>
      </c>
      <c r="E38" s="991">
        <v>26.487674851947386</v>
      </c>
      <c r="F38" s="991">
        <v>32.675601213934243</v>
      </c>
      <c r="G38" s="991">
        <v>11.523052154278021</v>
      </c>
      <c r="H38" s="991">
        <v>16.742766497632736</v>
      </c>
      <c r="I38" s="991">
        <v>27.79054683731491</v>
      </c>
      <c r="J38" s="991">
        <v>34.28284404157511</v>
      </c>
      <c r="K38" s="1"/>
      <c r="L38" s="92"/>
      <c r="M38" s="92"/>
      <c r="N38" s="92"/>
      <c r="O38" s="92"/>
      <c r="P38" s="92"/>
      <c r="Q38" s="92"/>
      <c r="R38" s="92"/>
      <c r="S38" s="92"/>
      <c r="T38" s="92"/>
      <c r="U38" s="92"/>
      <c r="V38" s="92"/>
      <c r="W38" s="92"/>
      <c r="X38" s="92"/>
      <c r="Y38" s="92"/>
      <c r="Z38" s="92"/>
    </row>
    <row r="39" spans="1:26" ht="15.75" customHeight="1">
      <c r="A39" s="990" t="s">
        <v>136</v>
      </c>
      <c r="B39" s="100">
        <v>1327</v>
      </c>
      <c r="C39" s="991">
        <v>8.0825352598271323</v>
      </c>
      <c r="D39" s="991">
        <v>9.9450246014868053</v>
      </c>
      <c r="E39" s="991">
        <v>13.87488635539866</v>
      </c>
      <c r="F39" s="991">
        <v>18.109960770151904</v>
      </c>
      <c r="G39" s="991">
        <v>8.7005862784212393</v>
      </c>
      <c r="H39" s="991">
        <v>10.808447310072753</v>
      </c>
      <c r="I39" s="991">
        <v>14.342987297875158</v>
      </c>
      <c r="J39" s="991">
        <v>18.720941609027172</v>
      </c>
      <c r="K39" s="1"/>
      <c r="L39" s="92"/>
      <c r="M39" s="92"/>
      <c r="N39" s="92"/>
      <c r="O39" s="92"/>
      <c r="P39" s="92"/>
      <c r="Q39" s="92"/>
      <c r="R39" s="92"/>
      <c r="S39" s="92"/>
      <c r="T39" s="92"/>
      <c r="U39" s="92"/>
      <c r="V39" s="92"/>
      <c r="W39" s="92"/>
      <c r="X39" s="92"/>
      <c r="Y39" s="92"/>
      <c r="Z39" s="92"/>
    </row>
    <row r="40" spans="1:26" ht="15.75" hidden="1" customHeight="1">
      <c r="A40" s="990" t="s">
        <v>137</v>
      </c>
      <c r="B40" s="100">
        <v>748</v>
      </c>
      <c r="C40" s="991">
        <v>8.7608033282781701</v>
      </c>
      <c r="D40" s="991">
        <v>10.018113981196533</v>
      </c>
      <c r="E40" s="991">
        <v>35.037371694133945</v>
      </c>
      <c r="F40" s="991">
        <v>46.748949185284147</v>
      </c>
      <c r="G40" s="991">
        <v>17.067133565397381</v>
      </c>
      <c r="H40" s="991">
        <v>22.17399438624442</v>
      </c>
      <c r="I40" s="991">
        <v>37.195869435247545</v>
      </c>
      <c r="J40" s="991">
        <v>49.628945495988134</v>
      </c>
      <c r="K40" s="1"/>
      <c r="L40" s="92"/>
      <c r="M40" s="92"/>
      <c r="N40" s="92"/>
      <c r="O40" s="92"/>
      <c r="P40" s="92"/>
      <c r="Q40" s="92"/>
      <c r="R40" s="92"/>
      <c r="S40" s="92"/>
      <c r="T40" s="92"/>
      <c r="U40" s="92"/>
      <c r="V40" s="92"/>
      <c r="W40" s="92"/>
      <c r="X40" s="92"/>
      <c r="Y40" s="92"/>
      <c r="Z40" s="92"/>
    </row>
    <row r="41" spans="1:26" ht="15.75" hidden="1" customHeight="1">
      <c r="A41" s="990" t="s">
        <v>138</v>
      </c>
      <c r="B41" s="100">
        <v>391</v>
      </c>
      <c r="C41" s="991">
        <v>13.515496704999405</v>
      </c>
      <c r="D41" s="991">
        <v>13.975562127508603</v>
      </c>
      <c r="E41" s="991">
        <v>23.293637829550324</v>
      </c>
      <c r="F41" s="991">
        <v>30.560562963925559</v>
      </c>
      <c r="G41" s="991">
        <v>15.501100638713194</v>
      </c>
      <c r="H41" s="991">
        <v>16.088877805894153</v>
      </c>
      <c r="I41" s="991">
        <v>24.073054228841219</v>
      </c>
      <c r="J41" s="991">
        <v>31.583134196463064</v>
      </c>
      <c r="K41" s="1"/>
      <c r="L41" s="92"/>
      <c r="M41" s="92"/>
      <c r="N41" s="92"/>
      <c r="O41" s="92"/>
      <c r="P41" s="92"/>
      <c r="Q41" s="92"/>
      <c r="R41" s="92"/>
      <c r="S41" s="92"/>
      <c r="T41" s="92"/>
      <c r="U41" s="92"/>
      <c r="V41" s="92"/>
      <c r="W41" s="92"/>
      <c r="X41" s="92"/>
      <c r="Y41" s="92"/>
      <c r="Z41" s="92"/>
    </row>
    <row r="42" spans="1:26" ht="15.75" hidden="1" customHeight="1">
      <c r="A42" s="990" t="s">
        <v>139</v>
      </c>
      <c r="B42" s="100">
        <v>429</v>
      </c>
      <c r="C42" s="991">
        <v>9.7050767292935358</v>
      </c>
      <c r="D42" s="991">
        <v>11.010459556981896</v>
      </c>
      <c r="E42" s="991">
        <v>15.699242510868901</v>
      </c>
      <c r="F42" s="991">
        <v>20.332623907842056</v>
      </c>
      <c r="G42" s="991">
        <v>9.9192641661376086</v>
      </c>
      <c r="H42" s="991">
        <v>11.248308347273886</v>
      </c>
      <c r="I42" s="991">
        <v>16.100502297203622</v>
      </c>
      <c r="J42" s="991">
        <v>20.852309129548555</v>
      </c>
      <c r="K42" s="1"/>
      <c r="L42" s="92"/>
      <c r="M42" s="92"/>
      <c r="N42" s="92"/>
      <c r="O42" s="92"/>
      <c r="P42" s="92"/>
      <c r="Q42" s="92"/>
      <c r="R42" s="92"/>
      <c r="S42" s="92"/>
      <c r="T42" s="92"/>
      <c r="U42" s="92"/>
      <c r="V42" s="92"/>
      <c r="W42" s="92"/>
      <c r="X42" s="92"/>
      <c r="Y42" s="92"/>
      <c r="Z42" s="92"/>
    </row>
    <row r="43" spans="1:26" ht="15.75" hidden="1" customHeight="1">
      <c r="A43" s="990" t="s">
        <v>254</v>
      </c>
      <c r="B43" s="100">
        <v>1117</v>
      </c>
      <c r="C43" s="991">
        <v>43.119725619033225</v>
      </c>
      <c r="D43" s="991">
        <v>46.49336057762887</v>
      </c>
      <c r="E43" s="991">
        <v>59.411574439410536</v>
      </c>
      <c r="F43" s="991" t="s">
        <v>113</v>
      </c>
      <c r="G43" s="991">
        <v>88.947974916717641</v>
      </c>
      <c r="H43" s="991">
        <v>96.735809624515042</v>
      </c>
      <c r="I43" s="991">
        <v>110.46096505835065</v>
      </c>
      <c r="J43" s="991" t="s">
        <v>113</v>
      </c>
      <c r="K43" s="1"/>
      <c r="L43" s="92"/>
      <c r="M43" s="92"/>
      <c r="N43" s="92"/>
      <c r="O43" s="92"/>
      <c r="P43" s="92"/>
      <c r="Q43" s="92"/>
      <c r="R43" s="92"/>
      <c r="S43" s="92"/>
      <c r="T43" s="92"/>
      <c r="U43" s="92"/>
      <c r="V43" s="92"/>
      <c r="W43" s="92"/>
      <c r="X43" s="92"/>
      <c r="Y43" s="92"/>
      <c r="Z43" s="92"/>
    </row>
    <row r="44" spans="1:26" ht="15.75" hidden="1" customHeight="1">
      <c r="A44" s="990" t="s">
        <v>141</v>
      </c>
      <c r="B44" s="100">
        <v>1424</v>
      </c>
      <c r="C44" s="991">
        <v>10.275741131273403</v>
      </c>
      <c r="D44" s="991">
        <v>10.759608452938423</v>
      </c>
      <c r="E44" s="991">
        <v>15.155316867147562</v>
      </c>
      <c r="F44" s="991">
        <v>19.645842962075331</v>
      </c>
      <c r="G44" s="991">
        <v>11.347359542062017</v>
      </c>
      <c r="H44" s="991">
        <v>11.932124394610607</v>
      </c>
      <c r="I44" s="991">
        <v>15.357234579223697</v>
      </c>
      <c r="J44" s="991">
        <v>19.907588968277832</v>
      </c>
      <c r="K44" s="1"/>
      <c r="L44" s="92"/>
      <c r="M44" s="92"/>
      <c r="N44" s="92"/>
      <c r="O44" s="92"/>
      <c r="P44" s="92"/>
      <c r="Q44" s="92"/>
      <c r="R44" s="92"/>
      <c r="S44" s="92"/>
      <c r="T44" s="92"/>
      <c r="U44" s="92"/>
      <c r="V44" s="92"/>
      <c r="W44" s="92"/>
      <c r="X44" s="92"/>
      <c r="Y44" s="92"/>
      <c r="Z44" s="92"/>
    </row>
    <row r="45" spans="1:26" ht="15.75" hidden="1" customHeight="1">
      <c r="A45" s="990" t="s">
        <v>142</v>
      </c>
      <c r="B45" s="100">
        <v>188</v>
      </c>
      <c r="C45" s="991">
        <v>10.336077888376996</v>
      </c>
      <c r="D45" s="991">
        <v>10.39348774075683</v>
      </c>
      <c r="E45" s="991">
        <v>15.92968702038703</v>
      </c>
      <c r="F45" s="991">
        <v>21.10487215549108</v>
      </c>
      <c r="G45" s="991">
        <v>11.609646513265096</v>
      </c>
      <c r="H45" s="991">
        <v>11.681124803247005</v>
      </c>
      <c r="I45" s="991">
        <v>16.151248471712073</v>
      </c>
      <c r="J45" s="991">
        <v>21.398413773654422</v>
      </c>
      <c r="K45" s="1"/>
      <c r="L45" s="92"/>
      <c r="M45" s="92"/>
      <c r="N45" s="92"/>
      <c r="O45" s="92"/>
      <c r="P45" s="92"/>
      <c r="Q45" s="92"/>
      <c r="R45" s="92"/>
      <c r="S45" s="92"/>
      <c r="T45" s="92"/>
      <c r="U45" s="92"/>
      <c r="V45" s="92"/>
      <c r="W45" s="92"/>
      <c r="X45" s="92"/>
      <c r="Y45" s="92"/>
      <c r="Z45" s="92"/>
    </row>
    <row r="46" spans="1:26" ht="15.75" hidden="1" customHeight="1">
      <c r="A46" s="990" t="s">
        <v>143</v>
      </c>
      <c r="B46" s="100">
        <v>380</v>
      </c>
      <c r="C46" s="991">
        <v>7.9666260100775608</v>
      </c>
      <c r="D46" s="991">
        <v>10.231658597772654</v>
      </c>
      <c r="E46" s="991">
        <v>14.106460925913412</v>
      </c>
      <c r="F46" s="991">
        <v>17.185075378773128</v>
      </c>
      <c r="G46" s="991">
        <v>8.6045962739980819</v>
      </c>
      <c r="H46" s="991">
        <v>11.193216501819601</v>
      </c>
      <c r="I46" s="991">
        <v>14.584418445363367</v>
      </c>
      <c r="J46" s="991">
        <v>17.76734303915493</v>
      </c>
      <c r="K46" s="1"/>
      <c r="L46" s="92"/>
      <c r="M46" s="92"/>
      <c r="N46" s="92"/>
      <c r="O46" s="92"/>
      <c r="P46" s="92"/>
      <c r="Q46" s="92"/>
      <c r="R46" s="92"/>
      <c r="S46" s="92"/>
      <c r="T46" s="92"/>
      <c r="U46" s="92"/>
      <c r="V46" s="92"/>
      <c r="W46" s="92"/>
      <c r="X46" s="92"/>
      <c r="Y46" s="92"/>
      <c r="Z46" s="92"/>
    </row>
    <row r="47" spans="1:26" ht="15.75" hidden="1" customHeight="1">
      <c r="A47" s="990" t="s">
        <v>144</v>
      </c>
      <c r="B47" s="100">
        <v>260</v>
      </c>
      <c r="C47" s="991">
        <v>13.529234475909274</v>
      </c>
      <c r="D47" s="991">
        <v>13.697589576827577</v>
      </c>
      <c r="E47" s="991">
        <v>22.890412127309926</v>
      </c>
      <c r="F47" s="991">
        <v>29.015021302936464</v>
      </c>
      <c r="G47" s="991">
        <v>14.139961303647699</v>
      </c>
      <c r="H47" s="991">
        <v>14.322032847114162</v>
      </c>
      <c r="I47" s="991">
        <v>23.129877412551291</v>
      </c>
      <c r="J47" s="991">
        <v>29.318558448268263</v>
      </c>
      <c r="K47" s="1"/>
      <c r="L47" s="92"/>
      <c r="M47" s="92"/>
      <c r="N47" s="92"/>
      <c r="O47" s="92"/>
      <c r="P47" s="92"/>
      <c r="Q47" s="92"/>
      <c r="R47" s="92"/>
      <c r="S47" s="92"/>
      <c r="T47" s="92"/>
      <c r="U47" s="92"/>
      <c r="V47" s="92"/>
      <c r="W47" s="92"/>
      <c r="X47" s="92"/>
      <c r="Y47" s="92"/>
      <c r="Z47" s="92"/>
    </row>
    <row r="48" spans="1:26" ht="15.75" hidden="1" customHeight="1">
      <c r="A48" s="990" t="s">
        <v>145</v>
      </c>
      <c r="B48" s="100">
        <v>850</v>
      </c>
      <c r="C48" s="991">
        <v>14.14398322929949</v>
      </c>
      <c r="D48" s="991">
        <v>19.377323312465347</v>
      </c>
      <c r="E48" s="991">
        <v>30.316856189334839</v>
      </c>
      <c r="F48" s="991">
        <v>36.954419796685016</v>
      </c>
      <c r="G48" s="991">
        <v>16.02886576602781</v>
      </c>
      <c r="H48" s="991">
        <v>22.71831597320514</v>
      </c>
      <c r="I48" s="991">
        <v>31.512735570133156</v>
      </c>
      <c r="J48" s="991">
        <v>38.412124658568665</v>
      </c>
      <c r="K48" s="1"/>
      <c r="L48" s="92"/>
      <c r="M48" s="92"/>
      <c r="N48" s="92"/>
      <c r="O48" s="92"/>
      <c r="P48" s="92"/>
      <c r="Q48" s="92"/>
      <c r="R48" s="92"/>
      <c r="S48" s="92"/>
      <c r="T48" s="92"/>
      <c r="U48" s="92"/>
      <c r="V48" s="92"/>
      <c r="W48" s="92"/>
      <c r="X48" s="92"/>
      <c r="Y48" s="92"/>
      <c r="Z48" s="92"/>
    </row>
    <row r="49" spans="1:26" ht="15.75" hidden="1" customHeight="1">
      <c r="A49" s="990" t="s">
        <v>146</v>
      </c>
      <c r="B49" s="100">
        <v>480</v>
      </c>
      <c r="C49" s="991">
        <v>10.560820553699029</v>
      </c>
      <c r="D49" s="991">
        <v>10.837305629682863</v>
      </c>
      <c r="E49" s="991">
        <v>15.603649398440352</v>
      </c>
      <c r="F49" s="991">
        <v>20.457360783927182</v>
      </c>
      <c r="G49" s="991">
        <v>11.550282748117565</v>
      </c>
      <c r="H49" s="991">
        <v>11.876699094707318</v>
      </c>
      <c r="I49" s="991">
        <v>15.841465742460205</v>
      </c>
      <c r="J49" s="991">
        <v>20.769152892663932</v>
      </c>
      <c r="K49" s="1"/>
      <c r="L49" s="92"/>
      <c r="M49" s="92"/>
      <c r="N49" s="92"/>
      <c r="O49" s="92"/>
      <c r="P49" s="92"/>
      <c r="Q49" s="92"/>
      <c r="R49" s="92"/>
      <c r="S49" s="92"/>
      <c r="T49" s="92"/>
      <c r="U49" s="92"/>
      <c r="V49" s="92"/>
      <c r="W49" s="92"/>
      <c r="X49" s="92"/>
      <c r="Y49" s="92"/>
      <c r="Z49" s="92"/>
    </row>
    <row r="50" spans="1:26" ht="15.75" hidden="1" customHeight="1">
      <c r="A50" s="990" t="s">
        <v>255</v>
      </c>
      <c r="B50" s="100">
        <v>435</v>
      </c>
      <c r="C50" s="991">
        <v>16.949695234365688</v>
      </c>
      <c r="D50" s="991">
        <v>21.558804145590301</v>
      </c>
      <c r="E50" s="991">
        <v>38.098256038023372</v>
      </c>
      <c r="F50" s="991">
        <v>46.467102382090594</v>
      </c>
      <c r="G50" s="991">
        <v>19.438282707783792</v>
      </c>
      <c r="H50" s="991">
        <v>25.390880324872853</v>
      </c>
      <c r="I50" s="991">
        <v>39.84415603915027</v>
      </c>
      <c r="J50" s="991">
        <v>48.59651518304107</v>
      </c>
      <c r="K50" s="1"/>
      <c r="L50" s="92"/>
      <c r="M50" s="92"/>
      <c r="N50" s="92"/>
      <c r="O50" s="92"/>
      <c r="P50" s="92"/>
      <c r="Q50" s="92"/>
      <c r="R50" s="92"/>
      <c r="S50" s="92"/>
      <c r="T50" s="92"/>
      <c r="U50" s="92"/>
      <c r="V50" s="92"/>
      <c r="W50" s="92"/>
      <c r="X50" s="92"/>
      <c r="Y50" s="92"/>
      <c r="Z50" s="92"/>
    </row>
    <row r="51" spans="1:26" ht="15.75" hidden="1" customHeight="1">
      <c r="A51" s="990" t="s">
        <v>148</v>
      </c>
      <c r="B51" s="100">
        <v>165</v>
      </c>
      <c r="C51" s="991">
        <v>8.2823211164863331</v>
      </c>
      <c r="D51" s="991">
        <v>8.3146553369124856</v>
      </c>
      <c r="E51" s="991">
        <v>9.463226781099026</v>
      </c>
      <c r="F51" s="991">
        <v>12.414921223758586</v>
      </c>
      <c r="G51" s="991">
        <v>9.1044998783906195</v>
      </c>
      <c r="H51" s="991">
        <v>9.1432137942752458</v>
      </c>
      <c r="I51" s="991">
        <v>9.5541750418738971</v>
      </c>
      <c r="J51" s="991">
        <v>12.534237342781864</v>
      </c>
      <c r="K51" s="1"/>
      <c r="L51" s="92"/>
      <c r="M51" s="92"/>
      <c r="N51" s="92"/>
      <c r="O51" s="92"/>
      <c r="P51" s="92"/>
      <c r="Q51" s="92"/>
      <c r="R51" s="92"/>
      <c r="S51" s="92"/>
      <c r="T51" s="92"/>
      <c r="U51" s="92"/>
      <c r="V51" s="92"/>
      <c r="W51" s="92"/>
      <c r="X51" s="92"/>
      <c r="Y51" s="92"/>
      <c r="Z51" s="92"/>
    </row>
    <row r="52" spans="1:26" ht="15.75" hidden="1" customHeight="1">
      <c r="A52" s="990" t="s">
        <v>149</v>
      </c>
      <c r="B52" s="100">
        <v>245</v>
      </c>
      <c r="C52" s="991">
        <v>11.893563075380744</v>
      </c>
      <c r="D52" s="991">
        <v>11.947380885526506</v>
      </c>
      <c r="E52" s="991">
        <v>17.878504321618458</v>
      </c>
      <c r="F52" s="991">
        <v>22.380371644432827</v>
      </c>
      <c r="G52" s="991">
        <v>13.634387360950001</v>
      </c>
      <c r="H52" s="991">
        <v>13.704712657227777</v>
      </c>
      <c r="I52" s="991">
        <v>17.991464191406429</v>
      </c>
      <c r="J52" s="991">
        <v>22.521775188112066</v>
      </c>
      <c r="K52" s="1"/>
      <c r="L52" s="92"/>
      <c r="M52" s="92"/>
      <c r="N52" s="92"/>
      <c r="O52" s="92"/>
      <c r="P52" s="92"/>
      <c r="Q52" s="92"/>
      <c r="R52" s="92"/>
      <c r="S52" s="92"/>
      <c r="T52" s="92"/>
      <c r="U52" s="92"/>
      <c r="V52" s="92"/>
      <c r="W52" s="92"/>
      <c r="X52" s="92"/>
      <c r="Y52" s="92"/>
      <c r="Z52" s="92"/>
    </row>
    <row r="53" spans="1:26" ht="15.75" hidden="1" customHeight="1">
      <c r="A53" s="990" t="s">
        <v>150</v>
      </c>
      <c r="B53" s="100">
        <v>660</v>
      </c>
      <c r="C53" s="991">
        <v>12.931766675507371</v>
      </c>
      <c r="D53" s="991">
        <v>14.079987190558994</v>
      </c>
      <c r="E53" s="991">
        <v>23.518510056852431</v>
      </c>
      <c r="F53" s="991">
        <v>28.562880857667988</v>
      </c>
      <c r="G53" s="991">
        <v>14.971873026090133</v>
      </c>
      <c r="H53" s="991">
        <v>16.492582508393042</v>
      </c>
      <c r="I53" s="991">
        <v>24.08205444011649</v>
      </c>
      <c r="J53" s="991">
        <v>29.247297133965617</v>
      </c>
      <c r="K53" s="1"/>
      <c r="L53" s="92"/>
      <c r="M53" s="92"/>
      <c r="N53" s="92"/>
      <c r="O53" s="92"/>
      <c r="P53" s="92"/>
      <c r="Q53" s="92"/>
      <c r="R53" s="92"/>
      <c r="S53" s="92"/>
      <c r="T53" s="92"/>
      <c r="U53" s="92"/>
      <c r="V53" s="92"/>
      <c r="W53" s="92"/>
      <c r="X53" s="92"/>
      <c r="Y53" s="92"/>
      <c r="Z53" s="92"/>
    </row>
    <row r="54" spans="1:26" ht="15.75" hidden="1" customHeight="1">
      <c r="A54" s="990" t="s">
        <v>151</v>
      </c>
      <c r="B54" s="100">
        <v>554</v>
      </c>
      <c r="C54" s="991">
        <v>13.920580618991117</v>
      </c>
      <c r="D54" s="991">
        <v>15.31120597913071</v>
      </c>
      <c r="E54" s="991">
        <v>18.692511149399856</v>
      </c>
      <c r="F54" s="991">
        <v>24.780902717124459</v>
      </c>
      <c r="G54" s="991">
        <v>14.615059484010027</v>
      </c>
      <c r="H54" s="991">
        <v>16.141283041918154</v>
      </c>
      <c r="I54" s="991">
        <v>18.850875806803483</v>
      </c>
      <c r="J54" s="991">
        <v>24.990848782561258</v>
      </c>
      <c r="K54" s="1"/>
      <c r="L54" s="92"/>
      <c r="M54" s="92"/>
      <c r="N54" s="92"/>
      <c r="O54" s="92"/>
      <c r="P54" s="92"/>
      <c r="Q54" s="92"/>
      <c r="R54" s="92"/>
      <c r="S54" s="92"/>
      <c r="T54" s="92"/>
      <c r="U54" s="92"/>
      <c r="V54" s="92"/>
      <c r="W54" s="92"/>
      <c r="X54" s="92"/>
      <c r="Y54" s="92"/>
      <c r="Z54" s="92"/>
    </row>
    <row r="55" spans="1:26" ht="15.75" hidden="1" customHeight="1">
      <c r="A55" s="990" t="s">
        <v>152</v>
      </c>
      <c r="B55" s="100">
        <v>85</v>
      </c>
      <c r="C55" s="991">
        <v>10.369810920511394</v>
      </c>
      <c r="D55" s="991">
        <v>11.286514405100725</v>
      </c>
      <c r="E55" s="991">
        <v>16.835615265579136</v>
      </c>
      <c r="F55" s="991">
        <v>21.952927386931552</v>
      </c>
      <c r="G55" s="991">
        <v>11.248621286827715</v>
      </c>
      <c r="H55" s="991">
        <v>12.318905472258725</v>
      </c>
      <c r="I55" s="991">
        <v>17.072593766029929</v>
      </c>
      <c r="J55" s="991">
        <v>22.261937288298011</v>
      </c>
      <c r="K55" s="1"/>
      <c r="L55" s="92"/>
      <c r="M55" s="92"/>
      <c r="N55" s="92"/>
      <c r="O55" s="92"/>
      <c r="P55" s="92"/>
      <c r="Q55" s="92"/>
      <c r="R55" s="92"/>
      <c r="S55" s="92"/>
      <c r="T55" s="92"/>
      <c r="U55" s="92"/>
      <c r="V55" s="92"/>
      <c r="W55" s="92"/>
      <c r="X55" s="92"/>
      <c r="Y55" s="92"/>
      <c r="Z55" s="92"/>
    </row>
    <row r="56" spans="1:26" ht="15.75" hidden="1" customHeight="1">
      <c r="A56" s="990" t="s">
        <v>153</v>
      </c>
      <c r="B56" s="100">
        <v>199</v>
      </c>
      <c r="C56" s="991">
        <v>7.7542057241631177</v>
      </c>
      <c r="D56" s="991">
        <v>7.7615397103578427</v>
      </c>
      <c r="E56" s="991">
        <v>7.9372116939490747</v>
      </c>
      <c r="F56" s="991">
        <v>10.128358269554356</v>
      </c>
      <c r="G56" s="991">
        <v>9.738771530035871</v>
      </c>
      <c r="H56" s="991">
        <v>9.748949480275229</v>
      </c>
      <c r="I56" s="991">
        <v>9.0224508106113284</v>
      </c>
      <c r="J56" s="991">
        <v>11.513188485191606</v>
      </c>
      <c r="K56" s="1"/>
      <c r="L56" s="92"/>
      <c r="M56" s="92"/>
      <c r="N56" s="92"/>
      <c r="O56" s="92"/>
      <c r="P56" s="92"/>
      <c r="Q56" s="92"/>
      <c r="R56" s="92"/>
      <c r="S56" s="92"/>
      <c r="T56" s="92"/>
      <c r="U56" s="92"/>
      <c r="V56" s="92"/>
      <c r="W56" s="92"/>
      <c r="X56" s="92"/>
      <c r="Y56" s="92"/>
      <c r="Z56" s="92"/>
    </row>
    <row r="57" spans="1:26" ht="15.75" hidden="1" customHeight="1">
      <c r="A57" s="990" t="s">
        <v>154</v>
      </c>
      <c r="B57" s="100">
        <v>137</v>
      </c>
      <c r="C57" s="991">
        <v>7.87577449768657</v>
      </c>
      <c r="D57" s="991">
        <v>7.87577449768657</v>
      </c>
      <c r="E57" s="991">
        <v>8.210704074127591</v>
      </c>
      <c r="F57" s="991">
        <v>9.965232152941832</v>
      </c>
      <c r="G57" s="991">
        <v>11.404204675279772</v>
      </c>
      <c r="H57" s="991">
        <v>11.404204675279772</v>
      </c>
      <c r="I57" s="991">
        <v>8.7905949386474429</v>
      </c>
      <c r="J57" s="991">
        <v>10.669038676248357</v>
      </c>
      <c r="K57" s="1"/>
      <c r="L57" s="92"/>
      <c r="M57" s="92"/>
      <c r="N57" s="92"/>
      <c r="O57" s="92"/>
      <c r="P57" s="92"/>
      <c r="Q57" s="92"/>
      <c r="R57" s="92"/>
      <c r="S57" s="92"/>
      <c r="T57" s="92"/>
      <c r="U57" s="92"/>
      <c r="V57" s="92"/>
      <c r="W57" s="92"/>
      <c r="X57" s="92"/>
      <c r="Y57" s="92"/>
      <c r="Z57" s="92"/>
    </row>
    <row r="58" spans="1:26" ht="15.75" hidden="1" customHeight="1">
      <c r="A58" s="990" t="s">
        <v>155</v>
      </c>
      <c r="B58" s="100">
        <v>240</v>
      </c>
      <c r="C58" s="991">
        <v>7.966622953668649</v>
      </c>
      <c r="D58" s="991">
        <v>7.966622953668649</v>
      </c>
      <c r="E58" s="991">
        <v>8.5317884833395699</v>
      </c>
      <c r="F58" s="991">
        <v>10.383375440378801</v>
      </c>
      <c r="G58" s="991">
        <v>10.94289376228172</v>
      </c>
      <c r="H58" s="991">
        <v>10.94289376228172</v>
      </c>
      <c r="I58" s="991">
        <v>8.5597721372782907</v>
      </c>
      <c r="J58" s="991">
        <v>10.417432166656859</v>
      </c>
      <c r="K58" s="1"/>
      <c r="L58" s="92"/>
      <c r="M58" s="92"/>
      <c r="N58" s="92"/>
      <c r="O58" s="92"/>
      <c r="P58" s="92"/>
      <c r="Q58" s="92"/>
      <c r="R58" s="92"/>
      <c r="S58" s="92"/>
      <c r="T58" s="92"/>
      <c r="U58" s="92"/>
      <c r="V58" s="92"/>
      <c r="W58" s="92"/>
      <c r="X58" s="92"/>
      <c r="Y58" s="92"/>
      <c r="Z58" s="92"/>
    </row>
    <row r="59" spans="1:26" ht="15.75" hidden="1" customHeight="1">
      <c r="A59" s="990" t="s">
        <v>156</v>
      </c>
      <c r="B59" s="100">
        <v>1291</v>
      </c>
      <c r="C59" s="991">
        <v>19.564146766614588</v>
      </c>
      <c r="D59" s="991">
        <v>19.776535857034077</v>
      </c>
      <c r="E59" s="991">
        <v>21.922168532184187</v>
      </c>
      <c r="F59" s="991">
        <v>26.325493206829123</v>
      </c>
      <c r="G59" s="991">
        <v>28.076237082613112</v>
      </c>
      <c r="H59" s="991">
        <v>28.42456003915655</v>
      </c>
      <c r="I59" s="991">
        <v>27.57116633785564</v>
      </c>
      <c r="J59" s="991">
        <v>33.109158478823986</v>
      </c>
      <c r="K59" s="1"/>
      <c r="L59" s="92"/>
      <c r="M59" s="92"/>
      <c r="N59" s="92"/>
      <c r="O59" s="92"/>
      <c r="P59" s="92"/>
      <c r="Q59" s="92"/>
      <c r="R59" s="92"/>
      <c r="S59" s="92"/>
      <c r="T59" s="92"/>
      <c r="U59" s="92"/>
      <c r="V59" s="92"/>
      <c r="W59" s="92"/>
      <c r="X59" s="92"/>
      <c r="Y59" s="92"/>
      <c r="Z59" s="92"/>
    </row>
    <row r="60" spans="1:26" ht="15.75" hidden="1" customHeight="1">
      <c r="A60" s="990" t="s">
        <v>157</v>
      </c>
      <c r="B60" s="100">
        <v>1548</v>
      </c>
      <c r="C60" s="991">
        <v>11.614849869182127</v>
      </c>
      <c r="D60" s="991">
        <v>13.952773356683227</v>
      </c>
      <c r="E60" s="991">
        <v>19.45620670699655</v>
      </c>
      <c r="F60" s="991">
        <v>25.295164141874722</v>
      </c>
      <c r="G60" s="991">
        <v>13.026967886209084</v>
      </c>
      <c r="H60" s="991">
        <v>15.891831969352916</v>
      </c>
      <c r="I60" s="991">
        <v>20.282786050902143</v>
      </c>
      <c r="J60" s="991">
        <v>26.369806311093466</v>
      </c>
      <c r="K60" s="1"/>
      <c r="L60" s="92"/>
      <c r="M60" s="92"/>
      <c r="N60" s="92"/>
      <c r="O60" s="92"/>
      <c r="P60" s="92"/>
      <c r="Q60" s="92"/>
      <c r="R60" s="92"/>
      <c r="S60" s="92"/>
      <c r="T60" s="92"/>
      <c r="U60" s="92"/>
      <c r="V60" s="92"/>
      <c r="W60" s="92"/>
      <c r="X60" s="92"/>
      <c r="Y60" s="92"/>
      <c r="Z60" s="92"/>
    </row>
    <row r="61" spans="1:26" ht="15.75" hidden="1" customHeight="1">
      <c r="A61" s="990" t="s">
        <v>158</v>
      </c>
      <c r="B61" s="100">
        <v>1832</v>
      </c>
      <c r="C61" s="991">
        <v>6.8286105537885247</v>
      </c>
      <c r="D61" s="991">
        <v>7.0211688298292181</v>
      </c>
      <c r="E61" s="991">
        <v>10.577326797748654</v>
      </c>
      <c r="F61" s="991">
        <v>15.407478315918491</v>
      </c>
      <c r="G61" s="991">
        <v>7.9988713605810293</v>
      </c>
      <c r="H61" s="991">
        <v>8.2506324169638852</v>
      </c>
      <c r="I61" s="991">
        <v>11.135859673289353</v>
      </c>
      <c r="J61" s="991">
        <v>16.221066033606537</v>
      </c>
      <c r="K61" s="1"/>
      <c r="L61" s="92"/>
      <c r="M61" s="92"/>
      <c r="N61" s="92"/>
      <c r="O61" s="92"/>
      <c r="P61" s="92"/>
      <c r="Q61" s="92"/>
      <c r="R61" s="92"/>
      <c r="S61" s="92"/>
      <c r="T61" s="92"/>
      <c r="U61" s="92"/>
      <c r="V61" s="92"/>
      <c r="W61" s="92"/>
      <c r="X61" s="92"/>
      <c r="Y61" s="92"/>
      <c r="Z61" s="92"/>
    </row>
    <row r="62" spans="1:26" ht="15.75" hidden="1" customHeight="1">
      <c r="A62" s="990" t="s">
        <v>159</v>
      </c>
      <c r="B62" s="100">
        <v>140</v>
      </c>
      <c r="C62" s="991">
        <v>7.8044082270201089</v>
      </c>
      <c r="D62" s="991">
        <v>8.8270849557783233</v>
      </c>
      <c r="E62" s="991">
        <v>13.169039986290381</v>
      </c>
      <c r="F62" s="991">
        <v>16.735269148967056</v>
      </c>
      <c r="G62" s="991">
        <v>8.5565373366362323</v>
      </c>
      <c r="H62" s="991">
        <v>9.7753699433792676</v>
      </c>
      <c r="I62" s="991">
        <v>13.415979718161648</v>
      </c>
      <c r="J62" s="991">
        <v>17.049081156580492</v>
      </c>
      <c r="K62" s="1"/>
      <c r="L62" s="92"/>
      <c r="M62" s="92"/>
      <c r="N62" s="92"/>
      <c r="O62" s="92"/>
      <c r="P62" s="92"/>
      <c r="Q62" s="92"/>
      <c r="R62" s="92"/>
      <c r="S62" s="92"/>
      <c r="T62" s="92"/>
      <c r="U62" s="92"/>
      <c r="V62" s="92"/>
      <c r="W62" s="92"/>
      <c r="X62" s="92"/>
      <c r="Y62" s="92"/>
      <c r="Z62" s="92"/>
    </row>
    <row r="63" spans="1:26" ht="15.75" hidden="1" customHeight="1">
      <c r="A63" s="990" t="s">
        <v>160</v>
      </c>
      <c r="B63" s="100">
        <v>36</v>
      </c>
      <c r="C63" s="991">
        <v>5.6661040034674786</v>
      </c>
      <c r="D63" s="991">
        <v>5.7550248832166426</v>
      </c>
      <c r="E63" s="991">
        <v>8.2293208286654469</v>
      </c>
      <c r="F63" s="991">
        <v>13.838049999653776</v>
      </c>
      <c r="G63" s="991">
        <v>5.2952772108626078</v>
      </c>
      <c r="H63" s="991">
        <v>5.3728516380482763</v>
      </c>
      <c r="I63" s="991">
        <v>8.230210988666677</v>
      </c>
      <c r="J63" s="991">
        <v>13.839546852050365</v>
      </c>
      <c r="K63" s="1"/>
      <c r="L63" s="92"/>
      <c r="M63" s="92"/>
      <c r="N63" s="92"/>
      <c r="O63" s="92"/>
      <c r="P63" s="92"/>
      <c r="Q63" s="92"/>
      <c r="R63" s="92"/>
      <c r="S63" s="92"/>
      <c r="T63" s="92"/>
      <c r="U63" s="92"/>
      <c r="V63" s="92"/>
      <c r="W63" s="92"/>
      <c r="X63" s="92"/>
      <c r="Y63" s="92"/>
      <c r="Z63" s="92"/>
    </row>
    <row r="64" spans="1:26" ht="15.75" hidden="1" customHeight="1">
      <c r="A64" s="990" t="s">
        <v>256</v>
      </c>
      <c r="B64" s="100">
        <v>548</v>
      </c>
      <c r="C64" s="991">
        <v>4.5412987521312038</v>
      </c>
      <c r="D64" s="991">
        <v>4.5585159475016965</v>
      </c>
      <c r="E64" s="991">
        <v>7.8694358105821278</v>
      </c>
      <c r="F64" s="991">
        <v>11.038791250459246</v>
      </c>
      <c r="G64" s="991">
        <v>4.7335455844521022</v>
      </c>
      <c r="H64" s="991">
        <v>4.7519352466804818</v>
      </c>
      <c r="I64" s="991">
        <v>8.0054505384857748</v>
      </c>
      <c r="J64" s="991">
        <v>11.229584875879937</v>
      </c>
      <c r="K64" s="1"/>
      <c r="L64" s="92"/>
      <c r="M64" s="92"/>
      <c r="N64" s="92"/>
      <c r="O64" s="92"/>
      <c r="P64" s="92"/>
      <c r="Q64" s="92"/>
      <c r="R64" s="92"/>
      <c r="S64" s="92"/>
      <c r="T64" s="92"/>
      <c r="U64" s="92"/>
      <c r="V64" s="92"/>
      <c r="W64" s="92"/>
      <c r="X64" s="92"/>
      <c r="Y64" s="92"/>
      <c r="Z64" s="92"/>
    </row>
    <row r="65" spans="1:26" ht="15.75" hidden="1" customHeight="1">
      <c r="A65" s="990" t="s">
        <v>162</v>
      </c>
      <c r="B65" s="100">
        <v>179</v>
      </c>
      <c r="C65" s="991">
        <v>11.304012828058932</v>
      </c>
      <c r="D65" s="991">
        <v>11.347357731814801</v>
      </c>
      <c r="E65" s="991">
        <v>16.22649339563943</v>
      </c>
      <c r="F65" s="991">
        <v>19.440693753220845</v>
      </c>
      <c r="G65" s="991">
        <v>10.952705775486976</v>
      </c>
      <c r="H65" s="991">
        <v>10.992482040203416</v>
      </c>
      <c r="I65" s="991">
        <v>16.596958992176702</v>
      </c>
      <c r="J65" s="991">
        <v>19.884542466111633</v>
      </c>
      <c r="K65" s="1"/>
      <c r="L65" s="92"/>
      <c r="M65" s="92"/>
      <c r="N65" s="92"/>
      <c r="O65" s="92"/>
      <c r="P65" s="92"/>
      <c r="Q65" s="92"/>
      <c r="R65" s="92"/>
      <c r="S65" s="92"/>
      <c r="T65" s="92"/>
      <c r="U65" s="92"/>
      <c r="V65" s="92"/>
      <c r="W65" s="92"/>
      <c r="X65" s="92"/>
      <c r="Y65" s="92"/>
      <c r="Z65" s="92"/>
    </row>
    <row r="66" spans="1:26" ht="15.75" hidden="1" customHeight="1">
      <c r="A66" s="990" t="s">
        <v>163</v>
      </c>
      <c r="B66" s="100">
        <v>437</v>
      </c>
      <c r="C66" s="991">
        <v>7.3387985184711644</v>
      </c>
      <c r="D66" s="991">
        <v>7.5802355183581627</v>
      </c>
      <c r="E66" s="991">
        <v>12.034566811785607</v>
      </c>
      <c r="F66" s="991">
        <v>15.895971832172492</v>
      </c>
      <c r="G66" s="991">
        <v>6.1007816585567571</v>
      </c>
      <c r="H66" s="991">
        <v>6.2628118097693868</v>
      </c>
      <c r="I66" s="991">
        <v>12.316452350798512</v>
      </c>
      <c r="J66" s="991">
        <v>16.268303022661023</v>
      </c>
      <c r="K66" s="1"/>
      <c r="L66" s="92"/>
      <c r="M66" s="92"/>
      <c r="N66" s="92"/>
      <c r="O66" s="92"/>
      <c r="P66" s="92"/>
      <c r="Q66" s="92"/>
      <c r="R66" s="92"/>
      <c r="S66" s="92"/>
      <c r="T66" s="92"/>
      <c r="U66" s="92"/>
      <c r="V66" s="92"/>
      <c r="W66" s="92"/>
      <c r="X66" s="92"/>
      <c r="Y66" s="92"/>
      <c r="Z66" s="92"/>
    </row>
    <row r="67" spans="1:26" ht="15.75" hidden="1" customHeight="1">
      <c r="A67" s="990" t="s">
        <v>164</v>
      </c>
      <c r="B67" s="100">
        <v>438</v>
      </c>
      <c r="C67" s="991">
        <v>9.6263574314132878</v>
      </c>
      <c r="D67" s="991">
        <v>10.066296705708428</v>
      </c>
      <c r="E67" s="991">
        <v>17.200550439305598</v>
      </c>
      <c r="F67" s="991">
        <v>22.052563918842026</v>
      </c>
      <c r="G67" s="991">
        <v>9.9540201735155609</v>
      </c>
      <c r="H67" s="991">
        <v>10.418934442110706</v>
      </c>
      <c r="I67" s="991">
        <v>17.420167058088992</v>
      </c>
      <c r="J67" s="991">
        <v>22.334131043129723</v>
      </c>
      <c r="K67" s="1"/>
      <c r="L67" s="92"/>
      <c r="M67" s="92"/>
      <c r="N67" s="92"/>
      <c r="O67" s="92"/>
      <c r="P67" s="92"/>
      <c r="Q67" s="92"/>
      <c r="R67" s="92"/>
      <c r="S67" s="92"/>
      <c r="T67" s="92"/>
      <c r="U67" s="92"/>
      <c r="V67" s="92"/>
      <c r="W67" s="92"/>
      <c r="X67" s="92"/>
      <c r="Y67" s="92"/>
      <c r="Z67" s="92"/>
    </row>
    <row r="68" spans="1:26" ht="15.75" hidden="1" customHeight="1">
      <c r="A68" s="990" t="s">
        <v>165</v>
      </c>
      <c r="B68" s="100">
        <v>269</v>
      </c>
      <c r="C68" s="991">
        <v>8.9375654663948421</v>
      </c>
      <c r="D68" s="991">
        <v>9.3905072816298123</v>
      </c>
      <c r="E68" s="991">
        <v>17.422383534388768</v>
      </c>
      <c r="F68" s="991">
        <v>21.506022571989423</v>
      </c>
      <c r="G68" s="991">
        <v>10.181932647189766</v>
      </c>
      <c r="H68" s="991">
        <v>10.755883040504663</v>
      </c>
      <c r="I68" s="991">
        <v>17.940875384178604</v>
      </c>
      <c r="J68" s="991">
        <v>22.14604392170677</v>
      </c>
      <c r="K68" s="1"/>
      <c r="L68" s="92"/>
      <c r="M68" s="92"/>
      <c r="N68" s="92"/>
      <c r="O68" s="92"/>
      <c r="P68" s="92"/>
      <c r="Q68" s="92"/>
      <c r="R68" s="92"/>
      <c r="S68" s="92"/>
      <c r="T68" s="92"/>
      <c r="U68" s="92"/>
      <c r="V68" s="92"/>
      <c r="W68" s="92"/>
      <c r="X68" s="92"/>
      <c r="Y68" s="92"/>
      <c r="Z68" s="92"/>
    </row>
    <row r="69" spans="1:26" ht="15.75" hidden="1" customHeight="1">
      <c r="A69" s="990" t="s">
        <v>166</v>
      </c>
      <c r="B69" s="100">
        <v>492</v>
      </c>
      <c r="C69" s="991">
        <v>9.427665125059514</v>
      </c>
      <c r="D69" s="991">
        <v>9.5212249808937699</v>
      </c>
      <c r="E69" s="991">
        <v>15.894373349360979</v>
      </c>
      <c r="F69" s="991">
        <v>20.314311070744012</v>
      </c>
      <c r="G69" s="991">
        <v>9.9200384460807598</v>
      </c>
      <c r="H69" s="991">
        <v>10.023101025169726</v>
      </c>
      <c r="I69" s="991">
        <v>15.982710597097476</v>
      </c>
      <c r="J69" s="991">
        <v>20.427213309178264</v>
      </c>
      <c r="K69" s="1"/>
      <c r="L69" s="92"/>
      <c r="M69" s="92"/>
      <c r="N69" s="92"/>
      <c r="O69" s="92"/>
      <c r="P69" s="92"/>
      <c r="Q69" s="92"/>
      <c r="R69" s="92"/>
      <c r="S69" s="92"/>
      <c r="T69" s="92"/>
      <c r="U69" s="92"/>
      <c r="V69" s="92"/>
      <c r="W69" s="92"/>
      <c r="X69" s="92"/>
      <c r="Y69" s="92"/>
      <c r="Z69" s="92"/>
    </row>
    <row r="70" spans="1:26" ht="15.75" hidden="1" customHeight="1">
      <c r="A70" s="990" t="s">
        <v>167</v>
      </c>
      <c r="B70" s="100">
        <v>823</v>
      </c>
      <c r="C70" s="991">
        <v>8.0573590550539205</v>
      </c>
      <c r="D70" s="991">
        <v>8.1912443780464272</v>
      </c>
      <c r="E70" s="991">
        <v>16.961329808372106</v>
      </c>
      <c r="F70" s="991">
        <v>24.007138287953367</v>
      </c>
      <c r="G70" s="991">
        <v>10.83477104083595</v>
      </c>
      <c r="H70" s="991">
        <v>11.060892363236023</v>
      </c>
      <c r="I70" s="991">
        <v>18.235541210337889</v>
      </c>
      <c r="J70" s="991">
        <v>25.810662521058024</v>
      </c>
      <c r="K70" s="1"/>
      <c r="L70" s="92"/>
      <c r="M70" s="92"/>
      <c r="N70" s="92"/>
      <c r="O70" s="92"/>
      <c r="P70" s="92"/>
      <c r="Q70" s="92"/>
      <c r="R70" s="92"/>
      <c r="S70" s="92"/>
      <c r="T70" s="92"/>
      <c r="U70" s="92"/>
      <c r="V70" s="92"/>
      <c r="W70" s="92"/>
      <c r="X70" s="92"/>
      <c r="Y70" s="92"/>
      <c r="Z70" s="92"/>
    </row>
    <row r="71" spans="1:26" ht="15.75" hidden="1" customHeight="1">
      <c r="A71" s="990" t="s">
        <v>168</v>
      </c>
      <c r="B71" s="100">
        <v>321</v>
      </c>
      <c r="C71" s="991">
        <v>9.195572780041168</v>
      </c>
      <c r="D71" s="991">
        <v>10.162094800454826</v>
      </c>
      <c r="E71" s="991">
        <v>16.33410413148988</v>
      </c>
      <c r="F71" s="991">
        <v>21.435859272248521</v>
      </c>
      <c r="G71" s="991">
        <v>10.6141457383409</v>
      </c>
      <c r="H71" s="991">
        <v>11.822496424394682</v>
      </c>
      <c r="I71" s="991">
        <v>17.544713863368248</v>
      </c>
      <c r="J71" s="991">
        <v>23.024587961453477</v>
      </c>
      <c r="K71" s="1"/>
      <c r="L71" s="92"/>
      <c r="M71" s="92"/>
      <c r="N71" s="92"/>
      <c r="O71" s="92"/>
      <c r="P71" s="92"/>
      <c r="Q71" s="92"/>
      <c r="R71" s="92"/>
      <c r="S71" s="92"/>
      <c r="T71" s="92"/>
      <c r="U71" s="92"/>
      <c r="V71" s="92"/>
      <c r="W71" s="92"/>
      <c r="X71" s="92"/>
      <c r="Y71" s="92"/>
      <c r="Z71" s="92"/>
    </row>
    <row r="72" spans="1:26" ht="15.75" hidden="1" customHeight="1">
      <c r="A72" s="990" t="s">
        <v>169</v>
      </c>
      <c r="B72" s="100">
        <v>650</v>
      </c>
      <c r="C72" s="991">
        <v>20.055195124902639</v>
      </c>
      <c r="D72" s="991">
        <v>20.05881850007929</v>
      </c>
      <c r="E72" s="991">
        <v>33.079933689832885</v>
      </c>
      <c r="F72" s="991">
        <v>34.449063041253495</v>
      </c>
      <c r="G72" s="991">
        <v>24.098392362871209</v>
      </c>
      <c r="H72" s="991">
        <v>24.103023939397762</v>
      </c>
      <c r="I72" s="991">
        <v>37.365986589201569</v>
      </c>
      <c r="J72" s="991">
        <v>38.91250930789095</v>
      </c>
      <c r="K72" s="1"/>
      <c r="L72" s="92"/>
      <c r="M72" s="92"/>
      <c r="N72" s="92"/>
      <c r="O72" s="92"/>
      <c r="P72" s="92"/>
      <c r="Q72" s="92"/>
      <c r="R72" s="92"/>
      <c r="S72" s="92"/>
      <c r="T72" s="92"/>
      <c r="U72" s="92"/>
      <c r="V72" s="92"/>
      <c r="W72" s="92"/>
      <c r="X72" s="92"/>
      <c r="Y72" s="92"/>
      <c r="Z72" s="92"/>
    </row>
    <row r="73" spans="1:26" ht="15.75" hidden="1" customHeight="1">
      <c r="A73" s="990" t="s">
        <v>170</v>
      </c>
      <c r="B73" s="100">
        <v>879</v>
      </c>
      <c r="C73" s="991">
        <v>14.798987361391912</v>
      </c>
      <c r="D73" s="991">
        <v>14.910613926783386</v>
      </c>
      <c r="E73" s="991">
        <v>24.783043140230752</v>
      </c>
      <c r="F73" s="991">
        <v>40.233066727028614</v>
      </c>
      <c r="G73" s="991">
        <v>21.503386650116159</v>
      </c>
      <c r="H73" s="991">
        <v>21.673506675040397</v>
      </c>
      <c r="I73" s="991">
        <v>34.345930015811206</v>
      </c>
      <c r="J73" s="991">
        <v>55.757563197911665</v>
      </c>
      <c r="K73" s="1"/>
      <c r="L73" s="92"/>
      <c r="M73" s="92"/>
      <c r="N73" s="92"/>
      <c r="O73" s="92"/>
      <c r="P73" s="92"/>
      <c r="Q73" s="92"/>
      <c r="R73" s="92"/>
      <c r="S73" s="92"/>
      <c r="T73" s="92"/>
      <c r="U73" s="92"/>
      <c r="V73" s="92"/>
      <c r="W73" s="92"/>
      <c r="X73" s="92"/>
      <c r="Y73" s="92"/>
      <c r="Z73" s="92"/>
    </row>
    <row r="74" spans="1:26" ht="15.75" hidden="1" customHeight="1">
      <c r="A74" s="992" t="s">
        <v>171</v>
      </c>
      <c r="B74" s="993">
        <v>309</v>
      </c>
      <c r="C74" s="994">
        <v>13.507266677016263</v>
      </c>
      <c r="D74" s="994">
        <v>13.785148217782979</v>
      </c>
      <c r="E74" s="994">
        <v>20.446975972530712</v>
      </c>
      <c r="F74" s="994">
        <v>27.955647834580528</v>
      </c>
      <c r="G74" s="994">
        <v>18.347655983814619</v>
      </c>
      <c r="H74" s="994">
        <v>18.822400716688275</v>
      </c>
      <c r="I74" s="994">
        <v>22.197564114919278</v>
      </c>
      <c r="J74" s="994">
        <v>30.349098371117257</v>
      </c>
      <c r="K74" s="995"/>
      <c r="L74" s="996"/>
      <c r="M74" s="996"/>
      <c r="N74" s="996"/>
      <c r="O74" s="996"/>
      <c r="P74" s="996"/>
      <c r="Q74" s="996"/>
      <c r="R74" s="996"/>
      <c r="S74" s="996"/>
      <c r="T74" s="996"/>
      <c r="U74" s="996"/>
      <c r="V74" s="996"/>
      <c r="W74" s="996"/>
      <c r="X74" s="996"/>
      <c r="Y74" s="996"/>
      <c r="Z74" s="996"/>
    </row>
    <row r="75" spans="1:26" ht="15.75" hidden="1" customHeight="1">
      <c r="A75" s="990" t="s">
        <v>257</v>
      </c>
      <c r="B75" s="100">
        <v>749</v>
      </c>
      <c r="C75" s="991">
        <v>16.17156732629276</v>
      </c>
      <c r="D75" s="991">
        <v>16.687504936509356</v>
      </c>
      <c r="E75" s="991">
        <v>20.405802401998368</v>
      </c>
      <c r="F75" s="991">
        <v>24.591732990498386</v>
      </c>
      <c r="G75" s="991">
        <v>19.722436163608023</v>
      </c>
      <c r="H75" s="991">
        <v>20.427031869611387</v>
      </c>
      <c r="I75" s="991">
        <v>22.306589623932332</v>
      </c>
      <c r="J75" s="991">
        <v>26.882436924246839</v>
      </c>
      <c r="K75" s="1"/>
      <c r="L75" s="92"/>
      <c r="M75" s="92"/>
      <c r="N75" s="92"/>
      <c r="O75" s="92"/>
      <c r="P75" s="92"/>
      <c r="Q75" s="92"/>
      <c r="R75" s="92"/>
      <c r="S75" s="92"/>
      <c r="T75" s="92"/>
      <c r="U75" s="92"/>
      <c r="V75" s="92"/>
      <c r="W75" s="92"/>
      <c r="X75" s="92"/>
      <c r="Y75" s="92"/>
      <c r="Z75" s="92"/>
    </row>
    <row r="76" spans="1:26" ht="15.75" hidden="1" customHeight="1">
      <c r="A76" s="990" t="s">
        <v>173</v>
      </c>
      <c r="B76" s="100">
        <v>320</v>
      </c>
      <c r="C76" s="991">
        <v>9.8254369706074751</v>
      </c>
      <c r="D76" s="991">
        <v>11.386961680012252</v>
      </c>
      <c r="E76" s="991">
        <v>19.432345858948352</v>
      </c>
      <c r="F76" s="991">
        <v>25.975852591996471</v>
      </c>
      <c r="G76" s="991">
        <v>10.851658726602723</v>
      </c>
      <c r="H76" s="991">
        <v>12.690369343268465</v>
      </c>
      <c r="I76" s="991">
        <v>20.312873538871493</v>
      </c>
      <c r="J76" s="991">
        <v>27.152882755152177</v>
      </c>
      <c r="K76" s="1"/>
      <c r="L76" s="92"/>
      <c r="M76" s="92"/>
      <c r="N76" s="92"/>
      <c r="O76" s="92"/>
      <c r="P76" s="92"/>
      <c r="Q76" s="92"/>
      <c r="R76" s="92"/>
      <c r="S76" s="92"/>
      <c r="T76" s="92"/>
      <c r="U76" s="92"/>
      <c r="V76" s="92"/>
      <c r="W76" s="92"/>
      <c r="X76" s="92"/>
      <c r="Y76" s="92"/>
      <c r="Z76" s="92"/>
    </row>
    <row r="77" spans="1:26" ht="15.75" hidden="1" customHeight="1">
      <c r="A77" s="990" t="s">
        <v>174</v>
      </c>
      <c r="B77" s="100">
        <v>33</v>
      </c>
      <c r="C77" s="991">
        <v>9.8533512802116565</v>
      </c>
      <c r="D77" s="991">
        <v>9.8533512802116565</v>
      </c>
      <c r="E77" s="991">
        <v>7.1615611975273081</v>
      </c>
      <c r="F77" s="991">
        <v>8.1832819671278454</v>
      </c>
      <c r="G77" s="991">
        <v>10.392656233303684</v>
      </c>
      <c r="H77" s="991">
        <v>10.392656233303684</v>
      </c>
      <c r="I77" s="991">
        <v>7.1632158791736362</v>
      </c>
      <c r="J77" s="991">
        <v>8.1851727177762381</v>
      </c>
      <c r="K77" s="1"/>
      <c r="L77" s="92"/>
      <c r="M77" s="92"/>
      <c r="N77" s="92"/>
      <c r="O77" s="92"/>
      <c r="P77" s="92"/>
      <c r="Q77" s="92"/>
      <c r="R77" s="92"/>
      <c r="S77" s="92"/>
      <c r="T77" s="92"/>
      <c r="U77" s="92"/>
      <c r="V77" s="92"/>
      <c r="W77" s="92"/>
      <c r="X77" s="92"/>
      <c r="Y77" s="92"/>
      <c r="Z77" s="92"/>
    </row>
    <row r="78" spans="1:26" ht="15.75" hidden="1" customHeight="1">
      <c r="A78" s="990" t="s">
        <v>175</v>
      </c>
      <c r="B78" s="100">
        <v>401</v>
      </c>
      <c r="C78" s="991">
        <v>15.961037219298586</v>
      </c>
      <c r="D78" s="991">
        <v>17.094692016883652</v>
      </c>
      <c r="E78" s="991">
        <v>27.637934106200042</v>
      </c>
      <c r="F78" s="991">
        <v>34.620863883660519</v>
      </c>
      <c r="G78" s="991">
        <v>19.914210560666408</v>
      </c>
      <c r="H78" s="991">
        <v>21.637474962610195</v>
      </c>
      <c r="I78" s="991">
        <v>28.713211674334069</v>
      </c>
      <c r="J78" s="991">
        <v>35.967818333312039</v>
      </c>
      <c r="K78" s="1"/>
      <c r="L78" s="92"/>
      <c r="M78" s="92"/>
      <c r="N78" s="92"/>
      <c r="O78" s="92"/>
      <c r="P78" s="92"/>
      <c r="Q78" s="92"/>
      <c r="R78" s="92"/>
      <c r="S78" s="92"/>
      <c r="T78" s="92"/>
      <c r="U78" s="92"/>
      <c r="V78" s="92"/>
      <c r="W78" s="92"/>
      <c r="X78" s="92"/>
      <c r="Y78" s="92"/>
      <c r="Z78" s="92"/>
    </row>
    <row r="79" spans="1:26" ht="15.75" hidden="1" customHeight="1">
      <c r="A79" s="990" t="s">
        <v>176</v>
      </c>
      <c r="B79" s="100">
        <v>208</v>
      </c>
      <c r="C79" s="991">
        <v>11.861781660734888</v>
      </c>
      <c r="D79" s="991">
        <v>11.861639541973805</v>
      </c>
      <c r="E79" s="991">
        <v>17.186046585303917</v>
      </c>
      <c r="F79" s="991">
        <v>22.514617276593739</v>
      </c>
      <c r="G79" s="991">
        <v>13.055401702308071</v>
      </c>
      <c r="H79" s="991">
        <v>13.055231048879195</v>
      </c>
      <c r="I79" s="991">
        <v>17.33774184697473</v>
      </c>
      <c r="J79" s="991">
        <v>22.713345980268475</v>
      </c>
      <c r="K79" s="1"/>
      <c r="L79" s="92"/>
      <c r="M79" s="92"/>
      <c r="N79" s="92"/>
      <c r="O79" s="92"/>
      <c r="P79" s="92"/>
      <c r="Q79" s="92"/>
      <c r="R79" s="92"/>
      <c r="S79" s="92"/>
      <c r="T79" s="92"/>
      <c r="U79" s="92"/>
      <c r="V79" s="92"/>
      <c r="W79" s="92"/>
      <c r="X79" s="92"/>
      <c r="Y79" s="92"/>
      <c r="Z79" s="92"/>
    </row>
    <row r="80" spans="1:26" ht="15.75" hidden="1" customHeight="1">
      <c r="A80" s="990" t="s">
        <v>177</v>
      </c>
      <c r="B80" s="100">
        <v>117</v>
      </c>
      <c r="C80" s="991">
        <v>14.665628206741356</v>
      </c>
      <c r="D80" s="991">
        <v>14.809875799753357</v>
      </c>
      <c r="E80" s="991">
        <v>19.779644376508973</v>
      </c>
      <c r="F80" s="991">
        <v>26.209465034929384</v>
      </c>
      <c r="G80" s="991">
        <v>15.770628676536909</v>
      </c>
      <c r="H80" s="991">
        <v>15.935276612689931</v>
      </c>
      <c r="I80" s="991">
        <v>20.050596090748073</v>
      </c>
      <c r="J80" s="991">
        <v>26.568495730594361</v>
      </c>
      <c r="K80" s="1"/>
      <c r="L80" s="92"/>
      <c r="M80" s="92"/>
      <c r="N80" s="92"/>
      <c r="O80" s="92"/>
      <c r="P80" s="92"/>
      <c r="Q80" s="92"/>
      <c r="R80" s="92"/>
      <c r="S80" s="92"/>
      <c r="T80" s="92"/>
      <c r="U80" s="92"/>
      <c r="V80" s="92"/>
      <c r="W80" s="92"/>
      <c r="X80" s="92"/>
      <c r="Y80" s="92"/>
      <c r="Z80" s="92"/>
    </row>
    <row r="81" spans="1:26" ht="15.75" hidden="1" customHeight="1">
      <c r="A81" s="990" t="s">
        <v>178</v>
      </c>
      <c r="B81" s="100">
        <v>1038</v>
      </c>
      <c r="C81" s="991">
        <v>11.966931389110435</v>
      </c>
      <c r="D81" s="991">
        <v>12.084949912771686</v>
      </c>
      <c r="E81" s="991">
        <v>16.185383594810467</v>
      </c>
      <c r="F81" s="991">
        <v>21.270097716177119</v>
      </c>
      <c r="G81" s="991">
        <v>12.791008745201177</v>
      </c>
      <c r="H81" s="991">
        <v>12.920851570768932</v>
      </c>
      <c r="I81" s="991">
        <v>16.812159206588568</v>
      </c>
      <c r="J81" s="991">
        <v>22.093777824253852</v>
      </c>
      <c r="K81" s="1"/>
      <c r="L81" s="92"/>
      <c r="M81" s="92"/>
      <c r="N81" s="92"/>
      <c r="O81" s="92"/>
      <c r="P81" s="92"/>
      <c r="Q81" s="92"/>
      <c r="R81" s="92"/>
      <c r="S81" s="92"/>
      <c r="T81" s="92"/>
      <c r="U81" s="92"/>
      <c r="V81" s="92"/>
      <c r="W81" s="92"/>
      <c r="X81" s="92"/>
      <c r="Y81" s="92"/>
      <c r="Z81" s="92"/>
    </row>
    <row r="82" spans="1:26" ht="15.75" hidden="1" customHeight="1">
      <c r="A82" s="990" t="s">
        <v>179</v>
      </c>
      <c r="B82" s="100">
        <v>253</v>
      </c>
      <c r="C82" s="991">
        <v>12.858093443423311</v>
      </c>
      <c r="D82" s="991">
        <v>17.201151727924977</v>
      </c>
      <c r="E82" s="991">
        <v>31.51981023275394</v>
      </c>
      <c r="F82" s="991">
        <v>40.269530197265929</v>
      </c>
      <c r="G82" s="991">
        <v>15.463632978586629</v>
      </c>
      <c r="H82" s="991">
        <v>22.059348600539231</v>
      </c>
      <c r="I82" s="991">
        <v>32.010130319871593</v>
      </c>
      <c r="J82" s="991">
        <v>40.895960350515786</v>
      </c>
      <c r="K82" s="1"/>
      <c r="L82" s="92"/>
      <c r="M82" s="92"/>
      <c r="N82" s="92"/>
      <c r="O82" s="92"/>
      <c r="P82" s="92"/>
      <c r="Q82" s="92"/>
      <c r="R82" s="92"/>
      <c r="S82" s="92"/>
      <c r="T82" s="92"/>
      <c r="U82" s="92"/>
      <c r="V82" s="92"/>
      <c r="W82" s="92"/>
      <c r="X82" s="92"/>
      <c r="Y82" s="92"/>
      <c r="Z82" s="92"/>
    </row>
    <row r="83" spans="1:26" ht="15.75" hidden="1" customHeight="1">
      <c r="A83" s="990" t="s">
        <v>180</v>
      </c>
      <c r="B83" s="100">
        <v>204</v>
      </c>
      <c r="C83" s="991">
        <v>9.5258957640802358</v>
      </c>
      <c r="D83" s="991">
        <v>9.6365176711622862</v>
      </c>
      <c r="E83" s="991">
        <v>15.943768531608725</v>
      </c>
      <c r="F83" s="991">
        <v>21.779130451301658</v>
      </c>
      <c r="G83" s="991">
        <v>10.644717928398508</v>
      </c>
      <c r="H83" s="991">
        <v>10.77964133532414</v>
      </c>
      <c r="I83" s="991">
        <v>16.340199127080691</v>
      </c>
      <c r="J83" s="991">
        <v>22.320653218428781</v>
      </c>
      <c r="K83" s="1"/>
      <c r="L83" s="92"/>
      <c r="M83" s="92"/>
      <c r="N83" s="92"/>
      <c r="O83" s="92"/>
      <c r="P83" s="92"/>
      <c r="Q83" s="92"/>
      <c r="R83" s="92"/>
      <c r="S83" s="92"/>
      <c r="T83" s="92"/>
      <c r="U83" s="92"/>
      <c r="V83" s="92"/>
      <c r="W83" s="92"/>
      <c r="X83" s="92"/>
      <c r="Y83" s="92"/>
      <c r="Z83" s="92"/>
    </row>
    <row r="84" spans="1:26" ht="15.75" hidden="1" customHeight="1">
      <c r="A84" s="990" t="s">
        <v>181</v>
      </c>
      <c r="B84" s="100">
        <v>121</v>
      </c>
      <c r="C84" s="991">
        <v>17.296665676873022</v>
      </c>
      <c r="D84" s="991">
        <v>17.299202462732264</v>
      </c>
      <c r="E84" s="991">
        <v>21.392580282716718</v>
      </c>
      <c r="F84" s="991">
        <v>22.324258914842424</v>
      </c>
      <c r="G84" s="991">
        <v>19.978040135780439</v>
      </c>
      <c r="H84" s="991">
        <v>19.981134549353435</v>
      </c>
      <c r="I84" s="991">
        <v>23.396622843189565</v>
      </c>
      <c r="J84" s="991">
        <v>24.415580504155542</v>
      </c>
      <c r="K84" s="1"/>
      <c r="L84" s="92"/>
      <c r="M84" s="92"/>
      <c r="N84" s="92"/>
      <c r="O84" s="92"/>
      <c r="P84" s="92"/>
      <c r="Q84" s="92"/>
      <c r="R84" s="92"/>
      <c r="S84" s="92"/>
      <c r="T84" s="92"/>
      <c r="U84" s="92"/>
      <c r="V84" s="92"/>
      <c r="W84" s="92"/>
      <c r="X84" s="92"/>
      <c r="Y84" s="92"/>
      <c r="Z84" s="92"/>
    </row>
    <row r="85" spans="1:26" ht="15.75" hidden="1" customHeight="1">
      <c r="A85" s="990" t="s">
        <v>182</v>
      </c>
      <c r="B85" s="100">
        <v>633</v>
      </c>
      <c r="C85" s="991">
        <v>11.711548471741699</v>
      </c>
      <c r="D85" s="991">
        <v>11.889756633073452</v>
      </c>
      <c r="E85" s="991">
        <v>19.433913304527746</v>
      </c>
      <c r="F85" s="991">
        <v>26.099285468150669</v>
      </c>
      <c r="G85" s="991">
        <v>15.502212463547318</v>
      </c>
      <c r="H85" s="991">
        <v>15.809237926725304</v>
      </c>
      <c r="I85" s="991">
        <v>19.853212448855636</v>
      </c>
      <c r="J85" s="991">
        <v>26.662394292034087</v>
      </c>
      <c r="K85" s="1"/>
      <c r="L85" s="92"/>
      <c r="M85" s="92"/>
      <c r="N85" s="92"/>
      <c r="O85" s="92"/>
      <c r="P85" s="92"/>
      <c r="Q85" s="92"/>
      <c r="R85" s="92"/>
      <c r="S85" s="92"/>
      <c r="T85" s="92"/>
      <c r="U85" s="92"/>
      <c r="V85" s="92"/>
      <c r="W85" s="92"/>
      <c r="X85" s="92"/>
      <c r="Y85" s="92"/>
      <c r="Z85" s="92"/>
    </row>
    <row r="86" spans="1:26" ht="15.75" hidden="1" customHeight="1">
      <c r="A86" s="990" t="s">
        <v>183</v>
      </c>
      <c r="B86" s="100">
        <v>92</v>
      </c>
      <c r="C86" s="991">
        <v>5.0484157845978324</v>
      </c>
      <c r="D86" s="991">
        <v>5.7260024611367921</v>
      </c>
      <c r="E86" s="991">
        <v>8.9385181040095372</v>
      </c>
      <c r="F86" s="991">
        <v>11.578186011515356</v>
      </c>
      <c r="G86" s="991">
        <v>5.3963196368653641</v>
      </c>
      <c r="H86" s="991">
        <v>6.1748910229876985</v>
      </c>
      <c r="I86" s="991">
        <v>8.9671051103146961</v>
      </c>
      <c r="J86" s="991">
        <v>11.615215155794321</v>
      </c>
      <c r="K86" s="1"/>
      <c r="L86" s="92"/>
      <c r="M86" s="92"/>
      <c r="N86" s="92"/>
      <c r="O86" s="92"/>
      <c r="P86" s="92"/>
      <c r="Q86" s="92"/>
      <c r="R86" s="92"/>
      <c r="S86" s="92"/>
      <c r="T86" s="92"/>
      <c r="U86" s="92"/>
      <c r="V86" s="92"/>
      <c r="W86" s="92"/>
      <c r="X86" s="92"/>
      <c r="Y86" s="92"/>
      <c r="Z86" s="92"/>
    </row>
    <row r="87" spans="1:26" ht="15.75" hidden="1" customHeight="1">
      <c r="A87" s="990" t="s">
        <v>184</v>
      </c>
      <c r="B87" s="100">
        <v>665</v>
      </c>
      <c r="C87" s="991">
        <v>17.900413174177135</v>
      </c>
      <c r="D87" s="991">
        <v>24.786698207920391</v>
      </c>
      <c r="E87" s="991">
        <v>39.721628897799278</v>
      </c>
      <c r="F87" s="991">
        <v>47.36434221971799</v>
      </c>
      <c r="G87" s="991">
        <v>21.519795385029525</v>
      </c>
      <c r="H87" s="991">
        <v>31.893609447707927</v>
      </c>
      <c r="I87" s="991">
        <v>40.78811733400142</v>
      </c>
      <c r="J87" s="991">
        <v>48.636030331895306</v>
      </c>
      <c r="K87" s="1"/>
      <c r="L87" s="92"/>
      <c r="M87" s="92"/>
      <c r="N87" s="92"/>
      <c r="O87" s="92"/>
      <c r="P87" s="92"/>
      <c r="Q87" s="92"/>
      <c r="R87" s="92"/>
      <c r="S87" s="92"/>
      <c r="T87" s="92"/>
      <c r="U87" s="92"/>
      <c r="V87" s="92"/>
      <c r="W87" s="92"/>
      <c r="X87" s="92"/>
      <c r="Y87" s="92"/>
      <c r="Z87" s="92"/>
    </row>
    <row r="88" spans="1:26" ht="15.75" hidden="1" customHeight="1">
      <c r="A88" s="990" t="s">
        <v>185</v>
      </c>
      <c r="B88" s="100">
        <v>375</v>
      </c>
      <c r="C88" s="991">
        <v>13.798851471144475</v>
      </c>
      <c r="D88" s="991">
        <v>19.055050981102493</v>
      </c>
      <c r="E88" s="991">
        <v>25.045126734212634</v>
      </c>
      <c r="F88" s="991">
        <v>30.299951147446059</v>
      </c>
      <c r="G88" s="991">
        <v>13.864004598512967</v>
      </c>
      <c r="H88" s="991">
        <v>19.03087522349599</v>
      </c>
      <c r="I88" s="991">
        <v>25.565947241290125</v>
      </c>
      <c r="J88" s="991">
        <v>30.930047217172824</v>
      </c>
      <c r="K88" s="1"/>
      <c r="L88" s="92"/>
      <c r="M88" s="92"/>
      <c r="N88" s="92"/>
      <c r="O88" s="92"/>
      <c r="P88" s="92"/>
      <c r="Q88" s="92"/>
      <c r="R88" s="92"/>
      <c r="S88" s="92"/>
      <c r="T88" s="92"/>
      <c r="U88" s="92"/>
      <c r="V88" s="92"/>
      <c r="W88" s="92"/>
      <c r="X88" s="92"/>
      <c r="Y88" s="92"/>
      <c r="Z88" s="92"/>
    </row>
    <row r="89" spans="1:26" ht="15.75" hidden="1" customHeight="1">
      <c r="A89" s="990" t="s">
        <v>186</v>
      </c>
      <c r="B89" s="100">
        <v>357</v>
      </c>
      <c r="C89" s="991">
        <v>7.1709744027658155</v>
      </c>
      <c r="D89" s="991">
        <v>7.2263441411124827</v>
      </c>
      <c r="E89" s="991">
        <v>10.406519873864868</v>
      </c>
      <c r="F89" s="991">
        <v>12.079384558838104</v>
      </c>
      <c r="G89" s="991">
        <v>9.0495831452579232</v>
      </c>
      <c r="H89" s="991">
        <v>9.1365631639081943</v>
      </c>
      <c r="I89" s="991">
        <v>10.56995445181755</v>
      </c>
      <c r="J89" s="991">
        <v>12.269091506139464</v>
      </c>
      <c r="K89" s="1"/>
      <c r="L89" s="92"/>
      <c r="M89" s="92"/>
      <c r="N89" s="92"/>
      <c r="O89" s="92"/>
      <c r="P89" s="92"/>
      <c r="Q89" s="92"/>
      <c r="R89" s="92"/>
      <c r="S89" s="92"/>
      <c r="T89" s="92"/>
      <c r="U89" s="92"/>
      <c r="V89" s="92"/>
      <c r="W89" s="92"/>
      <c r="X89" s="92"/>
      <c r="Y89" s="92"/>
      <c r="Z89" s="92"/>
    </row>
    <row r="90" spans="1:26" ht="15.75" hidden="1" customHeight="1">
      <c r="A90" s="990" t="s">
        <v>187</v>
      </c>
      <c r="B90" s="100">
        <v>82</v>
      </c>
      <c r="C90" s="991">
        <v>13.971036300903847</v>
      </c>
      <c r="D90" s="991">
        <v>14.609529294235351</v>
      </c>
      <c r="E90" s="991">
        <v>18.74181784305706</v>
      </c>
      <c r="F90" s="991">
        <v>23.302962484503055</v>
      </c>
      <c r="G90" s="991">
        <v>15.389006143790287</v>
      </c>
      <c r="H90" s="991">
        <v>16.160348415814575</v>
      </c>
      <c r="I90" s="991">
        <v>18.902409342942846</v>
      </c>
      <c r="J90" s="991">
        <v>23.502636695857898</v>
      </c>
      <c r="K90" s="1"/>
      <c r="L90" s="92"/>
      <c r="M90" s="92"/>
      <c r="N90" s="92"/>
      <c r="O90" s="92"/>
      <c r="P90" s="92"/>
      <c r="Q90" s="92"/>
      <c r="R90" s="92"/>
      <c r="S90" s="92"/>
      <c r="T90" s="92"/>
      <c r="U90" s="92"/>
      <c r="V90" s="92"/>
      <c r="W90" s="92"/>
      <c r="X90" s="92"/>
      <c r="Y90" s="92"/>
      <c r="Z90" s="92"/>
    </row>
    <row r="91" spans="1:26" ht="15.75" hidden="1" customHeight="1">
      <c r="A91" s="990" t="s">
        <v>188</v>
      </c>
      <c r="B91" s="100">
        <v>311</v>
      </c>
      <c r="C91" s="991">
        <v>12.438828220351347</v>
      </c>
      <c r="D91" s="991">
        <v>17.79794122383781</v>
      </c>
      <c r="E91" s="991">
        <v>21.789297096862128</v>
      </c>
      <c r="F91" s="991">
        <v>25.952003878717747</v>
      </c>
      <c r="G91" s="991">
        <v>14.997606849235245</v>
      </c>
      <c r="H91" s="991">
        <v>23.328569447009148</v>
      </c>
      <c r="I91" s="991">
        <v>22.151430868972358</v>
      </c>
      <c r="J91" s="991">
        <v>26.383321007335578</v>
      </c>
      <c r="K91" s="1"/>
      <c r="L91" s="92"/>
      <c r="M91" s="92"/>
      <c r="N91" s="92"/>
      <c r="O91" s="92"/>
      <c r="P91" s="92"/>
      <c r="Q91" s="92"/>
      <c r="R91" s="92"/>
      <c r="S91" s="92"/>
      <c r="T91" s="92"/>
      <c r="U91" s="92"/>
      <c r="V91" s="92"/>
      <c r="W91" s="92"/>
      <c r="X91" s="92"/>
      <c r="Y91" s="92"/>
      <c r="Z91" s="92"/>
    </row>
    <row r="92" spans="1:26" ht="15.75" hidden="1" customHeight="1">
      <c r="A92" s="990" t="s">
        <v>189</v>
      </c>
      <c r="B92" s="100">
        <v>147</v>
      </c>
      <c r="C92" s="991">
        <v>0.9905906603119119</v>
      </c>
      <c r="D92" s="991">
        <v>36.671837030076084</v>
      </c>
      <c r="E92" s="991">
        <v>95.595691678893957</v>
      </c>
      <c r="F92" s="991">
        <v>123.93011234106619</v>
      </c>
      <c r="G92" s="991">
        <v>1.2455917401943479</v>
      </c>
      <c r="H92" s="991">
        <v>76.717756300475898</v>
      </c>
      <c r="I92" s="991">
        <v>118.88751455371313</v>
      </c>
      <c r="J92" s="991">
        <v>154.12559683215088</v>
      </c>
      <c r="K92" s="1"/>
      <c r="L92" s="92"/>
      <c r="M92" s="92"/>
      <c r="N92" s="92"/>
      <c r="O92" s="92"/>
      <c r="P92" s="92"/>
      <c r="Q92" s="92"/>
      <c r="R92" s="92"/>
      <c r="S92" s="92"/>
      <c r="T92" s="92"/>
      <c r="U92" s="92"/>
      <c r="V92" s="92"/>
      <c r="W92" s="92"/>
      <c r="X92" s="92"/>
      <c r="Y92" s="92"/>
      <c r="Z92" s="92"/>
    </row>
    <row r="93" spans="1:26" ht="15.75" hidden="1" customHeight="1">
      <c r="A93" s="990" t="s">
        <v>190</v>
      </c>
      <c r="B93" s="100">
        <v>1567</v>
      </c>
      <c r="C93" s="991">
        <v>18.662083654491102</v>
      </c>
      <c r="D93" s="991">
        <v>28.175499498690545</v>
      </c>
      <c r="E93" s="991">
        <v>38.916959564123097</v>
      </c>
      <c r="F93" s="991">
        <v>48.917481574154515</v>
      </c>
      <c r="G93" s="991">
        <v>22.312912722104997</v>
      </c>
      <c r="H93" s="991">
        <v>35.610378007588771</v>
      </c>
      <c r="I93" s="991">
        <v>42.07340038473599</v>
      </c>
      <c r="J93" s="991">
        <v>52.885035499528072</v>
      </c>
      <c r="K93" s="1"/>
      <c r="L93" s="92"/>
      <c r="M93" s="92"/>
      <c r="N93" s="92"/>
      <c r="O93" s="92"/>
      <c r="P93" s="92"/>
      <c r="Q93" s="92"/>
      <c r="R93" s="92"/>
      <c r="S93" s="92"/>
      <c r="T93" s="92"/>
      <c r="U93" s="92"/>
      <c r="V93" s="92"/>
      <c r="W93" s="92"/>
      <c r="X93" s="92"/>
      <c r="Y93" s="92"/>
      <c r="Z93" s="92"/>
    </row>
    <row r="94" spans="1:26" ht="15.75" hidden="1" customHeight="1">
      <c r="A94" s="990" t="s">
        <v>191</v>
      </c>
      <c r="B94" s="100">
        <v>727</v>
      </c>
      <c r="C94" s="991">
        <v>6.198733022972343</v>
      </c>
      <c r="D94" s="991">
        <v>6.7333764064996515</v>
      </c>
      <c r="E94" s="991">
        <v>12.416542389663983</v>
      </c>
      <c r="F94" s="991">
        <v>16.54542239595467</v>
      </c>
      <c r="G94" s="991">
        <v>5.7902763352593958</v>
      </c>
      <c r="H94" s="991">
        <v>6.2250518631162119</v>
      </c>
      <c r="I94" s="991">
        <v>13.185792006484791</v>
      </c>
      <c r="J94" s="991">
        <v>17.570471031782748</v>
      </c>
      <c r="K94" s="1"/>
      <c r="L94" s="92"/>
      <c r="M94" s="92"/>
      <c r="N94" s="92"/>
      <c r="O94" s="92"/>
      <c r="P94" s="92"/>
      <c r="Q94" s="92"/>
      <c r="R94" s="92"/>
      <c r="S94" s="92"/>
      <c r="T94" s="92"/>
      <c r="U94" s="92"/>
      <c r="V94" s="92"/>
      <c r="W94" s="92"/>
      <c r="X94" s="92"/>
      <c r="Y94" s="92"/>
      <c r="Z94" s="92"/>
    </row>
    <row r="95" spans="1:26" ht="15.75" hidden="1" customHeight="1">
      <c r="A95" s="990" t="s">
        <v>192</v>
      </c>
      <c r="B95" s="100">
        <v>98</v>
      </c>
      <c r="C95" s="991">
        <v>7.5706933989002607</v>
      </c>
      <c r="D95" s="991">
        <v>7.9368941512140507</v>
      </c>
      <c r="E95" s="991">
        <v>16.180334774348271</v>
      </c>
      <c r="F95" s="991">
        <v>21.361546624461418</v>
      </c>
      <c r="G95" s="991">
        <v>7.8277551940073069</v>
      </c>
      <c r="H95" s="991">
        <v>8.2185463295410468</v>
      </c>
      <c r="I95" s="991">
        <v>16.233345322883164</v>
      </c>
      <c r="J95" s="991">
        <v>21.431532030814793</v>
      </c>
      <c r="K95" s="1"/>
      <c r="L95" s="92"/>
      <c r="M95" s="92"/>
      <c r="N95" s="92"/>
      <c r="O95" s="92"/>
      <c r="P95" s="92"/>
      <c r="Q95" s="92"/>
      <c r="R95" s="92"/>
      <c r="S95" s="92"/>
      <c r="T95" s="92"/>
      <c r="U95" s="92"/>
      <c r="V95" s="92"/>
      <c r="W95" s="92"/>
      <c r="X95" s="92"/>
      <c r="Y95" s="92"/>
      <c r="Z95" s="92"/>
    </row>
    <row r="96" spans="1:26" ht="15.75" hidden="1" customHeight="1">
      <c r="A96" s="990" t="s">
        <v>193</v>
      </c>
      <c r="B96" s="100">
        <v>440</v>
      </c>
      <c r="C96" s="991">
        <v>10.399978276950765</v>
      </c>
      <c r="D96" s="991">
        <v>19.594893307939277</v>
      </c>
      <c r="E96" s="991">
        <v>28.77849391695484</v>
      </c>
      <c r="F96" s="991">
        <v>33.179435704769936</v>
      </c>
      <c r="G96" s="991">
        <v>11.682527107451124</v>
      </c>
      <c r="H96" s="991">
        <v>23.035864743452265</v>
      </c>
      <c r="I96" s="991">
        <v>30.779262592102661</v>
      </c>
      <c r="J96" s="991">
        <v>35.486171276434945</v>
      </c>
      <c r="K96" s="1"/>
      <c r="L96" s="92"/>
      <c r="M96" s="92"/>
      <c r="N96" s="92"/>
      <c r="O96" s="92"/>
      <c r="P96" s="92"/>
      <c r="Q96" s="92"/>
      <c r="R96" s="92"/>
      <c r="S96" s="92"/>
      <c r="T96" s="92"/>
      <c r="U96" s="92"/>
      <c r="V96" s="92"/>
      <c r="W96" s="92"/>
      <c r="X96" s="92"/>
      <c r="Y96" s="92"/>
      <c r="Z96" s="92"/>
    </row>
    <row r="97" spans="1:26" ht="15.75" hidden="1" customHeight="1">
      <c r="A97" s="990" t="s">
        <v>194</v>
      </c>
      <c r="B97" s="100">
        <v>274</v>
      </c>
      <c r="C97" s="991">
        <v>6.4299862717853893</v>
      </c>
      <c r="D97" s="991">
        <v>6.5912517480804089</v>
      </c>
      <c r="E97" s="991">
        <v>13.150511409746436</v>
      </c>
      <c r="F97" s="991">
        <v>17.721691813386194</v>
      </c>
      <c r="G97" s="991">
        <v>6.8767532452449363</v>
      </c>
      <c r="H97" s="991">
        <v>7.0587243922270071</v>
      </c>
      <c r="I97" s="991">
        <v>13.347908920650415</v>
      </c>
      <c r="J97" s="991">
        <v>17.987705639310651</v>
      </c>
      <c r="K97" s="1"/>
      <c r="L97" s="92"/>
      <c r="M97" s="92"/>
      <c r="N97" s="92"/>
      <c r="O97" s="92"/>
      <c r="P97" s="92"/>
      <c r="Q97" s="92"/>
      <c r="R97" s="92"/>
      <c r="S97" s="92"/>
      <c r="T97" s="92"/>
      <c r="U97" s="92"/>
      <c r="V97" s="92"/>
      <c r="W97" s="92"/>
      <c r="X97" s="92"/>
      <c r="Y97" s="92"/>
      <c r="Z97" s="92"/>
    </row>
    <row r="98" spans="1:26" ht="15.75" hidden="1" customHeight="1">
      <c r="A98" s="990" t="s">
        <v>195</v>
      </c>
      <c r="B98" s="100">
        <v>54</v>
      </c>
      <c r="C98" s="991">
        <v>10.238293827512727</v>
      </c>
      <c r="D98" s="991">
        <v>10.585718837954175</v>
      </c>
      <c r="E98" s="991">
        <v>11.944817072909601</v>
      </c>
      <c r="F98" s="991">
        <v>14.184002925008789</v>
      </c>
      <c r="G98" s="991">
        <v>10.274949551686667</v>
      </c>
      <c r="H98" s="991">
        <v>10.624519541042886</v>
      </c>
      <c r="I98" s="991">
        <v>11.957695640435151</v>
      </c>
      <c r="J98" s="991">
        <v>14.199295720062691</v>
      </c>
      <c r="K98" s="1"/>
      <c r="L98" s="92"/>
      <c r="M98" s="92"/>
      <c r="N98" s="92"/>
      <c r="O98" s="92"/>
      <c r="P98" s="92"/>
      <c r="Q98" s="92"/>
      <c r="R98" s="92"/>
      <c r="S98" s="92"/>
      <c r="T98" s="92"/>
      <c r="U98" s="92"/>
      <c r="V98" s="92"/>
      <c r="W98" s="92"/>
      <c r="X98" s="92"/>
      <c r="Y98" s="92"/>
      <c r="Z98" s="92"/>
    </row>
    <row r="99" spans="1:26" ht="15.75" hidden="1" customHeight="1">
      <c r="A99" s="990" t="s">
        <v>196</v>
      </c>
      <c r="B99" s="100">
        <v>446</v>
      </c>
      <c r="C99" s="991">
        <v>9.9056057298888049</v>
      </c>
      <c r="D99" s="991">
        <v>10.45563391803228</v>
      </c>
      <c r="E99" s="991">
        <v>17.314661800139064</v>
      </c>
      <c r="F99" s="991">
        <v>22.523217549100114</v>
      </c>
      <c r="G99" s="991">
        <v>11.527644596528798</v>
      </c>
      <c r="H99" s="991">
        <v>12.237436658124091</v>
      </c>
      <c r="I99" s="991">
        <v>18.275423545016281</v>
      </c>
      <c r="J99" s="991">
        <v>23.772993377383909</v>
      </c>
      <c r="K99" s="1"/>
      <c r="L99" s="92"/>
      <c r="M99" s="92"/>
      <c r="N99" s="92"/>
      <c r="O99" s="92"/>
      <c r="P99" s="92"/>
      <c r="Q99" s="92"/>
      <c r="R99" s="92"/>
      <c r="S99" s="92"/>
      <c r="T99" s="92"/>
      <c r="U99" s="92"/>
      <c r="V99" s="92"/>
      <c r="W99" s="92"/>
      <c r="X99" s="92"/>
      <c r="Y99" s="92"/>
      <c r="Z99" s="92"/>
    </row>
    <row r="100" spans="1:26" ht="15.75" hidden="1" customHeight="1">
      <c r="A100" s="990" t="s">
        <v>197</v>
      </c>
      <c r="B100" s="100">
        <v>54</v>
      </c>
      <c r="C100" s="991">
        <v>10.939319927818435</v>
      </c>
      <c r="D100" s="991">
        <v>11.006040774056666</v>
      </c>
      <c r="E100" s="991">
        <v>15.994348218590789</v>
      </c>
      <c r="F100" s="991">
        <v>20.832929962746633</v>
      </c>
      <c r="G100" s="991">
        <v>11.918243558963393</v>
      </c>
      <c r="H100" s="991">
        <v>11.996724425404523</v>
      </c>
      <c r="I100" s="991">
        <v>16.147965090731216</v>
      </c>
      <c r="J100" s="991">
        <v>21.033018737522585</v>
      </c>
      <c r="K100" s="1"/>
      <c r="L100" s="92"/>
      <c r="M100" s="92"/>
      <c r="N100" s="92"/>
      <c r="O100" s="92"/>
      <c r="P100" s="92"/>
      <c r="Q100" s="92"/>
      <c r="R100" s="92"/>
      <c r="S100" s="92"/>
      <c r="T100" s="92"/>
      <c r="U100" s="92"/>
      <c r="V100" s="92"/>
      <c r="W100" s="92"/>
      <c r="X100" s="92"/>
      <c r="Y100" s="92"/>
      <c r="Z100" s="92"/>
    </row>
    <row r="101" spans="1:26" ht="15.75" hidden="1" customHeight="1">
      <c r="A101" s="990" t="s">
        <v>198</v>
      </c>
      <c r="B101" s="100">
        <v>113</v>
      </c>
      <c r="C101" s="991">
        <v>10.186712616988817</v>
      </c>
      <c r="D101" s="991">
        <v>10.290760835840068</v>
      </c>
      <c r="E101" s="991">
        <v>20.328257422330534</v>
      </c>
      <c r="F101" s="991">
        <v>26.251981420628152</v>
      </c>
      <c r="G101" s="991">
        <v>10.856758524443238</v>
      </c>
      <c r="H101" s="991">
        <v>10.974763844432879</v>
      </c>
      <c r="I101" s="991">
        <v>20.372627192423419</v>
      </c>
      <c r="J101" s="991">
        <v>26.309280694044304</v>
      </c>
      <c r="K101" s="1"/>
      <c r="L101" s="92"/>
      <c r="M101" s="92"/>
      <c r="N101" s="92"/>
      <c r="O101" s="92"/>
      <c r="P101" s="92"/>
      <c r="Q101" s="92"/>
      <c r="R101" s="92"/>
      <c r="S101" s="92"/>
      <c r="T101" s="92"/>
      <c r="U101" s="92"/>
      <c r="V101" s="92"/>
      <c r="W101" s="92"/>
      <c r="X101" s="92"/>
      <c r="Y101" s="92"/>
      <c r="Z101" s="92"/>
    </row>
    <row r="102" spans="1:26" ht="15.75" hidden="1" customHeight="1">
      <c r="A102" s="990" t="s">
        <v>199</v>
      </c>
      <c r="B102" s="100">
        <v>52</v>
      </c>
      <c r="C102" s="991">
        <v>10.250747544221687</v>
      </c>
      <c r="D102" s="991">
        <v>10.29775989560504</v>
      </c>
      <c r="E102" s="991">
        <v>16.129722995120197</v>
      </c>
      <c r="F102" s="991">
        <v>19.411504918059304</v>
      </c>
      <c r="G102" s="991">
        <v>9.6927920307343438</v>
      </c>
      <c r="H102" s="991">
        <v>9.7348077489825258</v>
      </c>
      <c r="I102" s="991">
        <v>16.132625967290625</v>
      </c>
      <c r="J102" s="991">
        <v>19.414998534073682</v>
      </c>
      <c r="K102" s="1"/>
      <c r="L102" s="92"/>
      <c r="M102" s="92"/>
      <c r="N102" s="92"/>
      <c r="O102" s="92"/>
      <c r="P102" s="92"/>
      <c r="Q102" s="92"/>
      <c r="R102" s="92"/>
      <c r="S102" s="92"/>
      <c r="T102" s="92"/>
      <c r="U102" s="92"/>
      <c r="V102" s="92"/>
      <c r="W102" s="92"/>
      <c r="X102" s="92"/>
      <c r="Y102" s="92"/>
      <c r="Z102" s="92"/>
    </row>
    <row r="103" spans="1:26" ht="15.75" hidden="1" customHeight="1">
      <c r="A103" s="990" t="s">
        <v>200</v>
      </c>
      <c r="B103" s="100">
        <v>106</v>
      </c>
      <c r="C103" s="991">
        <v>11.131033416653912</v>
      </c>
      <c r="D103" s="991">
        <v>11.223810658872942</v>
      </c>
      <c r="E103" s="991">
        <v>16.829973847096994</v>
      </c>
      <c r="F103" s="991">
        <v>21.770556670203156</v>
      </c>
      <c r="G103" s="991">
        <v>12.706667397680413</v>
      </c>
      <c r="H103" s="991">
        <v>12.826578779443842</v>
      </c>
      <c r="I103" s="991">
        <v>16.987566488925541</v>
      </c>
      <c r="J103" s="991">
        <v>21.97441198043153</v>
      </c>
      <c r="K103" s="1"/>
      <c r="L103" s="95"/>
      <c r="M103" s="95"/>
      <c r="N103" s="95"/>
      <c r="O103" s="95"/>
      <c r="P103" s="95"/>
      <c r="Q103" s="95"/>
      <c r="R103" s="95"/>
      <c r="S103" s="95"/>
      <c r="T103" s="95"/>
      <c r="U103" s="95"/>
      <c r="V103" s="95"/>
      <c r="W103" s="95"/>
      <c r="X103" s="95"/>
      <c r="Y103" s="95"/>
      <c r="Z103" s="95"/>
    </row>
    <row r="104" spans="1:26" ht="15.75" hidden="1" customHeight="1">
      <c r="A104" s="990" t="s">
        <v>549</v>
      </c>
      <c r="B104" s="100">
        <v>47810</v>
      </c>
      <c r="C104" s="991">
        <v>11.112324451085817</v>
      </c>
      <c r="D104" s="991">
        <v>13.21342785074356</v>
      </c>
      <c r="E104" s="991">
        <v>19.78446438728275</v>
      </c>
      <c r="F104" s="991">
        <v>25.614287736830303</v>
      </c>
      <c r="G104" s="991">
        <v>14.683945603568143</v>
      </c>
      <c r="H104" s="991">
        <v>17.717637032254309</v>
      </c>
      <c r="I104" s="991">
        <v>24.278870286401631</v>
      </c>
      <c r="J104" s="991">
        <v>31.43304550821264</v>
      </c>
      <c r="K104" s="1"/>
      <c r="L104" s="95"/>
      <c r="M104" s="95"/>
      <c r="N104" s="95"/>
      <c r="O104" s="95"/>
      <c r="P104" s="95"/>
      <c r="Q104" s="95"/>
      <c r="R104" s="95"/>
      <c r="S104" s="95"/>
      <c r="T104" s="95"/>
      <c r="U104" s="95"/>
      <c r="V104" s="95"/>
      <c r="W104" s="95"/>
      <c r="X104" s="95"/>
      <c r="Y104" s="95"/>
      <c r="Z104" s="95"/>
    </row>
    <row r="105" spans="1:26" ht="15.75" hidden="1" customHeight="1">
      <c r="A105" s="990" t="s">
        <v>258</v>
      </c>
      <c r="B105" s="100">
        <v>42750</v>
      </c>
      <c r="C105" s="991">
        <v>10.112722995753359</v>
      </c>
      <c r="D105" s="991">
        <v>12.152627518309783</v>
      </c>
      <c r="E105" s="991">
        <v>18.667601887208964</v>
      </c>
      <c r="F105" s="991">
        <v>23.717038834392174</v>
      </c>
      <c r="G105" s="991">
        <v>11.225883377538427</v>
      </c>
      <c r="H105" s="991">
        <v>13.678109215520859</v>
      </c>
      <c r="I105" s="991">
        <v>19.401986682883209</v>
      </c>
      <c r="J105" s="991">
        <v>24.650068841333109</v>
      </c>
      <c r="K105" s="1"/>
      <c r="L105" s="95"/>
      <c r="M105" s="95"/>
      <c r="N105" s="95"/>
      <c r="O105" s="95"/>
      <c r="P105" s="95"/>
      <c r="Q105" s="95"/>
      <c r="R105" s="95"/>
      <c r="S105" s="95"/>
      <c r="T105" s="95"/>
      <c r="U105" s="95"/>
      <c r="V105" s="95"/>
      <c r="W105" s="95"/>
      <c r="X105" s="95"/>
      <c r="Y105" s="95"/>
      <c r="Z105" s="95"/>
    </row>
    <row r="106" spans="1:26" ht="15.75" customHeight="1">
      <c r="A106" s="234"/>
      <c r="B106" s="1"/>
      <c r="C106" s="997"/>
      <c r="D106" s="997"/>
      <c r="E106" s="997"/>
      <c r="F106" s="1"/>
      <c r="G106" s="1"/>
      <c r="H106" s="1"/>
      <c r="I106" s="1"/>
      <c r="J106" s="1"/>
      <c r="K106" s="1"/>
      <c r="L106" s="92"/>
      <c r="M106" s="92"/>
      <c r="N106" s="92"/>
      <c r="O106" s="92"/>
      <c r="P106" s="92"/>
      <c r="Q106" s="92"/>
      <c r="R106" s="92"/>
      <c r="S106" s="92"/>
      <c r="T106" s="92"/>
      <c r="U106" s="92"/>
      <c r="V106" s="92"/>
      <c r="W106" s="92"/>
      <c r="X106" s="92"/>
      <c r="Y106" s="92"/>
      <c r="Z106" s="92"/>
    </row>
    <row r="107" spans="1:26" ht="15.75" customHeight="1">
      <c r="A107" s="234"/>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spans="1:26" ht="15.75" customHeight="1">
      <c r="A108" s="234"/>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spans="1:26" ht="15.75" customHeight="1">
      <c r="A109" s="234"/>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spans="1:26" ht="15.75" customHeight="1">
      <c r="A110" s="234"/>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spans="1:26" ht="15.75" customHeight="1">
      <c r="A111" s="234"/>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spans="1:26" ht="15.75" customHeight="1">
      <c r="A112" s="234"/>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spans="1:26" ht="15.75" customHeight="1">
      <c r="A113" s="234"/>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spans="1:26" ht="15.75" customHeight="1">
      <c r="A114" s="234"/>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spans="1:26" ht="15.75" customHeight="1">
      <c r="A115" s="234"/>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spans="1:26" ht="15.75" customHeight="1">
      <c r="A116" s="234"/>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spans="1:26" ht="15.75" customHeight="1">
      <c r="A117" s="234"/>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spans="1:26" ht="15.75" customHeight="1">
      <c r="A118" s="234"/>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spans="1:26" ht="15.75" customHeight="1">
      <c r="A119" s="234"/>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spans="1:26" ht="15.75" customHeight="1">
      <c r="A120" s="234"/>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spans="1:26" ht="15.75" customHeight="1">
      <c r="A121" s="234"/>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spans="1:26" ht="15.75" customHeight="1">
      <c r="A122" s="234"/>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spans="1:26" ht="15.75" customHeight="1">
      <c r="A123" s="234"/>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spans="1:26" ht="15.75" customHeight="1">
      <c r="A124" s="234"/>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spans="1:26" ht="15.75" customHeight="1">
      <c r="A125" s="234"/>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spans="1:26" ht="15.75" customHeight="1">
      <c r="A126" s="234"/>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spans="1:26" ht="15.75" customHeight="1">
      <c r="A127" s="234"/>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spans="1:26" ht="15.75" customHeight="1">
      <c r="A128" s="234"/>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spans="1:26" ht="15.75" customHeight="1">
      <c r="A129" s="234"/>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spans="1:26" ht="15.75" customHeight="1">
      <c r="A130" s="234"/>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spans="1:26" ht="15.75" customHeight="1">
      <c r="A131" s="234"/>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spans="1:26" ht="15.75" customHeight="1">
      <c r="A132" s="234"/>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spans="1:26" ht="15.75" customHeight="1">
      <c r="A133" s="234"/>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spans="1:26" ht="15.75" customHeight="1">
      <c r="A134" s="234"/>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spans="1:26" ht="15.75" customHeight="1">
      <c r="A135" s="234"/>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spans="1:26" ht="15.75" customHeight="1">
      <c r="A136" s="234"/>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spans="1:26" ht="15.75" customHeight="1">
      <c r="A137" s="234"/>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spans="1:26" ht="15.75" customHeight="1">
      <c r="A138" s="234"/>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spans="1:26" ht="15.75" customHeight="1">
      <c r="A139" s="234"/>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spans="1:26" ht="15.75" customHeight="1">
      <c r="A140" s="234"/>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spans="1:26" ht="15.75" customHeight="1">
      <c r="A141" s="234"/>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spans="1:26" ht="15.75" customHeight="1">
      <c r="A142" s="234"/>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spans="1:26" ht="15.75" customHeight="1">
      <c r="A143" s="234"/>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spans="1:26" ht="15.75" customHeight="1">
      <c r="A144" s="234"/>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spans="1:26" ht="15.75" customHeight="1">
      <c r="A145" s="234"/>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spans="1:26" ht="15.75" customHeight="1">
      <c r="A146" s="234"/>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spans="1:26" ht="15.75" customHeight="1">
      <c r="A147" s="234"/>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spans="1:26" ht="15.75" customHeight="1">
      <c r="A148" s="234"/>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spans="1:26" ht="15.75" customHeight="1">
      <c r="A149" s="234"/>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spans="1:26" ht="15.75" customHeight="1">
      <c r="A150" s="234"/>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spans="1:26" ht="15.75" customHeight="1">
      <c r="A151" s="234"/>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spans="1:26" ht="15.75" customHeight="1">
      <c r="A152" s="234"/>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spans="1:26" ht="15.75" customHeight="1">
      <c r="A153" s="234"/>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spans="1:26" ht="15.75" customHeight="1">
      <c r="A154" s="234"/>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spans="1:26" ht="15.75" customHeight="1">
      <c r="A155" s="234"/>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spans="1:26" ht="15.75" customHeight="1">
      <c r="A156" s="234"/>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spans="1:26" ht="15.75" customHeight="1">
      <c r="A157" s="234"/>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spans="1:26" ht="15.75" customHeight="1">
      <c r="A158" s="234"/>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spans="1:26" ht="15.75" customHeight="1">
      <c r="A159" s="234"/>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spans="1:26" ht="15.75" customHeight="1">
      <c r="A160" s="234"/>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spans="1:26" ht="15.75" customHeight="1">
      <c r="A161" s="234"/>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spans="1:26" ht="15.75" customHeight="1">
      <c r="A162" s="234"/>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spans="1:26" ht="15.75" customHeight="1">
      <c r="A163" s="234"/>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spans="1:26" ht="15.75" customHeight="1">
      <c r="A164" s="234"/>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spans="1:26" ht="15.75" customHeight="1">
      <c r="A165" s="234"/>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spans="1:26" ht="15.75" customHeight="1">
      <c r="A166" s="234"/>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spans="1:26" ht="15.75" customHeight="1">
      <c r="A167" s="234"/>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spans="1:26" ht="15.75" customHeight="1">
      <c r="A168" s="234"/>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spans="1:26" ht="15.75" customHeight="1">
      <c r="A169" s="234"/>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spans="1:26" ht="15.75" customHeight="1">
      <c r="A170" s="234"/>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spans="1:26" ht="15.75" customHeight="1">
      <c r="A171" s="234"/>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spans="1:26" ht="15.75" customHeight="1">
      <c r="A172" s="234"/>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spans="1:26" ht="15.75" customHeight="1">
      <c r="A173" s="234"/>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spans="1:26" ht="15.75" customHeight="1">
      <c r="A174" s="234"/>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spans="1:26" ht="15.75" customHeight="1">
      <c r="A175" s="234"/>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spans="1:26" ht="15.75" customHeight="1">
      <c r="A176" s="234"/>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spans="1:26" ht="15.75" customHeight="1">
      <c r="A177" s="234"/>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spans="1:26" ht="15.75" customHeight="1">
      <c r="A178" s="234"/>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spans="1:26" ht="15.75" customHeight="1">
      <c r="A179" s="234"/>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spans="1:26" ht="15.75" customHeight="1">
      <c r="A180" s="234"/>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spans="1:26" ht="15.75" customHeight="1">
      <c r="A181" s="234"/>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spans="1:26" ht="15.75" customHeight="1">
      <c r="A182" s="234"/>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spans="1:26" ht="15.75" customHeight="1">
      <c r="A183" s="234"/>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spans="1:26" ht="15.75" customHeight="1">
      <c r="A184" s="234"/>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spans="1:26" ht="15.75" customHeight="1">
      <c r="A185" s="234"/>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spans="1:26" ht="15.75" customHeight="1">
      <c r="A186" s="234"/>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spans="1:26" ht="15.75" customHeight="1">
      <c r="A187" s="234"/>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spans="1:26" ht="15.75" customHeight="1">
      <c r="A188" s="234"/>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spans="1:26" ht="15.75" customHeight="1">
      <c r="A189" s="234"/>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spans="1:26" ht="15.75" customHeight="1">
      <c r="A190" s="234"/>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spans="1:26" ht="15.75" customHeight="1">
      <c r="A191" s="234"/>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spans="1:26" ht="15.75" customHeight="1">
      <c r="A192" s="234"/>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spans="1:26" ht="15.75" customHeight="1">
      <c r="A193" s="234"/>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spans="1:26" ht="15.75" customHeight="1">
      <c r="A194" s="234"/>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spans="1:26" ht="15.75" customHeight="1">
      <c r="A195" s="234"/>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spans="1:26" ht="15.75" customHeight="1">
      <c r="A196" s="234"/>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spans="1:26" ht="15.75" customHeight="1">
      <c r="A197" s="234"/>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spans="1:26" ht="15.75" customHeight="1">
      <c r="A198" s="234"/>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spans="1:26" ht="15.75" customHeight="1">
      <c r="A199" s="234"/>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spans="1:26" ht="15.75" customHeight="1">
      <c r="A200" s="234"/>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spans="1:26" ht="15.75" customHeight="1">
      <c r="A201" s="234"/>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spans="1:26" ht="15.75" customHeight="1">
      <c r="A202" s="234"/>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spans="1:26" ht="15.75" customHeight="1">
      <c r="A203" s="234"/>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spans="1:26" ht="15.75" customHeight="1">
      <c r="A204" s="234"/>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spans="1:26" ht="15.75" customHeight="1">
      <c r="A205" s="234"/>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spans="1:26" ht="15.75" customHeight="1">
      <c r="A206" s="234"/>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spans="1:26" ht="15.75" customHeight="1">
      <c r="A207" s="234"/>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spans="1:26" ht="15.75" customHeight="1">
      <c r="A208" s="234"/>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spans="1:26" ht="15.75" customHeight="1">
      <c r="A209" s="234"/>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spans="1:26" ht="15.75" customHeight="1">
      <c r="A210" s="234"/>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spans="1:26" ht="15.75" customHeight="1">
      <c r="A211" s="234"/>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spans="1:26" ht="15.75" customHeight="1">
      <c r="A212" s="234"/>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spans="1:26" ht="15.75" customHeight="1">
      <c r="A213" s="234"/>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spans="1:26" ht="15.75" customHeight="1">
      <c r="A214" s="234"/>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spans="1:26" ht="15.75" customHeight="1">
      <c r="A215" s="234"/>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spans="1:26" ht="15.75" customHeight="1">
      <c r="A216" s="234"/>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spans="1:26" ht="15.75" customHeight="1">
      <c r="A217" s="234"/>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spans="1:26" ht="15.75" customHeight="1">
      <c r="A218" s="234"/>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spans="1:26" ht="15.75" customHeight="1">
      <c r="A219" s="234"/>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spans="1:26" ht="15.75" customHeight="1">
      <c r="A220" s="234"/>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spans="1:26" ht="15.75" customHeight="1">
      <c r="A221" s="234"/>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spans="1:26" ht="15.75" customHeight="1">
      <c r="A222" s="234"/>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spans="1:26" ht="15.75" customHeight="1">
      <c r="A223" s="234"/>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spans="1:26" ht="15.75" customHeight="1">
      <c r="A224" s="234"/>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spans="1:26" ht="15.75" customHeight="1">
      <c r="A225" s="234"/>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spans="1:26" ht="15.75" customHeight="1">
      <c r="A226" s="234"/>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spans="1:26" ht="15.75" customHeight="1">
      <c r="A227" s="234"/>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spans="1:26" ht="15.75" customHeight="1">
      <c r="A228" s="234"/>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spans="1:26" ht="15.75" customHeight="1">
      <c r="A229" s="234"/>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spans="1:26" ht="15.75" customHeight="1">
      <c r="A230" s="234"/>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spans="1:26" ht="15.75" customHeight="1">
      <c r="A231" s="234"/>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spans="1:26" ht="15.75" customHeight="1">
      <c r="A232" s="234"/>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spans="1:26" ht="15.75" customHeight="1">
      <c r="A233" s="234"/>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spans="1:26" ht="15.75" customHeight="1">
      <c r="A234" s="234"/>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spans="1:26" ht="15.75" customHeight="1">
      <c r="A235" s="234"/>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spans="1:26" ht="15.75" customHeight="1">
      <c r="A236" s="234"/>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spans="1:26" ht="15.75" customHeight="1">
      <c r="A237" s="234"/>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spans="1:26" ht="15.75" customHeight="1">
      <c r="A238" s="234"/>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spans="1:26" ht="15.75" customHeight="1">
      <c r="A239" s="234"/>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spans="1:26" ht="15.75" customHeight="1">
      <c r="A240" s="234"/>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spans="1:26" ht="15.75" customHeight="1">
      <c r="A241" s="234"/>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spans="1:26" ht="15.75" customHeight="1">
      <c r="A242" s="234"/>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spans="1:26" ht="15.75" customHeight="1">
      <c r="A243" s="234"/>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spans="1:26" ht="15.75" customHeight="1">
      <c r="A244" s="234"/>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spans="1:26" ht="15.75" customHeight="1">
      <c r="A245" s="234"/>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spans="1:26" ht="15.75" customHeight="1">
      <c r="A246" s="234"/>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spans="1:26" ht="15.75" customHeight="1">
      <c r="A247" s="234"/>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spans="1:26" ht="15.75" customHeight="1">
      <c r="A248" s="234"/>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spans="1:26" ht="15.75" customHeight="1">
      <c r="A249" s="234"/>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spans="1:26" ht="15.75" customHeight="1">
      <c r="A250" s="234"/>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spans="1:26" ht="15.75" customHeight="1">
      <c r="A251" s="234"/>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spans="1:26" ht="15.75" customHeight="1">
      <c r="A252" s="234"/>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spans="1:26" ht="15.75" customHeight="1">
      <c r="A253" s="234"/>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spans="1:26" ht="15.75" customHeight="1">
      <c r="A254" s="234"/>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spans="1:26" ht="15.75" customHeight="1">
      <c r="A255" s="234"/>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spans="1:26" ht="15.75" customHeight="1">
      <c r="A256" s="234"/>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spans="1:26" ht="15.75" customHeight="1">
      <c r="A257" s="234"/>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spans="1:26" ht="15.75" customHeight="1">
      <c r="A258" s="234"/>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spans="1:26" ht="15.75" customHeight="1">
      <c r="A259" s="234"/>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spans="1:26" ht="15.75" customHeight="1">
      <c r="A260" s="234"/>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spans="1:26" ht="15.75" customHeight="1">
      <c r="A261" s="234"/>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spans="1:26" ht="15.75" customHeight="1">
      <c r="A262" s="234"/>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spans="1:26" ht="15.75" customHeight="1">
      <c r="A263" s="234"/>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spans="1:26" ht="15.75" customHeight="1">
      <c r="A264" s="234"/>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spans="1:26" ht="15.75" customHeight="1">
      <c r="A265" s="234"/>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spans="1:26" ht="15.75" customHeight="1">
      <c r="A266" s="234"/>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spans="1:26" ht="15.75" customHeight="1">
      <c r="A267" s="234"/>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spans="1:26" ht="15.75" customHeight="1">
      <c r="A268" s="234"/>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spans="1:26" ht="15.75" customHeight="1">
      <c r="A269" s="234"/>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spans="1:26" ht="15.75" customHeight="1">
      <c r="A270" s="234"/>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spans="1:26" ht="15.75" customHeight="1">
      <c r="A271" s="234"/>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spans="1:26" ht="15.75" customHeight="1">
      <c r="A272" s="234"/>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spans="1:26" ht="15.75" customHeight="1">
      <c r="A273" s="234"/>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spans="1:26" ht="15.75" customHeight="1">
      <c r="A274" s="234"/>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spans="1:26" ht="15.75" customHeight="1">
      <c r="A275" s="234"/>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spans="1:26" ht="15.75" customHeight="1">
      <c r="A276" s="234"/>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spans="1:26" ht="15.75" customHeight="1">
      <c r="A277" s="234"/>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spans="1:26" ht="15.75" customHeight="1">
      <c r="A278" s="234"/>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spans="1:26" ht="15.75" customHeight="1">
      <c r="A279" s="234"/>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spans="1:26" ht="15.75" customHeight="1">
      <c r="A280" s="234"/>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spans="1:26" ht="15.75" customHeight="1">
      <c r="A281" s="234"/>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spans="1:26" ht="15.75" customHeight="1">
      <c r="A282" s="234"/>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spans="1:26" ht="15.75" customHeight="1">
      <c r="A283" s="234"/>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spans="1:26" ht="15.75" customHeight="1">
      <c r="A284" s="234"/>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spans="1:26" ht="15.75" customHeight="1">
      <c r="A285" s="234"/>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spans="1:26" ht="15.75" customHeight="1">
      <c r="A286" s="234"/>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spans="1:26" ht="15.75" customHeight="1">
      <c r="A287" s="234"/>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spans="1:26" ht="15.75" customHeight="1">
      <c r="A288" s="234"/>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spans="1:26" ht="15.75" customHeight="1">
      <c r="A289" s="234"/>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spans="1:26" ht="15.75" customHeight="1">
      <c r="A290" s="234"/>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spans="1:26" ht="15.75" customHeight="1">
      <c r="A291" s="234"/>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spans="1:26" ht="15.75" customHeight="1">
      <c r="A292" s="234"/>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spans="1:26" ht="15.75" customHeight="1">
      <c r="A293" s="234"/>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spans="1:26" ht="15.75" customHeight="1">
      <c r="A294" s="234"/>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spans="1:26" ht="15.75" customHeight="1">
      <c r="A295" s="234"/>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spans="1:26" ht="15.75" customHeight="1">
      <c r="A296" s="234"/>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spans="1:26" ht="15.75" customHeight="1">
      <c r="A297" s="234"/>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spans="1:26" ht="15.75" customHeight="1">
      <c r="A298" s="234"/>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spans="1:26" ht="15.75" customHeight="1">
      <c r="A299" s="234"/>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spans="1:26" ht="15.75" customHeight="1">
      <c r="A300" s="234"/>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spans="1:26" ht="15.75" customHeight="1">
      <c r="A301" s="234"/>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spans="1:26" ht="15.75" customHeight="1">
      <c r="A302" s="234"/>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spans="1:26" ht="15.75" customHeight="1">
      <c r="A303" s="234"/>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spans="1:26" ht="15.75" customHeight="1">
      <c r="A304" s="234"/>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spans="1:26" ht="15.75" customHeight="1">
      <c r="A305" s="234"/>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spans="1:26" ht="15.75" customHeight="1"/>
    <row r="307" spans="1:26" ht="15.75" customHeight="1"/>
    <row r="308" spans="1:26" ht="15.75" customHeight="1"/>
    <row r="309" spans="1:26" ht="15.75" customHeight="1"/>
    <row r="310" spans="1:26" ht="15.75" customHeight="1"/>
    <row r="311" spans="1:26" ht="15.75" customHeight="1"/>
    <row r="312" spans="1:26" ht="15.75" customHeight="1"/>
    <row r="313" spans="1:26" ht="15.75" customHeight="1"/>
    <row r="314" spans="1:26" ht="15.75" customHeight="1"/>
    <row r="315" spans="1:26" ht="15.75" customHeight="1"/>
    <row r="316" spans="1:26" ht="15.75" customHeight="1"/>
    <row r="317" spans="1:26" ht="15.75" customHeight="1"/>
    <row r="318" spans="1:26" ht="15.75" customHeight="1"/>
    <row r="319" spans="1:26" ht="15.75" customHeight="1"/>
    <row r="320" spans="1:26"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9:J105" xr:uid="{00000000-0009-0000-0000-00000D000000}">
    <filterColumn colId="0">
      <filters>
        <filter val="Engineering/Construction"/>
      </filters>
    </filterColumn>
  </autoFilter>
  <mergeCells count="10">
    <mergeCell ref="B7:G7"/>
    <mergeCell ref="C8:F8"/>
    <mergeCell ref="G8:J8"/>
    <mergeCell ref="B1:G1"/>
    <mergeCell ref="B2:G2"/>
    <mergeCell ref="B3:E3"/>
    <mergeCell ref="F3:G3"/>
    <mergeCell ref="B4:G4"/>
    <mergeCell ref="B5:G5"/>
    <mergeCell ref="B6:G6"/>
  </mergeCells>
  <hyperlinks>
    <hyperlink ref="B2" r:id="rId1" xr:uid="{00000000-0004-0000-0D00-000000000000}"/>
    <hyperlink ref="B4" r:id="rId2" xr:uid="{00000000-0004-0000-0D00-000001000000}"/>
    <hyperlink ref="B5" r:id="rId3" xr:uid="{00000000-0004-0000-0D00-000002000000}"/>
    <hyperlink ref="B6" r:id="rId4" xr:uid="{00000000-0004-0000-0D00-000003000000}"/>
    <hyperlink ref="B7" r:id="rId5" xr:uid="{00000000-0004-0000-0D00-000004000000}"/>
  </hyperlinks>
  <pageMargins left="0.75" right="0.75" top="1" bottom="1"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E1000"/>
  <sheetViews>
    <sheetView workbookViewId="0"/>
  </sheetViews>
  <sheetFormatPr baseColWidth="10" defaultColWidth="14.44140625" defaultRowHeight="15" customHeight="1"/>
  <cols>
    <col min="1" max="3" width="10.6640625" customWidth="1"/>
    <col min="4" max="4" width="12.44140625" customWidth="1"/>
    <col min="5" max="6" width="10.6640625" customWidth="1"/>
  </cols>
  <sheetData>
    <row r="1" spans="2:5" ht="14.4">
      <c r="D1" s="349"/>
      <c r="E1" s="54"/>
    </row>
    <row r="2" spans="2:5" ht="14.4">
      <c r="B2" s="66">
        <v>2026</v>
      </c>
      <c r="C2" s="998">
        <v>26729035</v>
      </c>
    </row>
    <row r="3" spans="2:5" ht="14.4">
      <c r="B3" s="1">
        <v>2027</v>
      </c>
      <c r="C3" s="998">
        <v>32101571</v>
      </c>
    </row>
    <row r="4" spans="2:5" ht="14.4">
      <c r="B4" s="1">
        <v>2028</v>
      </c>
      <c r="C4" s="998">
        <v>38553988</v>
      </c>
    </row>
    <row r="5" spans="2:5" ht="14.4">
      <c r="B5" s="1">
        <v>2029</v>
      </c>
      <c r="C5" s="998">
        <v>46303339</v>
      </c>
    </row>
    <row r="6" spans="2:5" ht="14.4">
      <c r="B6" s="1">
        <v>2030</v>
      </c>
      <c r="C6" s="998">
        <v>55610310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Q1000"/>
  <sheetViews>
    <sheetView showGridLines="0" workbookViewId="0"/>
  </sheetViews>
  <sheetFormatPr baseColWidth="10" defaultColWidth="14.44140625" defaultRowHeight="15" customHeight="1" outlineLevelCol="1"/>
  <cols>
    <col min="1" max="4" width="1.6640625" customWidth="1"/>
    <col min="5" max="5" width="4" customWidth="1"/>
    <col min="6" max="6" width="3.33203125" customWidth="1"/>
    <col min="7" max="7" width="7.6640625" customWidth="1"/>
    <col min="8" max="8" width="11.44140625" customWidth="1"/>
    <col min="9" max="9" width="20" customWidth="1"/>
    <col min="10" max="10" width="15.33203125" customWidth="1"/>
    <col min="11" max="11" width="17" customWidth="1"/>
    <col min="12" max="12" width="4.44140625" customWidth="1"/>
    <col min="13" max="13" width="17.44140625" customWidth="1"/>
    <col min="14" max="14" width="15.33203125" hidden="1" customWidth="1" outlineLevel="1"/>
    <col min="15" max="15" width="15.6640625" hidden="1" customWidth="1" outlineLevel="1"/>
    <col min="16" max="20" width="18.44140625" customWidth="1"/>
    <col min="21" max="21" width="20.109375" customWidth="1"/>
    <col min="22" max="22" width="13.6640625" customWidth="1"/>
    <col min="23" max="23" width="5.6640625" customWidth="1"/>
    <col min="24" max="25" width="11.44140625" customWidth="1"/>
    <col min="26" max="26" width="2.33203125" customWidth="1"/>
    <col min="27" max="27" width="18.44140625" hidden="1" customWidth="1"/>
    <col min="28" max="28" width="18.33203125" hidden="1" customWidth="1"/>
    <col min="29" max="30" width="18.44140625" hidden="1" customWidth="1"/>
    <col min="31" max="31" width="16.6640625" hidden="1" customWidth="1"/>
    <col min="32" max="32" width="18.33203125" hidden="1" customWidth="1"/>
    <col min="33" max="33" width="1.6640625" hidden="1" customWidth="1"/>
    <col min="34" max="37" width="11.44140625" hidden="1" customWidth="1"/>
    <col min="38" max="38" width="7.6640625" hidden="1" customWidth="1"/>
    <col min="39" max="39" width="12.6640625" customWidth="1"/>
    <col min="40" max="40" width="22.44140625" customWidth="1"/>
    <col min="41" max="41" width="4.44140625" customWidth="1"/>
    <col min="42" max="42" width="17.44140625" customWidth="1"/>
    <col min="43" max="43" width="20.33203125" customWidth="1"/>
    <col min="44" max="44" width="28" customWidth="1"/>
    <col min="45" max="45" width="23.33203125" customWidth="1"/>
    <col min="46" max="46" width="23.44140625" customWidth="1"/>
    <col min="47" max="47" width="19" customWidth="1"/>
    <col min="48" max="48" width="3" customWidth="1"/>
    <col min="49" max="49" width="21.44140625" customWidth="1"/>
    <col min="50" max="50" width="14.109375" customWidth="1"/>
    <col min="51" max="51" width="18.6640625" customWidth="1"/>
    <col min="52" max="52" width="11.44140625" customWidth="1"/>
    <col min="53" max="53" width="5.33203125" customWidth="1"/>
    <col min="54" max="54" width="4" customWidth="1"/>
    <col min="55" max="56" width="11.44140625" customWidth="1"/>
    <col min="57" max="57" width="2.6640625" customWidth="1"/>
    <col min="58" max="58" width="15" customWidth="1"/>
    <col min="59" max="59" width="14" customWidth="1"/>
    <col min="60" max="60" width="13.44140625" customWidth="1"/>
    <col min="61" max="62" width="16.6640625" customWidth="1"/>
    <col min="63" max="63" width="16.44140625" customWidth="1"/>
    <col min="64" max="64" width="2.33203125" customWidth="1"/>
    <col min="65" max="69" width="11.44140625" customWidth="1"/>
  </cols>
  <sheetData>
    <row r="1" spans="1:69" ht="14.25" customHeight="1">
      <c r="A1" s="128"/>
      <c r="B1" s="128"/>
      <c r="C1" s="128"/>
      <c r="D1" s="128"/>
      <c r="E1" s="128"/>
      <c r="F1" s="128"/>
      <c r="G1" s="128"/>
      <c r="H1" s="128"/>
      <c r="I1" s="128"/>
      <c r="J1" s="128"/>
      <c r="K1" s="128"/>
      <c r="L1" s="128"/>
      <c r="M1" s="128"/>
      <c r="N1" s="128"/>
      <c r="O1" s="128"/>
      <c r="P1" s="128"/>
      <c r="Q1" s="128"/>
      <c r="R1" s="128"/>
      <c r="S1" s="128"/>
      <c r="T1" s="128"/>
      <c r="U1" s="128"/>
      <c r="V1" s="128"/>
      <c r="W1" s="128"/>
      <c r="X1" s="51"/>
      <c r="Y1" s="128"/>
      <c r="Z1" s="128"/>
      <c r="AA1" s="128"/>
      <c r="AB1" s="128"/>
      <c r="AC1" s="128"/>
      <c r="AD1" s="128"/>
      <c r="AE1" s="128"/>
      <c r="AF1" s="128"/>
      <c r="AG1" s="128"/>
      <c r="AH1" s="128"/>
      <c r="AI1" s="128"/>
      <c r="AJ1" s="128"/>
      <c r="AK1" s="128"/>
      <c r="AL1" s="128"/>
      <c r="AM1" s="128"/>
      <c r="AN1" s="128"/>
      <c r="AO1" s="128"/>
      <c r="AP1" s="128"/>
      <c r="AQ1" s="128"/>
      <c r="AR1" s="128"/>
      <c r="AS1" s="128"/>
      <c r="AT1" s="128"/>
      <c r="AU1" s="128"/>
      <c r="AV1" s="128"/>
      <c r="AW1" s="128"/>
      <c r="AX1" s="128"/>
      <c r="AY1" s="128"/>
      <c r="AZ1" s="128"/>
      <c r="BA1" s="128"/>
      <c r="BB1" s="128"/>
      <c r="BC1" s="128"/>
      <c r="BD1" s="128"/>
      <c r="BE1" s="128"/>
      <c r="BF1" s="128"/>
      <c r="BG1" s="128"/>
      <c r="BH1" s="128"/>
      <c r="BI1" s="128"/>
      <c r="BJ1" s="128"/>
      <c r="BK1" s="128"/>
      <c r="BL1" s="128"/>
      <c r="BM1" s="128"/>
      <c r="BN1" s="128"/>
      <c r="BO1" s="128"/>
      <c r="BP1" s="128"/>
      <c r="BQ1" s="128"/>
    </row>
    <row r="2" spans="1:69" ht="14.25" customHeight="1">
      <c r="A2" s="128"/>
      <c r="B2" s="128"/>
      <c r="C2" s="128"/>
      <c r="D2" s="128"/>
      <c r="E2" s="128"/>
      <c r="F2" s="522"/>
      <c r="G2" s="836"/>
      <c r="H2" s="836"/>
      <c r="I2" s="836"/>
      <c r="J2" s="837"/>
      <c r="K2" s="836"/>
      <c r="L2" s="836"/>
      <c r="M2" s="836"/>
      <c r="N2" s="836"/>
      <c r="O2" s="836"/>
      <c r="P2" s="836"/>
      <c r="Q2" s="836"/>
      <c r="R2" s="836"/>
      <c r="S2" s="836"/>
      <c r="T2" s="836"/>
      <c r="U2" s="836"/>
      <c r="V2" s="836"/>
      <c r="W2" s="838"/>
      <c r="X2" s="839" t="s">
        <v>469</v>
      </c>
      <c r="Y2" s="840"/>
      <c r="Z2" s="836"/>
      <c r="AA2" s="836"/>
      <c r="AB2" s="836"/>
      <c r="AC2" s="836"/>
      <c r="AD2" s="836"/>
      <c r="AE2" s="836"/>
      <c r="AF2" s="836"/>
      <c r="AG2" s="841"/>
      <c r="AH2" s="842"/>
      <c r="AI2" s="842"/>
      <c r="AJ2" s="842"/>
      <c r="AK2" s="842"/>
      <c r="AL2" s="842"/>
      <c r="AM2" s="836"/>
      <c r="AN2" s="836"/>
      <c r="AO2" s="836"/>
      <c r="AP2" s="836"/>
      <c r="AQ2" s="836"/>
      <c r="AR2" s="836"/>
      <c r="AS2" s="836"/>
      <c r="AT2" s="836"/>
      <c r="AU2" s="836"/>
      <c r="AV2" s="841"/>
      <c r="AW2" s="842"/>
      <c r="AX2" s="842"/>
      <c r="AY2" s="842"/>
      <c r="AZ2" s="842"/>
      <c r="BA2" s="842"/>
      <c r="BB2" s="836"/>
      <c r="BC2" s="836"/>
      <c r="BD2" s="836"/>
      <c r="BE2" s="836"/>
      <c r="BF2" s="836"/>
      <c r="BG2" s="836"/>
      <c r="BH2" s="836"/>
      <c r="BI2" s="836"/>
      <c r="BJ2" s="836"/>
      <c r="BK2" s="836"/>
      <c r="BL2" s="841"/>
      <c r="BM2" s="842"/>
      <c r="BN2" s="842"/>
      <c r="BO2" s="842"/>
      <c r="BP2" s="842"/>
      <c r="BQ2" s="843"/>
    </row>
    <row r="3" spans="1:69" ht="17.25" customHeight="1">
      <c r="A3" s="128"/>
      <c r="B3" s="128"/>
      <c r="C3" s="128"/>
      <c r="D3" s="128"/>
      <c r="E3" s="128"/>
      <c r="F3" s="844"/>
      <c r="G3" s="845"/>
      <c r="H3" s="845"/>
      <c r="I3" s="845"/>
      <c r="K3" s="846"/>
      <c r="L3" s="846"/>
      <c r="M3" s="846"/>
      <c r="N3" s="846"/>
      <c r="O3" s="846"/>
      <c r="P3" s="1450" t="s">
        <v>536</v>
      </c>
      <c r="Q3" s="1334"/>
      <c r="R3" s="1334"/>
      <c r="S3" s="1334"/>
      <c r="T3" s="1334"/>
      <c r="U3" s="1334"/>
      <c r="V3" s="846"/>
      <c r="W3" s="847"/>
      <c r="X3" s="848">
        <f>'Expected Growth25'!E51</f>
        <v>5.8099999999999999E-2</v>
      </c>
      <c r="Y3" s="849"/>
      <c r="Z3" s="846"/>
      <c r="AA3" s="846"/>
      <c r="AB3" s="846"/>
      <c r="AC3" s="846" t="s">
        <v>471</v>
      </c>
      <c r="AD3" s="846"/>
      <c r="AE3" s="846"/>
      <c r="AF3" s="846"/>
      <c r="AG3" s="235"/>
      <c r="AH3" s="128"/>
      <c r="AI3" s="128"/>
      <c r="AJ3" s="128"/>
      <c r="AK3" s="128"/>
      <c r="AL3" s="128"/>
      <c r="AM3" s="846"/>
      <c r="AN3" s="846"/>
      <c r="AO3" s="846"/>
      <c r="AP3" s="846"/>
      <c r="AQ3" s="846"/>
      <c r="AR3" s="846"/>
      <c r="AS3" s="846"/>
      <c r="AT3" s="846"/>
      <c r="AU3" s="846"/>
      <c r="AV3" s="235"/>
      <c r="AW3" s="128"/>
      <c r="AX3" s="128"/>
      <c r="AY3" s="128"/>
      <c r="AZ3" s="128"/>
      <c r="BA3" s="128"/>
      <c r="BB3" s="846"/>
      <c r="BC3" s="846"/>
      <c r="BD3" s="846"/>
      <c r="BE3" s="846"/>
      <c r="BF3" s="846"/>
      <c r="BG3" s="846" t="s">
        <v>472</v>
      </c>
      <c r="BH3" s="846"/>
      <c r="BI3" s="846"/>
      <c r="BJ3" s="846"/>
      <c r="BK3" s="846"/>
      <c r="BL3" s="235"/>
      <c r="BM3" s="128"/>
      <c r="BN3" s="128"/>
      <c r="BO3" s="128"/>
      <c r="BP3" s="128"/>
      <c r="BQ3" s="850"/>
    </row>
    <row r="4" spans="1:69" ht="21" customHeight="1">
      <c r="A4" s="128"/>
      <c r="B4" s="128"/>
      <c r="C4" s="128"/>
      <c r="D4" s="128"/>
      <c r="E4" s="128"/>
      <c r="F4" s="342"/>
      <c r="G4" s="851"/>
      <c r="H4" s="851"/>
      <c r="I4" s="851"/>
      <c r="J4" s="852"/>
      <c r="K4" s="1"/>
      <c r="L4" s="1"/>
      <c r="M4" s="1"/>
      <c r="N4" s="1"/>
      <c r="O4" s="1463" t="s">
        <v>550</v>
      </c>
      <c r="P4" s="1345"/>
      <c r="Q4" s="1345"/>
      <c r="R4" s="1345"/>
      <c r="S4" s="1345"/>
      <c r="T4" s="1345"/>
      <c r="U4" s="1345"/>
      <c r="V4" s="853"/>
      <c r="W4" s="128"/>
      <c r="X4" s="128"/>
      <c r="Y4" s="128"/>
      <c r="Z4" s="853"/>
      <c r="AA4" s="853"/>
      <c r="AB4" s="854"/>
      <c r="AC4" s="854"/>
      <c r="AD4" s="854"/>
      <c r="AE4" s="854"/>
      <c r="AF4" s="854"/>
      <c r="AG4" s="235"/>
      <c r="AH4" s="128"/>
      <c r="AI4" s="128"/>
      <c r="AJ4" s="128"/>
      <c r="AK4" s="128"/>
      <c r="AL4" s="128"/>
      <c r="AM4" s="853"/>
      <c r="AN4" s="853"/>
      <c r="AO4" s="853"/>
      <c r="AP4" s="1458" t="s">
        <v>550</v>
      </c>
      <c r="AQ4" s="1360"/>
      <c r="AR4" s="1360"/>
      <c r="AS4" s="1360"/>
      <c r="AT4" s="1360"/>
      <c r="AU4" s="1361"/>
      <c r="AV4" s="235"/>
      <c r="AW4" s="128"/>
      <c r="AX4" s="128"/>
      <c r="AY4" s="128"/>
      <c r="AZ4" s="128"/>
      <c r="BA4" s="128"/>
      <c r="BB4" s="853"/>
      <c r="BC4" s="853"/>
      <c r="BD4" s="853"/>
      <c r="BE4" s="853"/>
      <c r="BF4" s="853"/>
      <c r="BG4" s="853"/>
      <c r="BH4" s="853"/>
      <c r="BI4" s="853"/>
      <c r="BJ4" s="853"/>
      <c r="BK4" s="853"/>
      <c r="BL4" s="235"/>
      <c r="BM4" s="128"/>
      <c r="BN4" s="128"/>
      <c r="BO4" s="128"/>
      <c r="BP4" s="128"/>
      <c r="BQ4" s="850"/>
    </row>
    <row r="5" spans="1:69" ht="17.25" customHeight="1">
      <c r="A5" s="128"/>
      <c r="B5" s="128"/>
      <c r="C5" s="128"/>
      <c r="D5" s="128"/>
      <c r="E5" s="128"/>
      <c r="F5" s="342"/>
      <c r="G5" s="851"/>
      <c r="H5" s="851"/>
      <c r="I5" s="851"/>
      <c r="J5" s="128"/>
      <c r="K5" s="128"/>
      <c r="L5" s="851"/>
      <c r="M5" s="1459" t="s">
        <v>474</v>
      </c>
      <c r="N5" s="1334"/>
      <c r="O5" s="1334"/>
      <c r="P5" s="1334"/>
      <c r="Q5" s="1334"/>
      <c r="R5" s="1334"/>
      <c r="S5" s="1334"/>
      <c r="T5" s="1334"/>
      <c r="U5" s="1334"/>
      <c r="V5" s="851"/>
      <c r="W5" s="838"/>
      <c r="X5" s="839" t="s">
        <v>482</v>
      </c>
      <c r="Y5" s="840"/>
      <c r="Z5" s="851"/>
      <c r="AA5" s="1455" t="s">
        <v>476</v>
      </c>
      <c r="AB5" s="1347"/>
      <c r="AC5" s="1347"/>
      <c r="AD5" s="1347"/>
      <c r="AE5" s="1347"/>
      <c r="AF5" s="1348"/>
      <c r="AG5" s="235"/>
      <c r="AH5" s="128"/>
      <c r="AI5" s="128"/>
      <c r="AJ5" s="128"/>
      <c r="AK5" s="128"/>
      <c r="AL5" s="128"/>
      <c r="AM5" s="851"/>
      <c r="AN5" s="851"/>
      <c r="AO5" s="851"/>
      <c r="AP5" s="1460" t="s">
        <v>476</v>
      </c>
      <c r="AQ5" s="1350"/>
      <c r="AR5" s="1350"/>
      <c r="AS5" s="1350"/>
      <c r="AT5" s="1350"/>
      <c r="AU5" s="972" t="s">
        <v>225</v>
      </c>
      <c r="AV5" s="235"/>
      <c r="AW5" s="128"/>
      <c r="AX5" s="128"/>
      <c r="AY5" s="128"/>
      <c r="AZ5" s="128"/>
      <c r="BA5" s="128"/>
      <c r="BB5" s="856"/>
      <c r="BC5" s="851"/>
      <c r="BD5" s="851"/>
      <c r="BE5" s="851"/>
      <c r="BF5" s="1455" t="s">
        <v>223</v>
      </c>
      <c r="BG5" s="1347"/>
      <c r="BH5" s="1347"/>
      <c r="BI5" s="1347"/>
      <c r="BJ5" s="1347"/>
      <c r="BK5" s="1348"/>
      <c r="BL5" s="235"/>
      <c r="BM5" s="128"/>
      <c r="BN5" s="128"/>
      <c r="BO5" s="128"/>
      <c r="BP5" s="128"/>
      <c r="BQ5" s="850"/>
    </row>
    <row r="6" spans="1:69" ht="14.25" customHeight="1">
      <c r="A6" s="128"/>
      <c r="B6" s="128"/>
      <c r="C6" s="128"/>
      <c r="D6" s="128"/>
      <c r="E6" s="128"/>
      <c r="F6" s="342"/>
      <c r="G6" s="851"/>
      <c r="H6" s="851"/>
      <c r="I6" s="851"/>
      <c r="J6" s="128"/>
      <c r="K6" s="128"/>
      <c r="L6" s="851"/>
      <c r="M6" s="777">
        <v>1</v>
      </c>
      <c r="N6" s="777">
        <v>1</v>
      </c>
      <c r="O6" s="719">
        <v>1</v>
      </c>
      <c r="P6" s="719">
        <v>1</v>
      </c>
      <c r="Q6" s="719">
        <v>2</v>
      </c>
      <c r="R6" s="719">
        <v>3</v>
      </c>
      <c r="S6" s="719">
        <v>4</v>
      </c>
      <c r="T6" s="719">
        <v>5</v>
      </c>
      <c r="U6" s="719">
        <v>6</v>
      </c>
      <c r="V6" s="777"/>
      <c r="W6" s="847"/>
      <c r="X6" s="857">
        <f>+'Expected Growth25'!D51</f>
        <v>1.5699999999999999E-2</v>
      </c>
      <c r="Y6" s="858"/>
      <c r="Z6" s="777"/>
      <c r="AA6" s="859">
        <v>1</v>
      </c>
      <c r="AB6" s="777">
        <v>2</v>
      </c>
      <c r="AC6" s="777">
        <v>3</v>
      </c>
      <c r="AD6" s="777">
        <v>4</v>
      </c>
      <c r="AE6" s="777">
        <v>5</v>
      </c>
      <c r="AF6" s="860">
        <v>5</v>
      </c>
      <c r="AG6" s="235"/>
      <c r="AH6" s="128"/>
      <c r="AI6" s="128"/>
      <c r="AJ6" s="128"/>
      <c r="AK6" s="128"/>
      <c r="AL6" s="128"/>
      <c r="AM6" s="777">
        <v>0</v>
      </c>
      <c r="AN6" s="777"/>
      <c r="AO6" s="777"/>
      <c r="AP6" s="861">
        <v>1</v>
      </c>
      <c r="AQ6" s="862">
        <v>2</v>
      </c>
      <c r="AR6" s="862">
        <v>3</v>
      </c>
      <c r="AS6" s="862">
        <v>4</v>
      </c>
      <c r="AT6" s="862">
        <v>5</v>
      </c>
      <c r="AU6" s="863">
        <v>5</v>
      </c>
      <c r="AV6" s="235"/>
      <c r="AW6" s="128"/>
      <c r="AX6" s="128"/>
      <c r="AY6" s="128"/>
      <c r="AZ6" s="128"/>
      <c r="BA6" s="128"/>
      <c r="BB6" s="864"/>
      <c r="BC6" s="777"/>
      <c r="BD6" s="777"/>
      <c r="BE6" s="777"/>
      <c r="BF6" s="859">
        <v>1</v>
      </c>
      <c r="BG6" s="777">
        <v>2</v>
      </c>
      <c r="BH6" s="777">
        <v>3</v>
      </c>
      <c r="BI6" s="777">
        <v>4</v>
      </c>
      <c r="BJ6" s="777">
        <v>5</v>
      </c>
      <c r="BK6" s="777">
        <v>5</v>
      </c>
      <c r="BL6" s="235"/>
      <c r="BM6" s="865" t="s">
        <v>477</v>
      </c>
      <c r="BN6" s="866"/>
      <c r="BO6" s="866"/>
      <c r="BP6" s="867"/>
      <c r="BQ6" s="850"/>
    </row>
    <row r="7" spans="1:69" ht="14.25" customHeight="1">
      <c r="A7" s="128"/>
      <c r="B7" s="128"/>
      <c r="C7" s="128"/>
      <c r="D7" s="128"/>
      <c r="E7" s="128"/>
      <c r="F7" s="342"/>
      <c r="G7" s="851"/>
      <c r="H7" s="851"/>
      <c r="I7" s="851"/>
      <c r="J7" s="128"/>
      <c r="K7" s="128"/>
      <c r="L7" s="851"/>
      <c r="M7" s="777">
        <v>2014</v>
      </c>
      <c r="N7" s="777">
        <v>2015</v>
      </c>
      <c r="O7" s="719">
        <v>2018</v>
      </c>
      <c r="P7" s="719">
        <v>2019</v>
      </c>
      <c r="Q7" s="719">
        <f>+P7+1</f>
        <v>2020</v>
      </c>
      <c r="R7" s="719">
        <f>+Q7+1</f>
        <v>2021</v>
      </c>
      <c r="S7" s="719">
        <v>2022</v>
      </c>
      <c r="T7" s="719">
        <v>2023</v>
      </c>
      <c r="U7" s="719">
        <v>2024</v>
      </c>
      <c r="V7" s="719"/>
      <c r="W7" s="777"/>
      <c r="X7" s="777"/>
      <c r="Y7" s="777"/>
      <c r="Z7" s="777"/>
      <c r="AA7" s="777"/>
      <c r="AB7" s="777"/>
      <c r="AC7" s="777"/>
      <c r="AD7" s="777"/>
      <c r="AE7" s="777"/>
      <c r="AF7" s="777"/>
      <c r="AG7" s="777"/>
      <c r="AH7" s="777"/>
      <c r="AI7" s="777"/>
      <c r="AJ7" s="777"/>
      <c r="AK7" s="777"/>
      <c r="AL7" s="777"/>
      <c r="AM7" s="777"/>
      <c r="AN7" s="777"/>
      <c r="AO7" s="777"/>
      <c r="AP7" s="868">
        <v>2025</v>
      </c>
      <c r="AQ7" s="869">
        <f>+AP7+1</f>
        <v>2026</v>
      </c>
      <c r="AR7" s="869">
        <f>+AQ7+1</f>
        <v>2027</v>
      </c>
      <c r="AS7" s="869">
        <f>+AR7+1</f>
        <v>2028</v>
      </c>
      <c r="AT7" s="869">
        <f>+AS7+1</f>
        <v>2029</v>
      </c>
      <c r="AU7" s="870">
        <f>+AT7</f>
        <v>2029</v>
      </c>
      <c r="AV7" s="235"/>
      <c r="AW7" s="134" t="s">
        <v>477</v>
      </c>
      <c r="AX7" s="871"/>
      <c r="AY7" s="871"/>
      <c r="AZ7" s="872"/>
      <c r="BA7" s="128"/>
      <c r="BB7" s="864"/>
      <c r="BC7" s="777"/>
      <c r="BD7" s="777"/>
      <c r="BE7" s="777"/>
      <c r="BF7" s="873">
        <f>+AA7</f>
        <v>0</v>
      </c>
      <c r="BG7" s="874">
        <f>+AB7</f>
        <v>0</v>
      </c>
      <c r="BH7" s="874">
        <f>+AC7</f>
        <v>0</v>
      </c>
      <c r="BI7" s="874">
        <f>+AD7</f>
        <v>0</v>
      </c>
      <c r="BJ7" s="874">
        <f>+AE7</f>
        <v>0</v>
      </c>
      <c r="BK7" s="875">
        <f>+BJ7</f>
        <v>0</v>
      </c>
      <c r="BL7" s="235"/>
      <c r="BM7" s="876">
        <v>0.04</v>
      </c>
      <c r="BN7" s="877"/>
      <c r="BO7" s="877"/>
      <c r="BP7" s="878"/>
      <c r="BQ7" s="850"/>
    </row>
    <row r="8" spans="1:69" ht="14.25" customHeight="1">
      <c r="A8" s="128"/>
      <c r="B8" s="128"/>
      <c r="C8" s="128"/>
      <c r="D8" s="128"/>
      <c r="E8" s="128"/>
      <c r="F8" s="342"/>
      <c r="G8" s="851"/>
      <c r="H8" s="851"/>
      <c r="I8" s="851"/>
      <c r="J8" s="1448"/>
      <c r="K8" s="1334"/>
      <c r="L8" s="851"/>
      <c r="M8" s="851"/>
      <c r="N8" s="880"/>
      <c r="O8" s="881"/>
      <c r="P8" s="881" t="e">
        <f>+P11/O11-1</f>
        <v>#DIV/0!</v>
      </c>
      <c r="Q8" s="881" t="e">
        <f>+Q11/P11-1</f>
        <v>#DIV/0!</v>
      </c>
      <c r="R8" s="881" t="e">
        <f>+R11/Q11-1</f>
        <v>#DIV/0!</v>
      </c>
      <c r="S8" s="881" t="e">
        <f>+S11/R11-1</f>
        <v>#DIV/0!</v>
      </c>
      <c r="T8" s="881" t="e">
        <f>+T11/S11-1</f>
        <v>#DIV/0!</v>
      </c>
      <c r="U8" s="881" t="e">
        <f>+U11/T11-1</f>
        <v>#DIV/0!</v>
      </c>
      <c r="V8" s="882"/>
      <c r="W8" s="777"/>
      <c r="X8" s="777"/>
      <c r="Y8" s="777"/>
      <c r="Z8" s="777"/>
      <c r="AA8" s="777"/>
      <c r="AB8" s="777"/>
      <c r="AC8" s="777"/>
      <c r="AD8" s="777"/>
      <c r="AE8" s="777"/>
      <c r="AF8" s="777"/>
      <c r="AG8" s="777"/>
      <c r="AH8" s="777"/>
      <c r="AI8" s="777"/>
      <c r="AJ8" s="777"/>
      <c r="AK8" s="777"/>
      <c r="AL8" s="777"/>
      <c r="AM8" s="777"/>
      <c r="AN8" s="777"/>
      <c r="AO8" s="777"/>
      <c r="AP8" s="777"/>
      <c r="AQ8" s="777"/>
      <c r="AR8" s="777"/>
      <c r="AS8" s="777"/>
      <c r="AT8" s="777"/>
      <c r="AU8" s="777"/>
      <c r="AV8" s="235"/>
      <c r="AW8" s="162"/>
      <c r="AX8" s="1"/>
      <c r="AY8" s="1"/>
      <c r="AZ8" s="883"/>
      <c r="BA8" s="128"/>
      <c r="BB8" s="864"/>
      <c r="BC8" s="777"/>
      <c r="BD8" s="777"/>
      <c r="BE8" s="777"/>
      <c r="BF8" s="884">
        <f>+AP8</f>
        <v>0</v>
      </c>
      <c r="BG8" s="885">
        <f>+BF8*(1+BG9)</f>
        <v>0</v>
      </c>
      <c r="BH8" s="885">
        <f>+BG8*(1+BH9)</f>
        <v>0</v>
      </c>
      <c r="BI8" s="885">
        <f>+BH8*(1+BI9)</f>
        <v>0</v>
      </c>
      <c r="BJ8" s="885">
        <f>+BI8*(1+BJ9)</f>
        <v>0</v>
      </c>
      <c r="BK8" s="885">
        <f>+BJ8*(1+BK9)</f>
        <v>0</v>
      </c>
      <c r="BL8" s="235"/>
      <c r="BM8" s="886"/>
      <c r="BN8" s="887"/>
      <c r="BO8" s="887"/>
      <c r="BP8" s="887"/>
      <c r="BQ8" s="850"/>
    </row>
    <row r="9" spans="1:69" ht="15.75" customHeight="1">
      <c r="A9" s="128"/>
      <c r="B9" s="128"/>
      <c r="C9" s="128"/>
      <c r="D9" s="128"/>
      <c r="E9" s="128"/>
      <c r="F9" s="342"/>
      <c r="G9" s="851"/>
      <c r="H9" s="851"/>
      <c r="I9" s="851"/>
      <c r="J9" s="1448"/>
      <c r="K9" s="1334"/>
      <c r="L9" s="888"/>
      <c r="M9" s="888"/>
      <c r="N9" s="888"/>
      <c r="O9" s="888"/>
      <c r="P9" s="888"/>
      <c r="Q9" s="1448"/>
      <c r="R9" s="1334"/>
      <c r="S9" s="889"/>
      <c r="T9" s="889"/>
      <c r="U9" s="889"/>
      <c r="V9" s="890"/>
      <c r="W9" s="851"/>
      <c r="X9" s="851"/>
      <c r="Y9" s="851"/>
      <c r="Z9" s="851"/>
      <c r="AA9" s="851"/>
      <c r="AB9" s="851"/>
      <c r="AC9" s="851"/>
      <c r="AD9" s="851"/>
      <c r="AE9" s="851"/>
      <c r="AF9" s="851"/>
      <c r="AG9" s="236"/>
      <c r="AH9" s="128"/>
      <c r="AI9" s="128"/>
      <c r="AJ9" s="128"/>
      <c r="AK9" s="128"/>
      <c r="AL9" s="128"/>
      <c r="AM9" s="777"/>
      <c r="AN9" s="777"/>
      <c r="AO9" s="777"/>
      <c r="AP9" s="777"/>
      <c r="AQ9" s="777"/>
      <c r="AR9" s="777"/>
      <c r="AS9" s="777"/>
      <c r="AT9" s="777"/>
      <c r="AU9" s="777"/>
      <c r="AV9" s="235"/>
      <c r="AW9" s="891">
        <v>3.5900000000000001E-2</v>
      </c>
      <c r="AX9" s="892"/>
      <c r="AY9" s="892"/>
      <c r="AZ9" s="893"/>
      <c r="BA9" s="128"/>
      <c r="BB9" s="856"/>
      <c r="BC9" s="1426" t="s">
        <v>1018</v>
      </c>
      <c r="BD9" s="1361"/>
      <c r="BE9" s="851"/>
      <c r="BF9" s="894">
        <v>0.18329999999999999</v>
      </c>
      <c r="BG9" s="894">
        <f>0.1825*(BG6)^(-0.253)</f>
        <v>0.15314480877194384</v>
      </c>
      <c r="BH9" s="894">
        <f>0.1825*(BH6)^(-0.253)</f>
        <v>0.13821373121915684</v>
      </c>
      <c r="BI9" s="894">
        <f>0.1825*(BI6)^(-0.253)</f>
        <v>0.12851141070572736</v>
      </c>
      <c r="BJ9" s="894">
        <f>0.1825*(BJ6)^(-0.253)</f>
        <v>0.12145725390635112</v>
      </c>
      <c r="BK9" s="894">
        <f>0.1825*(BK6)^(-0.253)</f>
        <v>0.12145725390635112</v>
      </c>
      <c r="BL9" s="235"/>
      <c r="BM9" s="35" t="s">
        <v>478</v>
      </c>
      <c r="BN9" s="128"/>
      <c r="BO9" s="128"/>
      <c r="BP9" s="128"/>
      <c r="BQ9" s="850"/>
    </row>
    <row r="10" spans="1:69" ht="6" customHeight="1">
      <c r="A10" s="128"/>
      <c r="B10" s="128"/>
      <c r="C10" s="128"/>
      <c r="D10" s="128"/>
      <c r="E10" s="128"/>
      <c r="F10" s="342"/>
      <c r="G10" s="851"/>
      <c r="H10" s="851"/>
      <c r="I10" s="851"/>
      <c r="J10" s="1448"/>
      <c r="K10" s="1334"/>
      <c r="L10" s="851"/>
      <c r="M10" s="851"/>
      <c r="N10" s="895"/>
      <c r="O10" s="896"/>
      <c r="P10" s="896"/>
      <c r="Q10" s="896"/>
      <c r="R10" s="896"/>
      <c r="S10" s="896"/>
      <c r="T10" s="896"/>
      <c r="U10" s="896"/>
      <c r="V10" s="895"/>
      <c r="W10" s="856"/>
      <c r="X10" s="851"/>
      <c r="Y10" s="851"/>
      <c r="Z10" s="851"/>
      <c r="AA10" s="851"/>
      <c r="AB10" s="851"/>
      <c r="AC10" s="851"/>
      <c r="AD10" s="851"/>
      <c r="AE10" s="851"/>
      <c r="AF10" s="851"/>
      <c r="AG10" s="236"/>
      <c r="AH10" s="128"/>
      <c r="AI10" s="128"/>
      <c r="AJ10" s="128"/>
      <c r="AK10" s="128"/>
      <c r="AL10" s="128"/>
      <c r="AM10" s="851"/>
      <c r="AN10" s="851"/>
      <c r="AO10" s="851"/>
      <c r="AP10" s="851"/>
      <c r="AQ10" s="851"/>
      <c r="AR10" s="851"/>
      <c r="AS10" s="851"/>
      <c r="AT10" s="851"/>
      <c r="AU10" s="851"/>
      <c r="AV10" s="235"/>
      <c r="AW10" s="897"/>
      <c r="AX10" s="887"/>
      <c r="AY10" s="887"/>
      <c r="AZ10" s="887"/>
      <c r="BA10" s="128"/>
      <c r="BB10" s="856"/>
      <c r="BC10" s="851"/>
      <c r="BD10" s="851"/>
      <c r="BE10" s="851"/>
      <c r="BF10" s="851"/>
      <c r="BG10" s="851"/>
      <c r="BH10" s="851"/>
      <c r="BI10" s="851"/>
      <c r="BJ10" s="851"/>
      <c r="BK10" s="851"/>
      <c r="BL10" s="235"/>
      <c r="BM10" s="128"/>
      <c r="BN10" s="128"/>
      <c r="BO10" s="128"/>
      <c r="BP10" s="128"/>
      <c r="BQ10" s="850"/>
    </row>
    <row r="11" spans="1:69" ht="14.25" customHeight="1">
      <c r="A11" s="128"/>
      <c r="B11" s="128"/>
      <c r="C11" s="128"/>
      <c r="D11" s="128"/>
      <c r="E11" s="128"/>
      <c r="F11" s="342"/>
      <c r="G11" s="851"/>
      <c r="H11" s="851"/>
      <c r="I11" s="851"/>
      <c r="J11" s="1426" t="s">
        <v>375</v>
      </c>
      <c r="K11" s="1361"/>
      <c r="L11" s="851"/>
      <c r="M11" s="783" t="s">
        <v>1015</v>
      </c>
      <c r="N11" s="783" t="e">
        <v>#REF!</v>
      </c>
      <c r="O11" s="783">
        <f>+'1. Datos'!D15</f>
        <v>0</v>
      </c>
      <c r="P11" s="783">
        <f>+'1. Datos'!D15</f>
        <v>0</v>
      </c>
      <c r="Q11" s="783">
        <f>+'1. Datos'!E15</f>
        <v>0</v>
      </c>
      <c r="R11" s="783">
        <f>+'1. Datos'!F15</f>
        <v>0</v>
      </c>
      <c r="S11" s="783">
        <f>+'1. Datos'!G15</f>
        <v>0</v>
      </c>
      <c r="T11" s="783">
        <f>+'1. Datos'!H15</f>
        <v>0</v>
      </c>
      <c r="U11" s="783">
        <f>'1. Datos'!I6</f>
        <v>0</v>
      </c>
      <c r="V11" s="908"/>
      <c r="W11" s="748"/>
      <c r="X11" s="1426" t="s">
        <v>45</v>
      </c>
      <c r="Y11" s="1361"/>
      <c r="Z11" s="128"/>
      <c r="AA11" s="1446" t="e">
        <f>+#REF!</f>
        <v>#REF!</v>
      </c>
      <c r="AB11" s="1360"/>
      <c r="AC11" s="1360"/>
      <c r="AD11" s="1360"/>
      <c r="AE11" s="1360"/>
      <c r="AF11" s="1361"/>
      <c r="AG11" s="236"/>
      <c r="AH11" s="128"/>
      <c r="AI11" s="128"/>
      <c r="AJ11" s="128"/>
      <c r="AK11" s="128"/>
      <c r="AL11" s="128"/>
      <c r="AM11" s="1426" t="s">
        <v>45</v>
      </c>
      <c r="AN11" s="1361"/>
      <c r="AO11" s="128"/>
      <c r="AP11" s="1446">
        <f>WACC!K26</f>
        <v>0.15953943204093804</v>
      </c>
      <c r="AQ11" s="1360"/>
      <c r="AR11" s="1360"/>
      <c r="AS11" s="1360"/>
      <c r="AT11" s="1360"/>
      <c r="AU11" s="1361"/>
      <c r="AV11" s="235"/>
      <c r="AW11" s="35"/>
      <c r="AX11" s="192" t="s">
        <v>479</v>
      </c>
      <c r="AY11" s="128"/>
      <c r="AZ11" s="128"/>
      <c r="BA11" s="128"/>
      <c r="BB11" s="748"/>
      <c r="BC11" s="1426" t="s">
        <v>45</v>
      </c>
      <c r="BD11" s="1361"/>
      <c r="BE11" s="128"/>
      <c r="BF11" s="1446">
        <f>+AP11</f>
        <v>0.15953943204093804</v>
      </c>
      <c r="BG11" s="1360"/>
      <c r="BH11" s="1360"/>
      <c r="BI11" s="1360"/>
      <c r="BJ11" s="1360"/>
      <c r="BK11" s="1361"/>
      <c r="BL11" s="235"/>
      <c r="BM11" s="898" t="s">
        <v>480</v>
      </c>
      <c r="BN11" s="899" t="e">
        <v>#REF!</v>
      </c>
      <c r="BO11" s="128"/>
      <c r="BP11" s="128"/>
      <c r="BQ11" s="850"/>
    </row>
    <row r="12" spans="1:69" ht="14.25" customHeight="1">
      <c r="A12" s="128"/>
      <c r="B12" s="128"/>
      <c r="C12" s="128"/>
      <c r="D12" s="128"/>
      <c r="E12" s="128"/>
      <c r="F12" s="342"/>
      <c r="G12" s="851"/>
      <c r="H12" s="851"/>
      <c r="I12" s="851"/>
      <c r="J12" s="851"/>
      <c r="K12" s="851"/>
      <c r="L12" s="851"/>
      <c r="M12" s="783"/>
      <c r="N12" s="851"/>
      <c r="O12" s="851"/>
      <c r="P12" s="851"/>
      <c r="Q12" s="851"/>
      <c r="R12" s="851"/>
      <c r="S12" s="851"/>
      <c r="T12" s="851"/>
      <c r="U12" s="851"/>
      <c r="V12" s="999"/>
      <c r="W12" s="128"/>
      <c r="X12" s="879"/>
      <c r="Y12" s="879"/>
      <c r="Z12" s="128"/>
      <c r="AA12" s="900"/>
      <c r="AB12" s="900"/>
      <c r="AC12" s="900"/>
      <c r="AD12" s="900"/>
      <c r="AE12" s="900"/>
      <c r="AF12" s="900"/>
      <c r="AG12" s="236"/>
      <c r="AH12" s="128"/>
      <c r="AI12" s="128"/>
      <c r="AJ12" s="128"/>
      <c r="AK12" s="128"/>
      <c r="AL12" s="128"/>
      <c r="AM12" s="879"/>
      <c r="AN12" s="879"/>
      <c r="AO12" s="128"/>
      <c r="AP12" s="901"/>
      <c r="AQ12" s="901"/>
      <c r="AR12" s="901"/>
      <c r="AS12" s="901"/>
      <c r="AT12" s="901"/>
      <c r="AU12" s="901"/>
      <c r="AV12" s="235"/>
      <c r="AW12" s="128"/>
      <c r="AX12" s="192"/>
      <c r="AY12" s="128" t="s">
        <v>481</v>
      </c>
      <c r="AZ12" s="128"/>
      <c r="BA12" s="128"/>
      <c r="BB12" s="748"/>
      <c r="BC12" s="879"/>
      <c r="BD12" s="879"/>
      <c r="BE12" s="128"/>
      <c r="BF12" s="900"/>
      <c r="BG12" s="900"/>
      <c r="BH12" s="900"/>
      <c r="BI12" s="900"/>
      <c r="BJ12" s="900"/>
      <c r="BK12" s="900"/>
      <c r="BL12" s="235"/>
      <c r="BM12" s="898"/>
      <c r="BN12" s="899"/>
      <c r="BO12" s="128"/>
      <c r="BP12" s="128"/>
      <c r="BQ12" s="850"/>
    </row>
    <row r="13" spans="1:69" ht="5.25" customHeight="1">
      <c r="A13" s="128"/>
      <c r="B13" s="128"/>
      <c r="C13" s="128"/>
      <c r="D13" s="128"/>
      <c r="E13" s="128"/>
      <c r="F13" s="342"/>
      <c r="G13" s="851"/>
      <c r="H13" s="851"/>
      <c r="I13" s="851"/>
      <c r="J13" s="1448"/>
      <c r="K13" s="1334"/>
      <c r="L13" s="851"/>
      <c r="M13" s="783"/>
      <c r="N13" s="783"/>
      <c r="O13" s="783"/>
      <c r="P13" s="783"/>
      <c r="Q13" s="783"/>
      <c r="R13" s="783"/>
      <c r="S13" s="783"/>
      <c r="T13" s="783"/>
      <c r="U13" s="783"/>
      <c r="V13" s="128"/>
      <c r="W13" s="748"/>
      <c r="X13" s="879"/>
      <c r="Y13" s="879"/>
      <c r="Z13" s="128"/>
      <c r="AA13" s="900"/>
      <c r="AB13" s="900"/>
      <c r="AC13" s="900"/>
      <c r="AD13" s="900"/>
      <c r="AE13" s="900"/>
      <c r="AF13" s="900"/>
      <c r="AG13" s="236"/>
      <c r="AH13" s="128"/>
      <c r="AI13" s="128"/>
      <c r="AJ13" s="128"/>
      <c r="AK13" s="128"/>
      <c r="AL13" s="128"/>
      <c r="AM13" s="879"/>
      <c r="AN13" s="879"/>
      <c r="AO13" s="128"/>
      <c r="AP13" s="901"/>
      <c r="AQ13" s="901"/>
      <c r="AR13" s="901"/>
      <c r="AS13" s="901"/>
      <c r="AT13" s="901"/>
      <c r="AU13" s="901"/>
      <c r="AV13" s="235"/>
      <c r="AW13" s="128"/>
      <c r="AX13" s="192"/>
      <c r="AY13" s="128"/>
      <c r="AZ13" s="128"/>
      <c r="BA13" s="128"/>
      <c r="BB13" s="748"/>
      <c r="BC13" s="879"/>
      <c r="BD13" s="879"/>
      <c r="BE13" s="128"/>
      <c r="BF13" s="900"/>
      <c r="BG13" s="900"/>
      <c r="BH13" s="900"/>
      <c r="BI13" s="900"/>
      <c r="BJ13" s="900"/>
      <c r="BK13" s="783"/>
      <c r="BL13" s="235"/>
      <c r="BM13" s="898"/>
      <c r="BN13" s="899"/>
      <c r="BO13" s="128"/>
      <c r="BP13" s="128"/>
      <c r="BQ13" s="850"/>
    </row>
    <row r="14" spans="1:69" ht="14.25" customHeight="1">
      <c r="A14" s="128"/>
      <c r="B14" s="128"/>
      <c r="C14" s="128"/>
      <c r="D14" s="128"/>
      <c r="E14" s="128"/>
      <c r="F14" s="342"/>
      <c r="G14" s="851"/>
      <c r="H14" s="851"/>
      <c r="I14" s="851"/>
      <c r="J14" s="1426" t="s">
        <v>16</v>
      </c>
      <c r="K14" s="1361"/>
      <c r="L14" s="851"/>
      <c r="M14" s="902">
        <v>0.3</v>
      </c>
      <c r="N14" s="902">
        <v>0.3</v>
      </c>
      <c r="O14" s="902">
        <v>0.3</v>
      </c>
      <c r="P14" s="902">
        <v>0.3</v>
      </c>
      <c r="Q14" s="902">
        <v>0.3</v>
      </c>
      <c r="R14" s="902">
        <v>0.3</v>
      </c>
      <c r="S14" s="902">
        <v>0.3</v>
      </c>
      <c r="T14" s="902">
        <v>0.3</v>
      </c>
      <c r="U14" s="902">
        <v>0.3</v>
      </c>
      <c r="V14" s="851"/>
      <c r="W14" s="856"/>
      <c r="X14" s="128"/>
      <c r="Y14" s="128"/>
      <c r="Z14" s="128"/>
      <c r="AA14" s="128"/>
      <c r="AB14" s="128"/>
      <c r="AC14" s="128"/>
      <c r="AD14" s="128"/>
      <c r="AE14" s="128"/>
      <c r="AF14" s="903" t="e">
        <f>+(AE15*(1+X3))/AA11</f>
        <v>#REF!</v>
      </c>
      <c r="AG14" s="236"/>
      <c r="AH14" s="128"/>
      <c r="AI14" s="128"/>
      <c r="AJ14" s="128"/>
      <c r="AK14" s="128"/>
      <c r="AL14" s="128"/>
      <c r="AM14" s="904" t="s">
        <v>482</v>
      </c>
      <c r="AN14" s="905">
        <f>X3</f>
        <v>5.8099999999999999E-2</v>
      </c>
      <c r="AO14" s="128"/>
      <c r="AP14" s="128"/>
      <c r="AQ14" s="128"/>
      <c r="AR14" s="128"/>
      <c r="AS14" s="128"/>
      <c r="AT14" s="128"/>
      <c r="AU14" s="903"/>
      <c r="AV14" s="235"/>
      <c r="AW14" s="1447"/>
      <c r="AX14" s="1334"/>
      <c r="AY14" s="1334"/>
      <c r="AZ14" s="1334"/>
      <c r="BA14" s="128"/>
      <c r="BB14" s="856"/>
      <c r="BC14" s="128"/>
      <c r="BD14" s="128"/>
      <c r="BE14" s="128"/>
      <c r="BF14" s="128"/>
      <c r="BG14" s="128"/>
      <c r="BH14" s="128"/>
      <c r="BI14" s="128"/>
      <c r="BJ14" s="128"/>
      <c r="BK14" s="783"/>
      <c r="BL14" s="235"/>
      <c r="BM14" s="1447"/>
      <c r="BN14" s="1334"/>
      <c r="BO14" s="1334"/>
      <c r="BP14" s="1334"/>
      <c r="BQ14" s="850"/>
    </row>
    <row r="15" spans="1:69" ht="14.25" customHeight="1">
      <c r="A15" s="128"/>
      <c r="B15" s="128"/>
      <c r="C15" s="128"/>
      <c r="D15" s="128"/>
      <c r="E15" s="128"/>
      <c r="F15" s="342"/>
      <c r="G15" s="851"/>
      <c r="H15" s="851"/>
      <c r="I15" s="851"/>
      <c r="J15" s="1426" t="s">
        <v>483</v>
      </c>
      <c r="K15" s="1361"/>
      <c r="L15" s="851"/>
      <c r="M15" s="906" t="e">
        <f>M11*(1-M14)</f>
        <v>#VALUE!</v>
      </c>
      <c r="N15" s="906" t="e">
        <f>N11*(1-N14)</f>
        <v>#REF!</v>
      </c>
      <c r="O15" s="906">
        <f>O11*(1-O14)</f>
        <v>0</v>
      </c>
      <c r="P15" s="906">
        <f>P11*(1-P14)</f>
        <v>0</v>
      </c>
      <c r="Q15" s="906">
        <f>Q11*(1-Q14)</f>
        <v>0</v>
      </c>
      <c r="R15" s="906">
        <f>R11*(1-R14)</f>
        <v>0</v>
      </c>
      <c r="S15" s="906">
        <f>S11*(1-S14)</f>
        <v>0</v>
      </c>
      <c r="T15" s="906">
        <f>T11*(1-T14)</f>
        <v>0</v>
      </c>
      <c r="U15" s="906">
        <f>U11*(1-U14)</f>
        <v>0</v>
      </c>
      <c r="V15" s="1000"/>
      <c r="W15" s="907"/>
      <c r="X15" s="1426" t="s">
        <v>484</v>
      </c>
      <c r="Y15" s="1361"/>
      <c r="Z15" s="879"/>
      <c r="AA15" s="584">
        <f>+AA8*$U$16</f>
        <v>0</v>
      </c>
      <c r="AB15" s="584">
        <f>+AB8*$U$16</f>
        <v>0</v>
      </c>
      <c r="AC15" s="584">
        <f>+AC8*$U$16</f>
        <v>0</v>
      </c>
      <c r="AD15" s="584">
        <f>+AD8*$U$16</f>
        <v>0</v>
      </c>
      <c r="AE15" s="584">
        <f>+AE8*$U$16</f>
        <v>0</v>
      </c>
      <c r="AF15" s="584" t="e">
        <f>+(AF8*$U$16)/AA11</f>
        <v>#REF!</v>
      </c>
      <c r="AG15" s="236"/>
      <c r="AH15" s="128"/>
      <c r="AI15" s="128"/>
      <c r="AJ15" s="128"/>
      <c r="AK15" s="128"/>
      <c r="AL15" s="128"/>
      <c r="AM15" s="1426" t="s">
        <v>484</v>
      </c>
      <c r="AN15" s="1361"/>
      <c r="AO15" s="879"/>
      <c r="AP15" s="585" t="e">
        <v>#REF!</v>
      </c>
      <c r="AQ15" s="585" t="e">
        <f>+AP19</f>
        <v>#REF!</v>
      </c>
      <c r="AR15" s="585" t="e">
        <f>+AQ19</f>
        <v>#REF!</v>
      </c>
      <c r="AS15" s="585" t="e">
        <f>+AR19</f>
        <v>#REF!</v>
      </c>
      <c r="AT15" s="585" t="e">
        <f>+AS19</f>
        <v>#REF!</v>
      </c>
      <c r="AU15" s="585" t="e">
        <f>+AT19</f>
        <v>#REF!</v>
      </c>
      <c r="AV15" s="235"/>
      <c r="AW15" s="1447"/>
      <c r="AX15" s="1334"/>
      <c r="AY15" s="1334"/>
      <c r="AZ15" s="1334"/>
      <c r="BA15" s="128"/>
      <c r="BB15" s="907"/>
      <c r="BC15" s="1426" t="s">
        <v>484</v>
      </c>
      <c r="BD15" s="1361"/>
      <c r="BE15" s="879"/>
      <c r="BF15" s="584">
        <f>+BF8*$U$16</f>
        <v>0</v>
      </c>
      <c r="BG15" s="584">
        <f>+BG8*$U$16</f>
        <v>0</v>
      </c>
      <c r="BH15" s="584">
        <f>+BH8*$U$16</f>
        <v>0</v>
      </c>
      <c r="BI15" s="584">
        <f>+BI8*$U$16</f>
        <v>0</v>
      </c>
      <c r="BJ15" s="584">
        <f>+BJ8*$U$16</f>
        <v>0</v>
      </c>
      <c r="BK15" s="783" t="e">
        <f>((BK8*$U$16)*(1-(X3/BN11))/(BF11-BM7))</f>
        <v>#REF!</v>
      </c>
      <c r="BL15" s="235"/>
      <c r="BM15" s="1447"/>
      <c r="BN15" s="1334"/>
      <c r="BO15" s="1334"/>
      <c r="BP15" s="1334"/>
      <c r="BQ15" s="850"/>
    </row>
    <row r="16" spans="1:69" ht="14.25" customHeight="1">
      <c r="A16" s="128"/>
      <c r="B16" s="128"/>
      <c r="C16" s="128"/>
      <c r="D16" s="128"/>
      <c r="E16" s="128"/>
      <c r="F16" s="342"/>
      <c r="G16" s="851"/>
      <c r="H16" s="851"/>
      <c r="I16" s="851"/>
      <c r="J16" s="851"/>
      <c r="K16" s="851"/>
      <c r="L16" s="851"/>
      <c r="M16" s="783"/>
      <c r="N16" s="851"/>
      <c r="O16" s="851"/>
      <c r="P16" s="851"/>
      <c r="Q16" s="851"/>
      <c r="R16" s="851"/>
      <c r="S16" s="851"/>
      <c r="T16" s="851"/>
      <c r="U16" s="851"/>
      <c r="V16" s="999"/>
      <c r="W16" s="908"/>
      <c r="X16" s="879"/>
      <c r="Y16" s="879"/>
      <c r="Z16" s="879"/>
      <c r="AA16" s="584"/>
      <c r="AB16" s="584"/>
      <c r="AC16" s="584"/>
      <c r="AD16" s="584"/>
      <c r="AE16" s="584"/>
      <c r="AF16" s="584"/>
      <c r="AG16" s="236"/>
      <c r="AH16" s="128"/>
      <c r="AI16" s="128"/>
      <c r="AJ16" s="128"/>
      <c r="AK16" s="128"/>
      <c r="AL16" s="128"/>
      <c r="AM16" s="879"/>
      <c r="AN16" s="879"/>
      <c r="AO16" s="879"/>
      <c r="AP16" s="584"/>
      <c r="AQ16" s="584"/>
      <c r="AR16" s="584"/>
      <c r="AS16" s="584"/>
      <c r="AT16" s="584"/>
      <c r="AU16" s="584"/>
      <c r="AV16" s="235"/>
      <c r="AW16" s="443"/>
      <c r="AX16" s="443"/>
      <c r="AY16" s="443"/>
      <c r="AZ16" s="443"/>
      <c r="BA16" s="128"/>
      <c r="BB16" s="907"/>
      <c r="BC16" s="879"/>
      <c r="BD16" s="879"/>
      <c r="BE16" s="879"/>
      <c r="BF16" s="584"/>
      <c r="BG16" s="584"/>
      <c r="BH16" s="584"/>
      <c r="BI16" s="584"/>
      <c r="BJ16" s="584"/>
      <c r="BK16" s="584"/>
      <c r="BL16" s="235"/>
      <c r="BM16" s="443"/>
      <c r="BN16" s="443"/>
      <c r="BO16" s="443"/>
      <c r="BP16" s="443"/>
      <c r="BQ16" s="850"/>
    </row>
    <row r="17" spans="1:69" ht="4.5" customHeight="1">
      <c r="A17" s="128"/>
      <c r="B17" s="128"/>
      <c r="C17" s="128"/>
      <c r="D17" s="128"/>
      <c r="E17" s="128"/>
      <c r="F17" s="342"/>
      <c r="G17" s="851"/>
      <c r="H17" s="851"/>
      <c r="I17" s="851"/>
      <c r="J17" s="909"/>
      <c r="K17" s="858"/>
      <c r="L17" s="851"/>
      <c r="M17" s="783"/>
      <c r="N17" s="910"/>
      <c r="O17" s="910"/>
      <c r="P17" s="910"/>
      <c r="Q17" s="910"/>
      <c r="R17" s="910"/>
      <c r="S17" s="910"/>
      <c r="T17" s="910"/>
      <c r="U17" s="910"/>
      <c r="V17" s="908"/>
      <c r="W17" s="907"/>
      <c r="X17" s="879"/>
      <c r="Y17" s="879"/>
      <c r="Z17" s="879"/>
      <c r="AA17" s="584"/>
      <c r="AB17" s="584"/>
      <c r="AC17" s="584"/>
      <c r="AD17" s="584"/>
      <c r="AE17" s="584"/>
      <c r="AF17" s="584"/>
      <c r="AG17" s="236"/>
      <c r="AH17" s="128"/>
      <c r="AI17" s="128"/>
      <c r="AJ17" s="128"/>
      <c r="AK17" s="128"/>
      <c r="AL17" s="128"/>
      <c r="AM17" s="879"/>
      <c r="AN17" s="879"/>
      <c r="AO17" s="879"/>
      <c r="AP17" s="584"/>
      <c r="AQ17" s="584"/>
      <c r="AR17" s="584"/>
      <c r="AS17" s="584"/>
      <c r="AT17" s="584"/>
      <c r="AU17" s="584"/>
      <c r="AV17" s="235"/>
      <c r="AW17" s="443"/>
      <c r="AX17" s="443"/>
      <c r="AY17" s="443"/>
      <c r="AZ17" s="443"/>
      <c r="BA17" s="128"/>
      <c r="BB17" s="907"/>
      <c r="BC17" s="879"/>
      <c r="BD17" s="879"/>
      <c r="BE17" s="879"/>
      <c r="BF17" s="584"/>
      <c r="BG17" s="584"/>
      <c r="BH17" s="584"/>
      <c r="BI17" s="584"/>
      <c r="BJ17" s="584"/>
      <c r="BK17" s="584"/>
      <c r="BL17" s="235"/>
      <c r="BM17" s="443"/>
      <c r="BN17" s="443"/>
      <c r="BO17" s="443"/>
      <c r="BP17" s="443"/>
      <c r="BQ17" s="850"/>
    </row>
    <row r="18" spans="1:69" ht="14.25" customHeight="1">
      <c r="A18" s="128"/>
      <c r="B18" s="128"/>
      <c r="C18" s="128"/>
      <c r="D18" s="128"/>
      <c r="E18" s="128"/>
      <c r="F18" s="342"/>
      <c r="G18" s="851"/>
      <c r="H18" s="851"/>
      <c r="I18" s="851"/>
      <c r="J18" s="1426" t="s">
        <v>485</v>
      </c>
      <c r="K18" s="1361"/>
      <c r="L18" s="851"/>
      <c r="M18" s="788" t="e">
        <v>#REF!</v>
      </c>
      <c r="N18" s="911">
        <v>0</v>
      </c>
      <c r="O18" s="911">
        <f>'2.Cálculos (2)'!C26</f>
        <v>0</v>
      </c>
      <c r="P18" s="911" t="e">
        <f>'2.Cálculos (2)'!#REF!</f>
        <v>#REF!</v>
      </c>
      <c r="Q18" s="911">
        <f>'2.Cálculos (2)'!D27</f>
        <v>0</v>
      </c>
      <c r="R18" s="911">
        <f>'2.Cálculos (2)'!E27</f>
        <v>0</v>
      </c>
      <c r="S18" s="911">
        <f>'2.Cálculos (2)'!F27</f>
        <v>0</v>
      </c>
      <c r="T18" s="911">
        <f>'2.Cálculos (2)'!G27</f>
        <v>0</v>
      </c>
      <c r="U18" s="911">
        <f>'2.Cálculos (2)'!H27</f>
        <v>0</v>
      </c>
      <c r="V18" s="908"/>
      <c r="W18" s="907"/>
      <c r="X18" s="1449"/>
      <c r="Y18" s="1373"/>
      <c r="Z18" s="879"/>
      <c r="AA18" s="657"/>
      <c r="AB18" s="657"/>
      <c r="AC18" s="657"/>
      <c r="AD18" s="657"/>
      <c r="AE18" s="657"/>
      <c r="AF18" s="657"/>
      <c r="AG18" s="236"/>
      <c r="AH18" s="128"/>
      <c r="AI18" s="128"/>
      <c r="AJ18" s="128"/>
      <c r="AK18" s="128"/>
      <c r="AL18" s="128"/>
      <c r="AM18" s="1449"/>
      <c r="AN18" s="1373"/>
      <c r="AO18" s="879"/>
      <c r="AP18" s="913" t="e">
        <f>'4.Resumen-Escenario'!X6</f>
        <v>#DIV/0!</v>
      </c>
      <c r="AQ18" s="913" t="e">
        <f>+AP18</f>
        <v>#DIV/0!</v>
      </c>
      <c r="AR18" s="913">
        <f>16%</f>
        <v>0.16</v>
      </c>
      <c r="AS18" s="913">
        <f>+AR18</f>
        <v>0.16</v>
      </c>
      <c r="AT18" s="913">
        <f>+AS18</f>
        <v>0.16</v>
      </c>
      <c r="AU18" s="913">
        <f>+AW9</f>
        <v>3.5900000000000001E-2</v>
      </c>
      <c r="AV18" s="235"/>
      <c r="AW18" s="914" t="s">
        <v>1019</v>
      </c>
      <c r="AX18" s="719"/>
      <c r="AY18" s="719"/>
      <c r="AZ18" s="443"/>
      <c r="BA18" s="128"/>
      <c r="BB18" s="907"/>
      <c r="BC18" s="1449"/>
      <c r="BD18" s="1373"/>
      <c r="BE18" s="879"/>
      <c r="BF18" s="657"/>
      <c r="BG18" s="657"/>
      <c r="BH18" s="657"/>
      <c r="BI18" s="657"/>
      <c r="BJ18" s="657"/>
      <c r="BK18" s="657"/>
      <c r="BL18" s="235"/>
      <c r="BM18" s="1423"/>
      <c r="BN18" s="1347"/>
      <c r="BO18" s="1347"/>
      <c r="BP18" s="1348"/>
      <c r="BQ18" s="850"/>
    </row>
    <row r="19" spans="1:69" ht="35.25" customHeight="1">
      <c r="A19" s="128"/>
      <c r="B19" s="128"/>
      <c r="C19" s="128"/>
      <c r="D19" s="128"/>
      <c r="E19" s="128"/>
      <c r="F19" s="342"/>
      <c r="G19" s="851"/>
      <c r="H19" s="1420"/>
      <c r="I19" s="1361"/>
      <c r="J19" s="1444" t="s">
        <v>486</v>
      </c>
      <c r="K19" s="1361"/>
      <c r="L19" s="851"/>
      <c r="M19" s="906" t="e">
        <f>M15+M18</f>
        <v>#VALUE!</v>
      </c>
      <c r="N19" s="906" t="e">
        <f>N15+N18</f>
        <v>#REF!</v>
      </c>
      <c r="O19" s="906">
        <f>O15+O18</f>
        <v>0</v>
      </c>
      <c r="P19" s="906" t="e">
        <f>P15+P18</f>
        <v>#REF!</v>
      </c>
      <c r="Q19" s="906">
        <f>Q15+Q18</f>
        <v>0</v>
      </c>
      <c r="R19" s="906">
        <f>R15+R18</f>
        <v>0</v>
      </c>
      <c r="S19" s="906">
        <f>S15+S18</f>
        <v>0</v>
      </c>
      <c r="T19" s="906">
        <f>T15+T18</f>
        <v>0</v>
      </c>
      <c r="U19" s="906">
        <f>U15+U18</f>
        <v>0</v>
      </c>
      <c r="V19" s="908"/>
      <c r="W19" s="907"/>
      <c r="X19" s="1429" t="s">
        <v>484</v>
      </c>
      <c r="Y19" s="1361"/>
      <c r="Z19" s="879"/>
      <c r="AA19" s="915">
        <f>AA15*(1+AA18)</f>
        <v>0</v>
      </c>
      <c r="AB19" s="915">
        <f>AB15*(1+AB18)</f>
        <v>0</v>
      </c>
      <c r="AC19" s="915">
        <f>AC15*(1+AC18)</f>
        <v>0</v>
      </c>
      <c r="AD19" s="915">
        <f>AD15*(1+AD18)</f>
        <v>0</v>
      </c>
      <c r="AE19" s="915">
        <f>AE15*(1+AE18)</f>
        <v>0</v>
      </c>
      <c r="AF19" s="915" t="e">
        <f>AF15*(1+AF18)</f>
        <v>#REF!</v>
      </c>
      <c r="AG19" s="236"/>
      <c r="AH19" s="1430"/>
      <c r="AI19" s="1373"/>
      <c r="AJ19" s="1373"/>
      <c r="AK19" s="1373"/>
      <c r="AL19" s="128"/>
      <c r="AM19" s="1431" t="s">
        <v>487</v>
      </c>
      <c r="AN19" s="1361"/>
      <c r="AO19" s="879"/>
      <c r="AP19" s="910" t="e">
        <f>AP15*(1+AP18)</f>
        <v>#REF!</v>
      </c>
      <c r="AQ19" s="910" t="e">
        <f>AQ15*(1+AQ18)</f>
        <v>#REF!</v>
      </c>
      <c r="AR19" s="910" t="e">
        <f>AR15*(1+AR18)</f>
        <v>#REF!</v>
      </c>
      <c r="AS19" s="910" t="e">
        <f>AS15*(1+AS18)</f>
        <v>#REF!</v>
      </c>
      <c r="AT19" s="910" t="e">
        <f>AT15*(1+AT18)</f>
        <v>#REF!</v>
      </c>
      <c r="AU19" s="910" t="e">
        <f>+(AU15*(1+AU18))/(AP11-AW9)</f>
        <v>#REF!</v>
      </c>
      <c r="AV19" s="235"/>
      <c r="AW19" s="719"/>
      <c r="AX19" s="916" t="s">
        <v>488</v>
      </c>
      <c r="AY19" s="719"/>
      <c r="AZ19" s="443"/>
      <c r="BA19" s="128"/>
      <c r="BB19" s="907"/>
      <c r="BC19" s="1431" t="s">
        <v>487</v>
      </c>
      <c r="BD19" s="1361"/>
      <c r="BE19" s="879"/>
      <c r="BF19" s="910">
        <f>BF15*(1+BF18)</f>
        <v>0</v>
      </c>
      <c r="BG19" s="910">
        <f>BG15*(1+BG18)</f>
        <v>0</v>
      </c>
      <c r="BH19" s="910">
        <f>BH15*(1+BH18)</f>
        <v>0</v>
      </c>
      <c r="BI19" s="910">
        <f>BI15*(1+BI18)</f>
        <v>0</v>
      </c>
      <c r="BJ19" s="910">
        <f>BJ15*(1+BJ18)</f>
        <v>0</v>
      </c>
      <c r="BK19" s="910" t="e">
        <f>BK15*(1+BK18)</f>
        <v>#REF!</v>
      </c>
      <c r="BL19" s="235"/>
      <c r="BM19" s="1406"/>
      <c r="BN19" s="1373"/>
      <c r="BO19" s="1373"/>
      <c r="BP19" s="1374"/>
      <c r="BQ19" s="850"/>
    </row>
    <row r="20" spans="1:69" ht="14.25" customHeight="1">
      <c r="A20" s="128"/>
      <c r="B20" s="128"/>
      <c r="C20" s="128"/>
      <c r="D20" s="128"/>
      <c r="E20" s="128"/>
      <c r="F20" s="342"/>
      <c r="G20" s="851"/>
      <c r="H20" s="851"/>
      <c r="I20" s="851"/>
      <c r="J20" s="917"/>
      <c r="K20" s="917"/>
      <c r="L20" s="851"/>
      <c r="M20" s="783"/>
      <c r="N20" s="918"/>
      <c r="O20" s="783"/>
      <c r="P20" s="918"/>
      <c r="Q20" s="918"/>
      <c r="R20" s="918"/>
      <c r="S20" s="918"/>
      <c r="T20" s="918"/>
      <c r="U20" s="918"/>
      <c r="V20" s="908"/>
      <c r="W20" s="907"/>
      <c r="X20" s="879"/>
      <c r="Y20" s="879"/>
      <c r="Z20" s="879"/>
      <c r="AA20" s="584"/>
      <c r="AB20" s="584"/>
      <c r="AC20" s="584"/>
      <c r="AD20" s="584"/>
      <c r="AE20" s="584"/>
      <c r="AF20" s="584"/>
      <c r="AG20" s="236"/>
      <c r="AH20" s="1423"/>
      <c r="AI20" s="1347"/>
      <c r="AJ20" s="1347"/>
      <c r="AK20" s="1348"/>
      <c r="AL20" s="128"/>
      <c r="AM20" s="879"/>
      <c r="AN20" s="879"/>
      <c r="AO20" s="879"/>
      <c r="AP20" s="783"/>
      <c r="AQ20" s="783"/>
      <c r="AR20" s="783"/>
      <c r="AS20" s="783"/>
      <c r="AT20" s="783"/>
      <c r="AU20" s="783"/>
      <c r="AV20" s="235"/>
      <c r="AW20" s="128"/>
      <c r="AX20" s="128"/>
      <c r="AY20" s="128"/>
      <c r="AZ20" s="128"/>
      <c r="BA20" s="128"/>
      <c r="BB20" s="907"/>
      <c r="BC20" s="879"/>
      <c r="BD20" s="879"/>
      <c r="BE20" s="879"/>
      <c r="BF20" s="783"/>
      <c r="BG20" s="783"/>
      <c r="BH20" s="783"/>
      <c r="BI20" s="783"/>
      <c r="BJ20" s="783"/>
      <c r="BK20" s="783"/>
      <c r="BL20" s="235"/>
      <c r="BM20" s="128"/>
      <c r="BN20" s="128"/>
      <c r="BO20" s="128"/>
      <c r="BP20" s="128"/>
      <c r="BQ20" s="850"/>
    </row>
    <row r="21" spans="1:69" ht="14.25" customHeight="1">
      <c r="A21" s="128"/>
      <c r="B21" s="128"/>
      <c r="C21" s="128"/>
      <c r="D21" s="128"/>
      <c r="E21" s="128"/>
      <c r="F21" s="382"/>
      <c r="G21" s="1433"/>
      <c r="H21" s="1347"/>
      <c r="I21" s="1348"/>
      <c r="J21" s="1445" t="str">
        <f>'2.Cálculos (2)'!B20</f>
        <v>Δ Capital de Trabajo</v>
      </c>
      <c r="K21" s="1348"/>
      <c r="L21" s="851"/>
      <c r="M21" s="783"/>
      <c r="N21" s="585"/>
      <c r="O21" s="585">
        <f>+'2.Cálculos (2)'!C30</f>
        <v>0</v>
      </c>
      <c r="P21" s="585" t="e">
        <f>+'2.Cálculos (2)'!#REF!</f>
        <v>#REF!</v>
      </c>
      <c r="Q21" s="585">
        <f>+'2.Cálculos (2)'!D30</f>
        <v>6046273</v>
      </c>
      <c r="R21" s="585">
        <f>+'2.Cálculos (2)'!E30</f>
        <v>0</v>
      </c>
      <c r="S21" s="585">
        <f>+'2.Cálculos (2)'!F30</f>
        <v>0</v>
      </c>
      <c r="T21" s="919">
        <f>+'2.Cálculos (2)'!G30</f>
        <v>0</v>
      </c>
      <c r="U21" s="919">
        <f>+'2.Cálculos (2)'!H30</f>
        <v>0</v>
      </c>
      <c r="V21" s="908"/>
      <c r="W21" s="907"/>
      <c r="X21" s="1426" t="s">
        <v>489</v>
      </c>
      <c r="Y21" s="1361"/>
      <c r="Z21" s="879"/>
      <c r="AA21" s="1427" t="e">
        <f>AF19</f>
        <v>#REF!</v>
      </c>
      <c r="AB21" s="1360"/>
      <c r="AC21" s="1360"/>
      <c r="AD21" s="1360"/>
      <c r="AE21" s="1360"/>
      <c r="AF21" s="1361"/>
      <c r="AG21" s="236"/>
      <c r="AH21" s="1406"/>
      <c r="AI21" s="1373"/>
      <c r="AJ21" s="1373"/>
      <c r="AK21" s="1374"/>
      <c r="AL21" s="128"/>
      <c r="AM21" s="1426" t="s">
        <v>489</v>
      </c>
      <c r="AN21" s="1361"/>
      <c r="AO21" s="879"/>
      <c r="AP21" s="1427" t="e">
        <f>AU19</f>
        <v>#REF!</v>
      </c>
      <c r="AQ21" s="1360"/>
      <c r="AR21" s="1360"/>
      <c r="AS21" s="1360"/>
      <c r="AT21" s="1360"/>
      <c r="AU21" s="1361"/>
      <c r="AV21" s="235"/>
      <c r="AW21" s="128"/>
      <c r="AX21" s="128"/>
      <c r="AY21" s="128"/>
      <c r="AZ21" s="128"/>
      <c r="BA21" s="128"/>
      <c r="BB21" s="907"/>
      <c r="BC21" s="1426" t="s">
        <v>489</v>
      </c>
      <c r="BD21" s="1361"/>
      <c r="BE21" s="879"/>
      <c r="BF21" s="1427" t="e">
        <f>BK19</f>
        <v>#REF!</v>
      </c>
      <c r="BG21" s="1360"/>
      <c r="BH21" s="1360"/>
      <c r="BI21" s="1360"/>
      <c r="BJ21" s="1360"/>
      <c r="BK21" s="1361"/>
      <c r="BL21" s="235"/>
      <c r="BM21" s="128"/>
      <c r="BN21" s="128"/>
      <c r="BO21" s="128"/>
      <c r="BP21" s="128"/>
      <c r="BQ21" s="850"/>
    </row>
    <row r="22" spans="1:69" ht="14.25" customHeight="1">
      <c r="A22" s="128"/>
      <c r="B22" s="128"/>
      <c r="C22" s="128"/>
      <c r="D22" s="128"/>
      <c r="E22" s="128"/>
      <c r="F22" s="382"/>
      <c r="G22" s="1416"/>
      <c r="H22" s="1334"/>
      <c r="I22" s="1353"/>
      <c r="J22" s="1424" t="str">
        <f>'2.Cálculos (2)'!B32</f>
        <v>Capex</v>
      </c>
      <c r="K22" s="1361"/>
      <c r="L22" s="851"/>
      <c r="M22" s="783"/>
      <c r="N22" s="585"/>
      <c r="O22" s="585">
        <f>+'2.Cálculos (2)'!C32</f>
        <v>0</v>
      </c>
      <c r="P22" s="585" t="e">
        <f>+'2.Cálculos (2)'!#REF!</f>
        <v>#REF!</v>
      </c>
      <c r="Q22" s="585">
        <f>+'2.Cálculos (2)'!D32</f>
        <v>0</v>
      </c>
      <c r="R22" s="585">
        <f>+'2.Cálculos (2)'!E32</f>
        <v>0</v>
      </c>
      <c r="S22" s="585">
        <f>+'2.Cálculos (2)'!F32</f>
        <v>0</v>
      </c>
      <c r="T22" s="585">
        <f>+'2.Cálculos (2)'!G32</f>
        <v>0</v>
      </c>
      <c r="U22" s="585">
        <f>+'2.Cálculos (2)'!H32</f>
        <v>0</v>
      </c>
      <c r="V22" s="908"/>
      <c r="W22" s="907"/>
      <c r="X22" s="908"/>
      <c r="Y22" s="908"/>
      <c r="Z22" s="908"/>
      <c r="AA22" s="918"/>
      <c r="AB22" s="918"/>
      <c r="AC22" s="918"/>
      <c r="AD22" s="918"/>
      <c r="AE22" s="918"/>
      <c r="AF22" s="918"/>
      <c r="AG22" s="236"/>
      <c r="AH22" s="128"/>
      <c r="AI22" s="128"/>
      <c r="AJ22" s="128"/>
      <c r="AK22" s="128"/>
      <c r="AL22" s="128"/>
      <c r="AM22" s="908"/>
      <c r="AN22" s="908"/>
      <c r="AO22" s="908"/>
      <c r="AP22" s="920"/>
      <c r="AQ22" s="920"/>
      <c r="AR22" s="920"/>
      <c r="AS22" s="920"/>
      <c r="AT22" s="920"/>
      <c r="AU22" s="921"/>
      <c r="AV22" s="235"/>
      <c r="AW22" s="128"/>
      <c r="AX22" s="128"/>
      <c r="AY22" s="128"/>
      <c r="AZ22" s="128"/>
      <c r="BA22" s="128"/>
      <c r="BB22" s="907"/>
      <c r="BC22" s="908"/>
      <c r="BD22" s="908"/>
      <c r="BE22" s="908"/>
      <c r="BF22" s="918"/>
      <c r="BG22" s="918"/>
      <c r="BH22" s="918"/>
      <c r="BI22" s="918"/>
      <c r="BJ22" s="918"/>
      <c r="BK22" s="918"/>
      <c r="BL22" s="235"/>
      <c r="BM22" s="128"/>
      <c r="BN22" s="128"/>
      <c r="BO22" s="128"/>
      <c r="BP22" s="128"/>
      <c r="BQ22" s="850"/>
    </row>
    <row r="23" spans="1:69" ht="14.25" customHeight="1">
      <c r="A23" s="128"/>
      <c r="B23" s="128"/>
      <c r="C23" s="128"/>
      <c r="D23" s="128"/>
      <c r="E23" s="128"/>
      <c r="F23" s="382"/>
      <c r="G23" s="1416"/>
      <c r="H23" s="1334"/>
      <c r="I23" s="1353"/>
      <c r="J23" s="1432"/>
      <c r="K23" s="1334"/>
      <c r="L23" s="851"/>
      <c r="M23" s="783"/>
      <c r="N23" s="922"/>
      <c r="O23" s="922"/>
      <c r="P23" s="922"/>
      <c r="Q23" s="922"/>
      <c r="R23" s="922"/>
      <c r="S23" s="922"/>
      <c r="T23" s="922"/>
      <c r="U23" s="922"/>
      <c r="V23" s="908"/>
      <c r="W23" s="907"/>
      <c r="X23" s="1426" t="s">
        <v>490</v>
      </c>
      <c r="Y23" s="1361"/>
      <c r="Z23" s="879"/>
      <c r="AA23" s="584" t="e">
        <f>AA19*$O$32</f>
        <v>#DIV/0!</v>
      </c>
      <c r="AB23" s="584" t="e">
        <f>AB19*$O$32</f>
        <v>#DIV/0!</v>
      </c>
      <c r="AC23" s="584" t="e">
        <f>AC19*$O$32</f>
        <v>#DIV/0!</v>
      </c>
      <c r="AD23" s="584" t="e">
        <f>AD19*$O$32</f>
        <v>#DIV/0!</v>
      </c>
      <c r="AE23" s="584" t="e">
        <f>AE19*$O$32</f>
        <v>#DIV/0!</v>
      </c>
      <c r="AF23" s="584" t="e">
        <f>AF19*$O$32</f>
        <v>#REF!</v>
      </c>
      <c r="AG23" s="236"/>
      <c r="AH23" s="1420"/>
      <c r="AI23" s="1360"/>
      <c r="AJ23" s="1360"/>
      <c r="AK23" s="1361"/>
      <c r="AL23" s="128"/>
      <c r="AM23" s="1426" t="s">
        <v>490</v>
      </c>
      <c r="AN23" s="1361"/>
      <c r="AO23" s="879"/>
      <c r="AP23" s="783" t="e">
        <f>AP19-AP24</f>
        <v>#REF!</v>
      </c>
      <c r="AQ23" s="783" t="e">
        <f>AQ19-AQ24</f>
        <v>#REF!</v>
      </c>
      <c r="AR23" s="783" t="e">
        <f>AR19-AR24</f>
        <v>#REF!</v>
      </c>
      <c r="AS23" s="783" t="e">
        <f>AS19-AS24</f>
        <v>#REF!</v>
      </c>
      <c r="AT23" s="783" t="e">
        <f>AT19-AT24</f>
        <v>#REF!</v>
      </c>
      <c r="AU23" s="783" t="e">
        <f>AU19-AU24</f>
        <v>#REF!</v>
      </c>
      <c r="AV23" s="235"/>
      <c r="AW23" s="1420"/>
      <c r="AX23" s="1360"/>
      <c r="AY23" s="1360"/>
      <c r="AZ23" s="1361"/>
      <c r="BA23" s="128"/>
      <c r="BB23" s="907"/>
      <c r="BC23" s="1426" t="s">
        <v>490</v>
      </c>
      <c r="BD23" s="1361"/>
      <c r="BE23" s="879"/>
      <c r="BF23" s="783" t="e">
        <f>BF19*$O$32</f>
        <v>#DIV/0!</v>
      </c>
      <c r="BG23" s="783" t="e">
        <f>BG19*$O$32</f>
        <v>#DIV/0!</v>
      </c>
      <c r="BH23" s="783" t="e">
        <f>BH19*$O$32</f>
        <v>#DIV/0!</v>
      </c>
      <c r="BI23" s="783" t="e">
        <f>BI19*$O$32</f>
        <v>#DIV/0!</v>
      </c>
      <c r="BJ23" s="783" t="e">
        <f>BJ19*$O$32</f>
        <v>#DIV/0!</v>
      </c>
      <c r="BK23" s="783" t="e">
        <f>BK19*$O$32</f>
        <v>#REF!</v>
      </c>
      <c r="BL23" s="235"/>
      <c r="BM23" s="1420"/>
      <c r="BN23" s="1360"/>
      <c r="BO23" s="1360"/>
      <c r="BP23" s="1361"/>
      <c r="BQ23" s="850"/>
    </row>
    <row r="24" spans="1:69" ht="14.25" customHeight="1">
      <c r="A24" s="128"/>
      <c r="B24" s="128"/>
      <c r="C24" s="128"/>
      <c r="D24" s="128"/>
      <c r="E24" s="128"/>
      <c r="F24" s="382"/>
      <c r="G24" s="1406"/>
      <c r="H24" s="1373"/>
      <c r="I24" s="1374"/>
      <c r="J24" s="1424" t="s">
        <v>491</v>
      </c>
      <c r="K24" s="1361"/>
      <c r="L24" s="851"/>
      <c r="M24" s="783"/>
      <c r="N24" s="923"/>
      <c r="O24" s="923">
        <f>SUM(O21:O23)</f>
        <v>0</v>
      </c>
      <c r="P24" s="923" t="e">
        <f>SUM(P21:P23)</f>
        <v>#REF!</v>
      </c>
      <c r="Q24" s="923">
        <f>SUM(Q21:Q23)</f>
        <v>6046273</v>
      </c>
      <c r="R24" s="923">
        <f>SUM(R21:R23)</f>
        <v>0</v>
      </c>
      <c r="S24" s="923">
        <f>SUM(S21:S23)</f>
        <v>0</v>
      </c>
      <c r="T24" s="923">
        <f>SUM(T21:T23)</f>
        <v>0</v>
      </c>
      <c r="U24" s="923">
        <f>SUM(U21:U23)</f>
        <v>0</v>
      </c>
      <c r="V24" s="908"/>
      <c r="W24" s="907"/>
      <c r="X24" s="1426" t="s">
        <v>492</v>
      </c>
      <c r="Y24" s="1361"/>
      <c r="Z24" s="879"/>
      <c r="AA24" s="584" t="e">
        <f>AA19-AA23</f>
        <v>#DIV/0!</v>
      </c>
      <c r="AB24" s="584" t="e">
        <f>AB19-AB23</f>
        <v>#DIV/0!</v>
      </c>
      <c r="AC24" s="584" t="e">
        <f>AC19-AC23</f>
        <v>#DIV/0!</v>
      </c>
      <c r="AD24" s="584" t="e">
        <f>AD19-AD23</f>
        <v>#DIV/0!</v>
      </c>
      <c r="AE24" s="584" t="e">
        <f>AE19-AE23</f>
        <v>#DIV/0!</v>
      </c>
      <c r="AF24" s="584" t="e">
        <f>AF19-AF23</f>
        <v>#REF!</v>
      </c>
      <c r="AG24" s="236"/>
      <c r="AH24" s="1420"/>
      <c r="AI24" s="1360"/>
      <c r="AJ24" s="1360"/>
      <c r="AK24" s="1361"/>
      <c r="AL24" s="128"/>
      <c r="AM24" s="1426" t="s">
        <v>492</v>
      </c>
      <c r="AN24" s="1361"/>
      <c r="AO24" s="879"/>
      <c r="AP24" s="783" t="e">
        <f>AP19*$O$35</f>
        <v>#REF!</v>
      </c>
      <c r="AQ24" s="783" t="e">
        <f>AQ19*$O$35</f>
        <v>#REF!</v>
      </c>
      <c r="AR24" s="783" t="e">
        <f>AR19*$O$35</f>
        <v>#REF!</v>
      </c>
      <c r="AS24" s="783" t="e">
        <f>AS19*$O$35</f>
        <v>#REF!</v>
      </c>
      <c r="AT24" s="783" t="e">
        <f>AT19*$O$35</f>
        <v>#REF!</v>
      </c>
      <c r="AU24" s="783" t="e">
        <f>AU19*$O$35</f>
        <v>#REF!</v>
      </c>
      <c r="AV24" s="235"/>
      <c r="AW24" s="1420"/>
      <c r="AX24" s="1360"/>
      <c r="AY24" s="1360"/>
      <c r="AZ24" s="1361"/>
      <c r="BA24" s="128"/>
      <c r="BB24" s="907"/>
      <c r="BC24" s="1426" t="s">
        <v>492</v>
      </c>
      <c r="BD24" s="1361"/>
      <c r="BE24" s="879"/>
      <c r="BF24" s="783" t="e">
        <f>BF19-BF23</f>
        <v>#DIV/0!</v>
      </c>
      <c r="BG24" s="783" t="e">
        <f>BG19-BG23</f>
        <v>#DIV/0!</v>
      </c>
      <c r="BH24" s="783" t="e">
        <f>BH19-BH23</f>
        <v>#DIV/0!</v>
      </c>
      <c r="BI24" s="783" t="e">
        <f>BI19-BI23</f>
        <v>#DIV/0!</v>
      </c>
      <c r="BJ24" s="783" t="e">
        <f>BJ19-BJ23</f>
        <v>#DIV/0!</v>
      </c>
      <c r="BK24" s="783" t="e">
        <f>BK19-BK23</f>
        <v>#REF!</v>
      </c>
      <c r="BL24" s="235"/>
      <c r="BM24" s="1420"/>
      <c r="BN24" s="1360"/>
      <c r="BO24" s="1360"/>
      <c r="BP24" s="1361"/>
      <c r="BQ24" s="850"/>
    </row>
    <row r="25" spans="1:69" ht="14.25" customHeight="1">
      <c r="A25" s="128"/>
      <c r="B25" s="128"/>
      <c r="C25" s="128"/>
      <c r="D25" s="128"/>
      <c r="E25" s="128"/>
      <c r="F25" s="342"/>
      <c r="G25" s="851"/>
      <c r="H25" s="851"/>
      <c r="I25" s="851"/>
      <c r="J25" s="917"/>
      <c r="K25" s="917"/>
      <c r="L25" s="851"/>
      <c r="M25" s="783"/>
      <c r="N25" s="788"/>
      <c r="O25" s="788"/>
      <c r="P25" s="924"/>
      <c r="Q25" s="924"/>
      <c r="R25" s="924"/>
      <c r="S25" s="924"/>
      <c r="T25" s="924"/>
      <c r="U25" s="924"/>
      <c r="V25" s="908"/>
      <c r="W25" s="907"/>
      <c r="X25" s="908"/>
      <c r="Y25" s="908"/>
      <c r="Z25" s="908"/>
      <c r="AA25" s="918"/>
      <c r="AB25" s="918"/>
      <c r="AC25" s="918"/>
      <c r="AD25" s="918"/>
      <c r="AE25" s="918"/>
      <c r="AF25" s="918"/>
      <c r="AG25" s="236"/>
      <c r="AH25" s="128"/>
      <c r="AI25" s="128"/>
      <c r="AJ25" s="128"/>
      <c r="AK25" s="128"/>
      <c r="AL25" s="128"/>
      <c r="AM25" s="908"/>
      <c r="AN25" s="908"/>
      <c r="AO25" s="908"/>
      <c r="AP25" s="918"/>
      <c r="AQ25" s="918"/>
      <c r="AR25" s="918"/>
      <c r="AS25" s="918"/>
      <c r="AT25" s="918"/>
      <c r="AU25" s="918"/>
      <c r="AV25" s="235"/>
      <c r="AW25" s="128"/>
      <c r="AX25" s="128"/>
      <c r="AY25" s="128"/>
      <c r="AZ25" s="128"/>
      <c r="BA25" s="128"/>
      <c r="BB25" s="907"/>
      <c r="BC25" s="908"/>
      <c r="BD25" s="908"/>
      <c r="BE25" s="908"/>
      <c r="BF25" s="918"/>
      <c r="BG25" s="918"/>
      <c r="BH25" s="918"/>
      <c r="BI25" s="918"/>
      <c r="BJ25" s="918"/>
      <c r="BK25" s="918"/>
      <c r="BL25" s="235"/>
      <c r="BM25" s="128"/>
      <c r="BN25" s="128"/>
      <c r="BO25" s="128"/>
      <c r="BP25" s="128"/>
      <c r="BQ25" s="850"/>
    </row>
    <row r="26" spans="1:69" ht="14.25" customHeight="1">
      <c r="A26" s="128"/>
      <c r="B26" s="128"/>
      <c r="C26" s="128"/>
      <c r="D26" s="128"/>
      <c r="E26" s="128"/>
      <c r="F26" s="342"/>
      <c r="G26" s="851"/>
      <c r="H26" s="1420"/>
      <c r="I26" s="1361"/>
      <c r="J26" s="1421" t="s">
        <v>493</v>
      </c>
      <c r="K26" s="1361"/>
      <c r="L26" s="851"/>
      <c r="M26" s="783"/>
      <c r="N26" s="923"/>
      <c r="O26" s="923">
        <f>+O19-O24</f>
        <v>0</v>
      </c>
      <c r="P26" s="923" t="e">
        <f>+P19-P24</f>
        <v>#REF!</v>
      </c>
      <c r="Q26" s="923">
        <f>+Q19-Q24</f>
        <v>-6046273</v>
      </c>
      <c r="R26" s="923">
        <f>+R19-R24</f>
        <v>0</v>
      </c>
      <c r="S26" s="923">
        <f>+S19-S24</f>
        <v>0</v>
      </c>
      <c r="T26" s="923">
        <f>T19+T24</f>
        <v>0</v>
      </c>
      <c r="U26" s="923">
        <f>U19+U24</f>
        <v>0</v>
      </c>
      <c r="V26" s="908"/>
      <c r="W26" s="907"/>
      <c r="X26" s="1426" t="s">
        <v>494</v>
      </c>
      <c r="Y26" s="1361"/>
      <c r="Z26" s="879"/>
      <c r="AA26" s="584" t="e">
        <f>AA23/((1+$AA$11)^AA6)</f>
        <v>#DIV/0!</v>
      </c>
      <c r="AB26" s="584" t="e">
        <f>AB23/((1+$AA$11)^AB6)</f>
        <v>#DIV/0!</v>
      </c>
      <c r="AC26" s="584" t="e">
        <f>AC23/((1+$AA$11)^AC6)</f>
        <v>#DIV/0!</v>
      </c>
      <c r="AD26" s="584" t="e">
        <f>AD23/((1+$AA$11)^AD6)</f>
        <v>#DIV/0!</v>
      </c>
      <c r="AE26" s="584" t="e">
        <f>AE23/((1+$AA$11)^AE6)</f>
        <v>#DIV/0!</v>
      </c>
      <c r="AF26" s="584" t="e">
        <f>AF23/((1+$AA$11)^AF6)</f>
        <v>#REF!</v>
      </c>
      <c r="AG26" s="236"/>
      <c r="AH26" s="1423"/>
      <c r="AI26" s="1347"/>
      <c r="AJ26" s="1348"/>
      <c r="AK26" s="128"/>
      <c r="AL26" s="128"/>
      <c r="AM26" s="1428" t="s">
        <v>494</v>
      </c>
      <c r="AN26" s="1361"/>
      <c r="AO26" s="879"/>
      <c r="AP26" s="783" t="e">
        <f>AP23/((1+$AP$11)^AP6)</f>
        <v>#REF!</v>
      </c>
      <c r="AQ26" s="783" t="e">
        <f>AQ23/((1+$AP$11)^AQ6)</f>
        <v>#REF!</v>
      </c>
      <c r="AR26" s="783" t="e">
        <f>AR23/((1+$AP$11)^AR6)</f>
        <v>#REF!</v>
      </c>
      <c r="AS26" s="783" t="e">
        <f>AS23/((1+$AP$11)^AS6)</f>
        <v>#REF!</v>
      </c>
      <c r="AT26" s="783" t="e">
        <f>AT23/((1+$AP$11)^AT6)</f>
        <v>#REF!</v>
      </c>
      <c r="AU26" s="783" t="e">
        <f>AU23/((1+$AP$11)^AU6)</f>
        <v>#REF!</v>
      </c>
      <c r="AV26" s="235"/>
      <c r="AW26" s="1423"/>
      <c r="AX26" s="1347"/>
      <c r="AY26" s="1348"/>
      <c r="AZ26" s="128"/>
      <c r="BA26" s="128"/>
      <c r="BB26" s="907"/>
      <c r="BC26" s="1426" t="s">
        <v>494</v>
      </c>
      <c r="BD26" s="1361"/>
      <c r="BE26" s="879"/>
      <c r="BF26" s="783" t="e">
        <f>BF23/((1+$AA$11)^BF6)</f>
        <v>#DIV/0!</v>
      </c>
      <c r="BG26" s="783" t="e">
        <f>BG23/((1+$AA$11)^BG6)</f>
        <v>#DIV/0!</v>
      </c>
      <c r="BH26" s="783" t="e">
        <f>BH23/((1+$AA$11)^BH6)</f>
        <v>#DIV/0!</v>
      </c>
      <c r="BI26" s="783" t="e">
        <f>BI23/((1+$AA$11)^BI6)</f>
        <v>#DIV/0!</v>
      </c>
      <c r="BJ26" s="783" t="e">
        <f>BJ23/((1+$AA$11)^BJ6)</f>
        <v>#DIV/0!</v>
      </c>
      <c r="BK26" s="783" t="e">
        <f>BK23/((1+$AA$11)^BK6)</f>
        <v>#REF!</v>
      </c>
      <c r="BL26" s="235"/>
      <c r="BM26" s="1423"/>
      <c r="BN26" s="1347"/>
      <c r="BO26" s="1348"/>
      <c r="BP26" s="128"/>
      <c r="BQ26" s="850"/>
    </row>
    <row r="27" spans="1:69" ht="14.25" customHeight="1">
      <c r="A27" s="128"/>
      <c r="B27" s="128"/>
      <c r="C27" s="128"/>
      <c r="D27" s="128"/>
      <c r="E27" s="128"/>
      <c r="F27" s="342"/>
      <c r="G27" s="851"/>
      <c r="H27" s="1420"/>
      <c r="I27" s="1361"/>
      <c r="J27" s="1421" t="s">
        <v>495</v>
      </c>
      <c r="K27" s="1361"/>
      <c r="L27" s="851"/>
      <c r="M27" s="783"/>
      <c r="N27" s="925"/>
      <c r="O27" s="925" t="e">
        <f>1-(O26/O15)</f>
        <v>#DIV/0!</v>
      </c>
      <c r="P27" s="925" t="e">
        <f>1-(P26/P15)</f>
        <v>#REF!</v>
      </c>
      <c r="Q27" s="925" t="e">
        <f>1-(Q26/Q15)</f>
        <v>#DIV/0!</v>
      </c>
      <c r="R27" s="925" t="e">
        <f>1-(R26/R15)</f>
        <v>#DIV/0!</v>
      </c>
      <c r="S27" s="925" t="e">
        <f>1-(S26/S15)</f>
        <v>#DIV/0!</v>
      </c>
      <c r="T27" s="925" t="e">
        <f>1-(T26/T15)</f>
        <v>#DIV/0!</v>
      </c>
      <c r="U27" s="925" t="e">
        <f>1-(U26/U15)</f>
        <v>#DIV/0!</v>
      </c>
      <c r="V27" s="908"/>
      <c r="W27" s="907"/>
      <c r="X27" s="128"/>
      <c r="Y27" s="128"/>
      <c r="Z27" s="908"/>
      <c r="AA27" s="918"/>
      <c r="AB27" s="918"/>
      <c r="AC27" s="918"/>
      <c r="AD27" s="918"/>
      <c r="AE27" s="918"/>
      <c r="AF27" s="918"/>
      <c r="AG27" s="236"/>
      <c r="AH27" s="1406"/>
      <c r="AI27" s="1373"/>
      <c r="AJ27" s="1374"/>
      <c r="AK27" s="128"/>
      <c r="AL27" s="128"/>
      <c r="AM27" s="47"/>
      <c r="AN27" s="47"/>
      <c r="AO27" s="908"/>
      <c r="AP27" s="918"/>
      <c r="AQ27" s="918"/>
      <c r="AR27" s="918"/>
      <c r="AS27" s="918"/>
      <c r="AT27" s="918"/>
      <c r="AU27" s="918"/>
      <c r="AV27" s="235"/>
      <c r="AW27" s="1406"/>
      <c r="AX27" s="1373"/>
      <c r="AY27" s="1374"/>
      <c r="AZ27" s="128"/>
      <c r="BA27" s="128"/>
      <c r="BB27" s="907"/>
      <c r="BC27" s="128"/>
      <c r="BD27" s="128"/>
      <c r="BE27" s="908"/>
      <c r="BF27" s="918"/>
      <c r="BG27" s="918"/>
      <c r="BH27" s="918"/>
      <c r="BI27" s="918"/>
      <c r="BJ27" s="918"/>
      <c r="BK27" s="918"/>
      <c r="BL27" s="235"/>
      <c r="BM27" s="1406"/>
      <c r="BN27" s="1373"/>
      <c r="BO27" s="1374"/>
      <c r="BP27" s="128"/>
      <c r="BQ27" s="850"/>
    </row>
    <row r="28" spans="1:69" ht="14.25" customHeight="1">
      <c r="A28" s="128"/>
      <c r="B28" s="128"/>
      <c r="C28" s="128"/>
      <c r="D28" s="128"/>
      <c r="E28" s="128"/>
      <c r="F28" s="342"/>
      <c r="G28" s="851"/>
      <c r="H28" s="1422"/>
      <c r="I28" s="1361"/>
      <c r="J28" s="1421" t="s">
        <v>496</v>
      </c>
      <c r="K28" s="1361"/>
      <c r="L28" s="740"/>
      <c r="M28" s="783"/>
      <c r="N28" s="926"/>
      <c r="O28" s="927" t="e">
        <f>1-O27</f>
        <v>#DIV/0!</v>
      </c>
      <c r="P28" s="927" t="e">
        <f>1-P27</f>
        <v>#REF!</v>
      </c>
      <c r="Q28" s="927" t="e">
        <f>1-Q27</f>
        <v>#DIV/0!</v>
      </c>
      <c r="R28" s="927" t="e">
        <f>1-R27</f>
        <v>#DIV/0!</v>
      </c>
      <c r="S28" s="927" t="e">
        <f>1-S27</f>
        <v>#DIV/0!</v>
      </c>
      <c r="T28" s="927" t="e">
        <f>1-T27</f>
        <v>#DIV/0!</v>
      </c>
      <c r="U28" s="927" t="e">
        <f>1-U27</f>
        <v>#DIV/0!</v>
      </c>
      <c r="V28" s="908"/>
      <c r="W28" s="907"/>
      <c r="X28" s="1426" t="s">
        <v>497</v>
      </c>
      <c r="Y28" s="1361"/>
      <c r="Z28" s="128"/>
      <c r="AA28" s="1427" t="e">
        <f>SUM(AA26:AF26)</f>
        <v>#DIV/0!</v>
      </c>
      <c r="AB28" s="1360"/>
      <c r="AC28" s="1360"/>
      <c r="AD28" s="1360"/>
      <c r="AE28" s="1360"/>
      <c r="AF28" s="1361"/>
      <c r="AG28" s="236"/>
      <c r="AH28" s="128"/>
      <c r="AI28" s="128"/>
      <c r="AJ28" s="128"/>
      <c r="AK28" s="128"/>
      <c r="AL28" s="128"/>
      <c r="AM28" s="1428" t="s">
        <v>497</v>
      </c>
      <c r="AN28" s="1361"/>
      <c r="AO28" s="128"/>
      <c r="AP28" s="1427" t="e">
        <f>IF(SUM(AP26:AU26)&gt;0,SUM(AP26:AU26),0)</f>
        <v>#REF!</v>
      </c>
      <c r="AQ28" s="1360"/>
      <c r="AR28" s="1360"/>
      <c r="AS28" s="1360"/>
      <c r="AT28" s="1360"/>
      <c r="AU28" s="1361"/>
      <c r="AV28" s="235"/>
      <c r="AW28" s="128"/>
      <c r="AX28" s="128"/>
      <c r="AY28" s="128"/>
      <c r="AZ28" s="128"/>
      <c r="BA28" s="128"/>
      <c r="BB28" s="907"/>
      <c r="BC28" s="1426" t="s">
        <v>497</v>
      </c>
      <c r="BD28" s="1361"/>
      <c r="BE28" s="128"/>
      <c r="BF28" s="1427" t="e">
        <f>SUM(BF26:BK26)</f>
        <v>#DIV/0!</v>
      </c>
      <c r="BG28" s="1360"/>
      <c r="BH28" s="1360"/>
      <c r="BI28" s="1360"/>
      <c r="BJ28" s="1360"/>
      <c r="BK28" s="1361"/>
      <c r="BL28" s="235"/>
      <c r="BM28" s="128"/>
      <c r="BN28" s="128"/>
      <c r="BO28" s="128"/>
      <c r="BP28" s="128"/>
      <c r="BQ28" s="850"/>
    </row>
    <row r="29" spans="1:69" ht="14.25" customHeight="1">
      <c r="A29" s="128"/>
      <c r="B29" s="128"/>
      <c r="C29" s="128"/>
      <c r="D29" s="128"/>
      <c r="E29" s="128"/>
      <c r="F29" s="342"/>
      <c r="G29" s="851"/>
      <c r="H29" s="128"/>
      <c r="I29" s="851"/>
      <c r="J29" s="917"/>
      <c r="K29" s="917"/>
      <c r="L29" s="851"/>
      <c r="M29" s="783"/>
      <c r="N29" s="851"/>
      <c r="O29" s="928"/>
      <c r="P29" s="925"/>
      <c r="Q29" s="925"/>
      <c r="R29" s="925"/>
      <c r="S29" s="925"/>
      <c r="T29" s="925"/>
      <c r="U29" s="908"/>
      <c r="V29" s="908"/>
      <c r="W29" s="907"/>
      <c r="X29" s="128"/>
      <c r="Y29" s="128"/>
      <c r="Z29" s="128"/>
      <c r="AA29" s="584"/>
      <c r="AB29" s="584"/>
      <c r="AC29" s="584"/>
      <c r="AD29" s="584"/>
      <c r="AE29" s="584"/>
      <c r="AF29" s="918"/>
      <c r="AG29" s="236"/>
      <c r="AH29" s="128"/>
      <c r="AI29" s="128"/>
      <c r="AJ29" s="128"/>
      <c r="AK29" s="128"/>
      <c r="AL29" s="128"/>
      <c r="AM29" s="47"/>
      <c r="AN29" s="47"/>
      <c r="AO29" s="128"/>
      <c r="AP29" s="783"/>
      <c r="AQ29" s="783"/>
      <c r="AR29" s="783"/>
      <c r="AS29" s="783"/>
      <c r="AT29" s="783"/>
      <c r="AU29" s="918"/>
      <c r="AV29" s="235"/>
      <c r="AW29" s="128"/>
      <c r="AX29" s="128"/>
      <c r="AY29" s="128"/>
      <c r="AZ29" s="128"/>
      <c r="BA29" s="128"/>
      <c r="BB29" s="907"/>
      <c r="BC29" s="128"/>
      <c r="BD29" s="128"/>
      <c r="BE29" s="128"/>
      <c r="BF29" s="783"/>
      <c r="BG29" s="783"/>
      <c r="BH29" s="783"/>
      <c r="BI29" s="783"/>
      <c r="BJ29" s="783"/>
      <c r="BK29" s="918"/>
      <c r="BL29" s="235"/>
      <c r="BM29" s="128"/>
      <c r="BN29" s="128"/>
      <c r="BO29" s="128"/>
      <c r="BP29" s="128"/>
      <c r="BQ29" s="850"/>
    </row>
    <row r="30" spans="1:69" ht="14.25" customHeight="1">
      <c r="A30" s="128"/>
      <c r="B30" s="128"/>
      <c r="C30" s="128"/>
      <c r="D30" s="128"/>
      <c r="E30" s="128"/>
      <c r="F30" s="342"/>
      <c r="G30" s="851"/>
      <c r="H30" s="851"/>
      <c r="I30" s="851"/>
      <c r="J30" s="1424" t="s">
        <v>498</v>
      </c>
      <c r="K30" s="1361"/>
      <c r="L30" s="851"/>
      <c r="M30" s="851"/>
      <c r="N30" s="851"/>
      <c r="O30" s="1425" t="e">
        <f>+U28</f>
        <v>#DIV/0!</v>
      </c>
      <c r="P30" s="1360"/>
      <c r="Q30" s="1360"/>
      <c r="R30" s="1360"/>
      <c r="S30" s="1360"/>
      <c r="T30" s="1360"/>
      <c r="U30" s="1361"/>
      <c r="V30" s="908"/>
      <c r="W30" s="907"/>
      <c r="X30" s="1426" t="s">
        <v>499</v>
      </c>
      <c r="Y30" s="1361"/>
      <c r="Z30" s="908"/>
      <c r="AA30" s="1427" t="e">
        <v>#REF!</v>
      </c>
      <c r="AB30" s="1360"/>
      <c r="AC30" s="1360"/>
      <c r="AD30" s="1360"/>
      <c r="AE30" s="1360"/>
      <c r="AF30" s="1361"/>
      <c r="AG30" s="236"/>
      <c r="AH30" s="128"/>
      <c r="AI30" s="128"/>
      <c r="AJ30" s="128"/>
      <c r="AK30" s="128"/>
      <c r="AL30" s="128"/>
      <c r="AM30" s="1428" t="s">
        <v>500</v>
      </c>
      <c r="AN30" s="1361"/>
      <c r="AO30" s="908"/>
      <c r="AP30" s="1427">
        <f>+'1. Datos'!H119</f>
        <v>0</v>
      </c>
      <c r="AQ30" s="1360"/>
      <c r="AR30" s="1360"/>
      <c r="AS30" s="1360"/>
      <c r="AT30" s="1360"/>
      <c r="AU30" s="1361"/>
      <c r="AV30" s="235"/>
      <c r="AW30" s="128"/>
      <c r="AX30" s="128"/>
      <c r="AY30" s="128"/>
      <c r="AZ30" s="128"/>
      <c r="BA30" s="128"/>
      <c r="BB30" s="907"/>
      <c r="BC30" s="1426" t="s">
        <v>499</v>
      </c>
      <c r="BD30" s="1361"/>
      <c r="BE30" s="908"/>
      <c r="BF30" s="1427" t="e">
        <v>#REF!</v>
      </c>
      <c r="BG30" s="1360"/>
      <c r="BH30" s="1360"/>
      <c r="BI30" s="1360"/>
      <c r="BJ30" s="1360"/>
      <c r="BK30" s="1361"/>
      <c r="BL30" s="235"/>
      <c r="BM30" s="128"/>
      <c r="BN30" s="128"/>
      <c r="BO30" s="128"/>
      <c r="BP30" s="128"/>
      <c r="BQ30" s="850"/>
    </row>
    <row r="31" spans="1:69" ht="14.25" customHeight="1">
      <c r="A31" s="128"/>
      <c r="B31" s="128"/>
      <c r="C31" s="128"/>
      <c r="D31" s="128"/>
      <c r="E31" s="128"/>
      <c r="F31" s="342"/>
      <c r="G31" s="851"/>
      <c r="H31" s="851"/>
      <c r="I31" s="851"/>
      <c r="J31" s="929"/>
      <c r="K31" s="929"/>
      <c r="L31" s="851"/>
      <c r="M31" s="851"/>
      <c r="N31" s="851"/>
      <c r="O31" s="928"/>
      <c r="P31" s="925"/>
      <c r="Q31" s="925"/>
      <c r="R31" s="925"/>
      <c r="S31" s="925"/>
      <c r="T31" s="925"/>
      <c r="U31" s="908"/>
      <c r="V31" s="908"/>
      <c r="W31" s="907"/>
      <c r="X31" s="930"/>
      <c r="Y31" s="930"/>
      <c r="Z31" s="908"/>
      <c r="AA31" s="918"/>
      <c r="AB31" s="918"/>
      <c r="AC31" s="918"/>
      <c r="AD31" s="918"/>
      <c r="AE31" s="918"/>
      <c r="AF31" s="918"/>
      <c r="AG31" s="236"/>
      <c r="AH31" s="128"/>
      <c r="AI31" s="128"/>
      <c r="AJ31" s="128"/>
      <c r="AK31" s="128"/>
      <c r="AL31" s="128"/>
      <c r="AM31" s="931"/>
      <c r="AN31" s="931"/>
      <c r="AO31" s="908"/>
      <c r="AP31" s="918"/>
      <c r="AQ31" s="918"/>
      <c r="AR31" s="918"/>
      <c r="AS31" s="918"/>
      <c r="AT31" s="918"/>
      <c r="AU31" s="918"/>
      <c r="AV31" s="235"/>
      <c r="AW31" s="128"/>
      <c r="AX31" s="128"/>
      <c r="AY31" s="128"/>
      <c r="AZ31" s="128"/>
      <c r="BA31" s="128"/>
      <c r="BB31" s="907"/>
      <c r="BC31" s="908"/>
      <c r="BD31" s="908"/>
      <c r="BE31" s="908"/>
      <c r="BF31" s="918"/>
      <c r="BG31" s="918"/>
      <c r="BH31" s="918"/>
      <c r="BI31" s="918"/>
      <c r="BJ31" s="918"/>
      <c r="BK31" s="918"/>
      <c r="BL31" s="235"/>
      <c r="BM31" s="128"/>
      <c r="BN31" s="128"/>
      <c r="BO31" s="128"/>
      <c r="BP31" s="128"/>
      <c r="BQ31" s="850"/>
    </row>
    <row r="32" spans="1:69" ht="14.25" hidden="1" customHeight="1">
      <c r="A32" s="128"/>
      <c r="B32" s="128"/>
      <c r="C32" s="128"/>
      <c r="D32" s="128"/>
      <c r="E32" s="128"/>
      <c r="F32" s="342"/>
      <c r="G32" s="851"/>
      <c r="H32" s="851"/>
      <c r="I32" s="851"/>
      <c r="J32" s="1424" t="s">
        <v>501</v>
      </c>
      <c r="K32" s="1361"/>
      <c r="L32" s="851"/>
      <c r="M32" s="851"/>
      <c r="N32" s="851"/>
      <c r="O32" s="1425" t="e">
        <f>+AVERAGE(N28:R28)</f>
        <v>#DIV/0!</v>
      </c>
      <c r="P32" s="1360"/>
      <c r="Q32" s="1360"/>
      <c r="R32" s="1361"/>
      <c r="S32" s="925"/>
      <c r="T32" s="925"/>
      <c r="U32" s="851"/>
      <c r="V32" s="851"/>
      <c r="W32" s="856"/>
      <c r="X32" s="1426" t="s">
        <v>410</v>
      </c>
      <c r="Y32" s="1361"/>
      <c r="Z32" s="908"/>
      <c r="AA32" s="1427" t="e">
        <f>#REF!</f>
        <v>#REF!</v>
      </c>
      <c r="AB32" s="1360"/>
      <c r="AC32" s="1360"/>
      <c r="AD32" s="1360"/>
      <c r="AE32" s="1360"/>
      <c r="AF32" s="1361"/>
      <c r="AG32" s="236"/>
      <c r="AH32" s="1420"/>
      <c r="AI32" s="1360"/>
      <c r="AJ32" s="1361"/>
      <c r="AK32" s="128"/>
      <c r="AL32" s="128"/>
      <c r="AM32" s="1431" t="s">
        <v>1020</v>
      </c>
      <c r="AN32" s="1361"/>
      <c r="AO32" s="908"/>
      <c r="AP32" s="1427" t="e">
        <f>ROUND(#REF!+#REF!,-3)</f>
        <v>#REF!</v>
      </c>
      <c r="AQ32" s="1360"/>
      <c r="AR32" s="1360"/>
      <c r="AS32" s="1360"/>
      <c r="AT32" s="1360"/>
      <c r="AU32" s="1361"/>
      <c r="AV32" s="235"/>
      <c r="AW32" s="1420"/>
      <c r="AX32" s="1360"/>
      <c r="AY32" s="1360"/>
      <c r="AZ32" s="1361"/>
      <c r="BA32" s="128"/>
      <c r="BB32" s="856"/>
      <c r="BC32" s="1438" t="s">
        <v>502</v>
      </c>
      <c r="BD32" s="1361"/>
      <c r="BE32" s="908"/>
      <c r="BF32" s="1427" t="e">
        <f>BF28-BF30</f>
        <v>#DIV/0!</v>
      </c>
      <c r="BG32" s="1360"/>
      <c r="BH32" s="1360"/>
      <c r="BI32" s="1360"/>
      <c r="BJ32" s="1360"/>
      <c r="BK32" s="1361"/>
      <c r="BL32" s="235"/>
      <c r="BM32" s="1420"/>
      <c r="BN32" s="1360"/>
      <c r="BO32" s="1360"/>
      <c r="BP32" s="1361"/>
      <c r="BQ32" s="850"/>
    </row>
    <row r="33" spans="1:69" ht="24.75" hidden="1" customHeight="1">
      <c r="A33" s="128"/>
      <c r="B33" s="128"/>
      <c r="C33" s="128"/>
      <c r="D33" s="128"/>
      <c r="E33" s="128"/>
      <c r="F33" s="342"/>
      <c r="G33" s="851"/>
      <c r="H33" s="851"/>
      <c r="I33" s="851"/>
      <c r="J33" s="51" t="s">
        <v>503</v>
      </c>
      <c r="K33" s="128"/>
      <c r="L33" s="128"/>
      <c r="M33" s="128"/>
      <c r="N33" s="128"/>
      <c r="O33" s="128"/>
      <c r="P33" s="932"/>
      <c r="Q33" s="932"/>
      <c r="R33" s="932"/>
      <c r="S33" s="925"/>
      <c r="T33" s="925"/>
      <c r="U33" s="851"/>
      <c r="V33" s="851"/>
      <c r="W33" s="856"/>
      <c r="X33" s="930"/>
      <c r="Y33" s="930"/>
      <c r="Z33" s="908"/>
      <c r="AA33" s="918"/>
      <c r="AB33" s="918"/>
      <c r="AC33" s="918"/>
      <c r="AD33" s="918"/>
      <c r="AE33" s="918"/>
      <c r="AF33" s="918"/>
      <c r="AG33" s="236"/>
      <c r="AH33" s="128"/>
      <c r="AI33" s="128"/>
      <c r="AJ33" s="128"/>
      <c r="AK33" s="128"/>
      <c r="AL33" s="128"/>
      <c r="AM33" s="930"/>
      <c r="AN33" s="930"/>
      <c r="AO33" s="908"/>
      <c r="AP33" s="918"/>
      <c r="AQ33" s="918"/>
      <c r="AR33" s="918"/>
      <c r="AS33" s="918"/>
      <c r="AT33" s="918"/>
      <c r="AU33" s="918"/>
      <c r="AV33" s="235"/>
      <c r="AW33" s="128"/>
      <c r="AX33" s="128"/>
      <c r="AY33" s="128"/>
      <c r="AZ33" s="128"/>
      <c r="BA33" s="128"/>
      <c r="BB33" s="856"/>
      <c r="BC33" s="933"/>
      <c r="BD33" s="933"/>
      <c r="BE33" s="934"/>
      <c r="BF33" s="935"/>
      <c r="BG33" s="935"/>
      <c r="BH33" s="935"/>
      <c r="BI33" s="935"/>
      <c r="BJ33" s="935"/>
      <c r="BK33" s="935"/>
      <c r="BL33" s="235"/>
      <c r="BM33" s="128"/>
      <c r="BN33" s="128"/>
      <c r="BO33" s="128"/>
      <c r="BP33" s="128"/>
      <c r="BQ33" s="850"/>
    </row>
    <row r="34" spans="1:69" ht="18" customHeight="1">
      <c r="A34" s="128"/>
      <c r="B34" s="128"/>
      <c r="C34" s="128"/>
      <c r="D34" s="128"/>
      <c r="E34" s="128"/>
      <c r="F34" s="342"/>
      <c r="G34" s="851"/>
      <c r="H34" s="851"/>
      <c r="I34" s="851"/>
      <c r="J34" s="128"/>
      <c r="K34" s="128"/>
      <c r="L34" s="128"/>
      <c r="M34" s="128"/>
      <c r="N34" s="128"/>
      <c r="O34" s="925"/>
      <c r="P34" s="723"/>
      <c r="Q34" s="723"/>
      <c r="R34" s="723"/>
      <c r="S34" s="925"/>
      <c r="T34" s="925"/>
      <c r="U34" s="851"/>
      <c r="V34" s="851"/>
      <c r="W34" s="856"/>
      <c r="X34" s="1426"/>
      <c r="Y34" s="1361"/>
      <c r="Z34" s="908"/>
      <c r="AA34" s="1427" t="e">
        <f>AA26+AA24</f>
        <v>#DIV/0!</v>
      </c>
      <c r="AB34" s="1360"/>
      <c r="AC34" s="1360"/>
      <c r="AD34" s="1360"/>
      <c r="AE34" s="1360"/>
      <c r="AF34" s="1361"/>
      <c r="AG34" s="236"/>
      <c r="AH34" s="1420"/>
      <c r="AI34" s="1360"/>
      <c r="AJ34" s="1360"/>
      <c r="AK34" s="1361"/>
      <c r="AL34" s="342"/>
      <c r="AM34" s="1438" t="s">
        <v>504</v>
      </c>
      <c r="AN34" s="1361"/>
      <c r="AO34" s="908"/>
      <c r="AP34" s="1427" t="e">
        <f>+AP28-AP30</f>
        <v>#REF!</v>
      </c>
      <c r="AQ34" s="1360"/>
      <c r="AR34" s="1360"/>
      <c r="AS34" s="1360"/>
      <c r="AT34" s="1360"/>
      <c r="AU34" s="1361"/>
      <c r="AV34" s="235"/>
      <c r="AW34" s="128"/>
      <c r="AX34" s="128"/>
      <c r="AY34" s="128"/>
      <c r="AZ34" s="128"/>
      <c r="BA34" s="128"/>
      <c r="BB34" s="856"/>
      <c r="BC34" s="936"/>
      <c r="BD34" s="936"/>
      <c r="BE34" s="937"/>
      <c r="BF34" s="938"/>
      <c r="BG34" s="938"/>
      <c r="BH34" s="938"/>
      <c r="BI34" s="938"/>
      <c r="BJ34" s="938"/>
      <c r="BK34" s="938"/>
      <c r="BL34" s="235"/>
      <c r="BM34" s="128"/>
      <c r="BN34" s="128"/>
      <c r="BO34" s="128"/>
      <c r="BP34" s="128"/>
      <c r="BQ34" s="850"/>
    </row>
    <row r="35" spans="1:69" ht="18" customHeight="1">
      <c r="A35" s="128"/>
      <c r="B35" s="128"/>
      <c r="C35" s="128"/>
      <c r="D35" s="128"/>
      <c r="E35" s="128"/>
      <c r="F35" s="342"/>
      <c r="G35" s="851"/>
      <c r="H35" s="851"/>
      <c r="I35" s="851"/>
      <c r="J35" s="1424" t="s">
        <v>495</v>
      </c>
      <c r="K35" s="1361"/>
      <c r="L35" s="851"/>
      <c r="M35" s="851"/>
      <c r="N35" s="925"/>
      <c r="O35" s="1425">
        <v>0.3</v>
      </c>
      <c r="P35" s="1360"/>
      <c r="Q35" s="1360"/>
      <c r="R35" s="1360"/>
      <c r="S35" s="1360"/>
      <c r="T35" s="1360"/>
      <c r="U35" s="1361"/>
      <c r="V35" s="851"/>
      <c r="W35" s="856"/>
      <c r="X35" s="128"/>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235"/>
      <c r="AW35" s="1420"/>
      <c r="AX35" s="1360"/>
      <c r="AY35" s="1361"/>
      <c r="AZ35" s="128"/>
      <c r="BA35" s="128"/>
      <c r="BB35" s="856"/>
      <c r="BC35" s="1426" t="s">
        <v>410</v>
      </c>
      <c r="BD35" s="1361"/>
      <c r="BE35" s="908"/>
      <c r="BF35" s="1427" t="e">
        <f>BF32</f>
        <v>#DIV/0!</v>
      </c>
      <c r="BG35" s="1360"/>
      <c r="BH35" s="1360"/>
      <c r="BI35" s="1360"/>
      <c r="BJ35" s="1360"/>
      <c r="BK35" s="1361"/>
      <c r="BL35" s="235"/>
      <c r="BM35" s="1420"/>
      <c r="BN35" s="1360"/>
      <c r="BO35" s="1361"/>
      <c r="BP35" s="128"/>
      <c r="BQ35" s="850"/>
    </row>
    <row r="36" spans="1:69" ht="27.75" customHeight="1">
      <c r="A36" s="128"/>
      <c r="B36" s="128"/>
      <c r="C36" s="128"/>
      <c r="D36" s="128"/>
      <c r="E36" s="128"/>
      <c r="F36" s="342"/>
      <c r="G36" s="851"/>
      <c r="H36" s="851"/>
      <c r="I36" s="851"/>
      <c r="J36" s="940"/>
      <c r="K36" s="128"/>
      <c r="L36" s="128"/>
      <c r="M36" s="128"/>
      <c r="N36" s="128"/>
      <c r="O36" s="128"/>
      <c r="P36" s="851"/>
      <c r="Q36" s="851"/>
      <c r="R36" s="851"/>
      <c r="S36" s="925"/>
      <c r="T36" s="925"/>
      <c r="U36" s="851"/>
      <c r="V36" s="851"/>
      <c r="W36" s="856"/>
      <c r="X36" s="1434"/>
      <c r="Y36" s="1361"/>
      <c r="Z36" s="128"/>
      <c r="AA36" s="128"/>
      <c r="AB36" s="128"/>
      <c r="AC36" s="128"/>
      <c r="AD36" s="128"/>
      <c r="AE36" s="128"/>
      <c r="AF36" s="128"/>
      <c r="AG36" s="128"/>
      <c r="AH36" s="128"/>
      <c r="AI36" s="128"/>
      <c r="AJ36" s="128"/>
      <c r="AK36" s="128"/>
      <c r="AL36" s="128"/>
      <c r="AM36" s="1434" t="s">
        <v>505</v>
      </c>
      <c r="AN36" s="1361"/>
      <c r="AO36" s="128"/>
      <c r="AP36" s="1439" t="e">
        <f>+ROUND(AP34,-3)</f>
        <v>#REF!</v>
      </c>
      <c r="AQ36" s="1360"/>
      <c r="AR36" s="1360"/>
      <c r="AS36" s="1360"/>
      <c r="AT36" s="1360"/>
      <c r="AU36" s="1361"/>
      <c r="AV36" s="235"/>
      <c r="AW36" s="128"/>
      <c r="AX36" s="128"/>
      <c r="AY36" s="128"/>
      <c r="AZ36" s="128"/>
      <c r="BA36" s="128"/>
      <c r="BB36" s="856"/>
      <c r="BC36" s="930"/>
      <c r="BD36" s="930"/>
      <c r="BE36" s="908"/>
      <c r="BF36" s="918"/>
      <c r="BG36" s="918"/>
      <c r="BH36" s="918"/>
      <c r="BI36" s="918"/>
      <c r="BJ36" s="918"/>
      <c r="BK36" s="918"/>
      <c r="BL36" s="235"/>
      <c r="BM36" s="128"/>
      <c r="BN36" s="128"/>
      <c r="BO36" s="128"/>
      <c r="BP36" s="128"/>
      <c r="BQ36" s="850"/>
    </row>
    <row r="37" spans="1:69" ht="15.75" customHeight="1">
      <c r="A37" s="128"/>
      <c r="B37" s="128"/>
      <c r="C37" s="128"/>
      <c r="D37" s="128"/>
      <c r="E37" s="128"/>
      <c r="F37" s="342"/>
      <c r="G37" s="851"/>
      <c r="H37" s="851"/>
      <c r="I37" s="851"/>
      <c r="J37" s="1424" t="s">
        <v>506</v>
      </c>
      <c r="K37" s="1361"/>
      <c r="L37" s="851"/>
      <c r="M37" s="851"/>
      <c r="N37" s="925"/>
      <c r="O37" s="1425">
        <f>1-'reinvestment us'!D12</f>
        <v>1.3375347310393355</v>
      </c>
      <c r="P37" s="1360"/>
      <c r="Q37" s="1360"/>
      <c r="R37" s="1360"/>
      <c r="S37" s="1360"/>
      <c r="T37" s="1360"/>
      <c r="U37" s="1361"/>
      <c r="V37" s="851"/>
      <c r="W37" s="851"/>
      <c r="X37" s="128"/>
      <c r="Y37" s="128"/>
      <c r="Z37" s="128"/>
      <c r="AA37" s="128"/>
      <c r="AB37" s="128"/>
      <c r="AC37" s="128"/>
      <c r="AD37" s="128"/>
      <c r="AE37" s="128"/>
      <c r="AF37" s="128"/>
      <c r="AG37" s="128"/>
      <c r="AH37" s="128"/>
      <c r="AI37" s="128"/>
      <c r="AJ37" s="128"/>
      <c r="AK37" s="128"/>
      <c r="AL37" s="128"/>
      <c r="AM37" s="128"/>
      <c r="AN37" s="128"/>
      <c r="AO37" s="128"/>
      <c r="AP37" s="128"/>
      <c r="AQ37" s="128"/>
      <c r="AR37" s="128"/>
      <c r="AS37" s="128"/>
      <c r="AT37" s="128"/>
      <c r="AU37" s="128"/>
      <c r="AV37" s="235"/>
      <c r="AW37" s="1420"/>
      <c r="AX37" s="1360"/>
      <c r="AY37" s="1360"/>
      <c r="AZ37" s="1361"/>
      <c r="BA37" s="342"/>
      <c r="BB37" s="856"/>
      <c r="BC37" s="1426" t="s">
        <v>406</v>
      </c>
      <c r="BD37" s="1361"/>
      <c r="BE37" s="908"/>
      <c r="BF37" s="1427" t="e">
        <f>BF32+BF30</f>
        <v>#DIV/0!</v>
      </c>
      <c r="BG37" s="1360"/>
      <c r="BH37" s="1360"/>
      <c r="BI37" s="1360"/>
      <c r="BJ37" s="1360"/>
      <c r="BK37" s="1361"/>
      <c r="BL37" s="235"/>
      <c r="BM37" s="1420"/>
      <c r="BN37" s="1360"/>
      <c r="BO37" s="1360"/>
      <c r="BP37" s="1361"/>
      <c r="BQ37" s="382"/>
    </row>
    <row r="38" spans="1:69" ht="26.25" hidden="1" customHeight="1">
      <c r="A38" s="128"/>
      <c r="B38" s="128"/>
      <c r="C38" s="128"/>
      <c r="D38" s="128"/>
      <c r="E38" s="128"/>
      <c r="F38" s="342"/>
      <c r="G38" s="851"/>
      <c r="H38" s="851"/>
      <c r="I38" s="851"/>
      <c r="J38" s="925"/>
      <c r="K38" s="925"/>
      <c r="L38" s="925"/>
      <c r="M38" s="740"/>
      <c r="N38" s="925"/>
      <c r="O38" s="925"/>
      <c r="P38" s="925"/>
      <c r="Q38" s="925"/>
      <c r="R38" s="925"/>
      <c r="S38" s="925"/>
      <c r="T38" s="925"/>
      <c r="U38" s="851"/>
      <c r="V38" s="851"/>
      <c r="W38" s="851"/>
      <c r="X38" s="1434"/>
      <c r="Y38" s="1361"/>
      <c r="Z38" s="128"/>
      <c r="AA38" s="128"/>
      <c r="AB38" s="128"/>
      <c r="AC38" s="128"/>
      <c r="AD38" s="128"/>
      <c r="AE38" s="128"/>
      <c r="AF38" s="128"/>
      <c r="AG38" s="128"/>
      <c r="AH38" s="128"/>
      <c r="AI38" s="128"/>
      <c r="AJ38" s="128"/>
      <c r="AK38" s="128"/>
      <c r="AL38" s="128"/>
      <c r="AM38" s="1434" t="s">
        <v>507</v>
      </c>
      <c r="AN38" s="1361"/>
      <c r="AO38" s="128"/>
      <c r="AP38" s="1439" t="e">
        <f>+AP36+AP30</f>
        <v>#REF!</v>
      </c>
      <c r="AQ38" s="1360"/>
      <c r="AR38" s="1360"/>
      <c r="AS38" s="1360"/>
      <c r="AT38" s="1360"/>
      <c r="AU38" s="1361"/>
      <c r="AV38" s="128"/>
      <c r="AW38" s="443"/>
      <c r="AX38" s="443"/>
      <c r="AY38" s="443"/>
      <c r="AZ38" s="443"/>
      <c r="BA38" s="128"/>
      <c r="BB38" s="851"/>
      <c r="BC38" s="912"/>
      <c r="BD38" s="912"/>
      <c r="BE38" s="908"/>
      <c r="BF38" s="941"/>
      <c r="BG38" s="941"/>
      <c r="BH38" s="941"/>
      <c r="BI38" s="941"/>
      <c r="BJ38" s="941"/>
      <c r="BK38" s="941"/>
      <c r="BL38" s="235"/>
      <c r="BM38" s="443"/>
      <c r="BN38" s="443"/>
      <c r="BO38" s="443"/>
      <c r="BP38" s="443"/>
      <c r="BQ38" s="850"/>
    </row>
    <row r="39" spans="1:69" ht="15.75" hidden="1" customHeight="1">
      <c r="A39" s="128"/>
      <c r="B39" s="128"/>
      <c r="C39" s="128"/>
      <c r="D39" s="128"/>
      <c r="E39" s="128"/>
      <c r="F39" s="342"/>
      <c r="G39" s="851"/>
      <c r="H39" s="851"/>
      <c r="I39" s="851"/>
      <c r="J39" s="925"/>
      <c r="K39" s="925"/>
      <c r="L39" s="925"/>
      <c r="M39" s="851"/>
      <c r="N39" s="925"/>
      <c r="O39" s="925"/>
      <c r="P39" s="925"/>
      <c r="Q39" s="925"/>
      <c r="R39" s="925"/>
      <c r="S39" s="925"/>
      <c r="T39" s="925"/>
      <c r="U39" s="851"/>
      <c r="V39" s="851"/>
      <c r="W39" s="851"/>
      <c r="X39" s="942"/>
      <c r="Y39" s="942"/>
      <c r="Z39" s="942"/>
      <c r="AA39" s="942"/>
      <c r="AB39" s="942"/>
      <c r="AC39" s="942"/>
      <c r="AD39" s="942"/>
      <c r="AE39" s="942"/>
      <c r="AF39" s="942"/>
      <c r="AG39" s="943"/>
      <c r="AH39" s="944"/>
      <c r="AI39" s="944"/>
      <c r="AJ39" s="944"/>
      <c r="AK39" s="944"/>
      <c r="AL39" s="944"/>
      <c r="AM39" s="942"/>
      <c r="AN39" s="942"/>
      <c r="AO39" s="942"/>
      <c r="AP39" s="942"/>
      <c r="AQ39" s="942"/>
      <c r="AR39" s="942"/>
      <c r="AS39" s="942"/>
      <c r="AT39" s="942"/>
      <c r="AU39" s="942"/>
      <c r="AV39" s="235"/>
      <c r="AW39" s="443" t="s">
        <v>508</v>
      </c>
      <c r="AX39" s="443"/>
      <c r="AY39" s="443"/>
      <c r="AZ39" s="443"/>
      <c r="BA39" s="128"/>
      <c r="BB39" s="851"/>
      <c r="BC39" s="1426" t="s">
        <v>509</v>
      </c>
      <c r="BD39" s="1361"/>
      <c r="BE39" s="908"/>
      <c r="BF39" s="1436" t="e">
        <f>+AP36</f>
        <v>#REF!</v>
      </c>
      <c r="BG39" s="1360"/>
      <c r="BH39" s="1360"/>
      <c r="BI39" s="1360"/>
      <c r="BJ39" s="1360"/>
      <c r="BK39" s="1361"/>
      <c r="BL39" s="235"/>
      <c r="BM39" s="443"/>
      <c r="BN39" s="443"/>
      <c r="BO39" s="443"/>
      <c r="BP39" s="443"/>
      <c r="BQ39" s="850"/>
    </row>
    <row r="40" spans="1:69" ht="14.25" hidden="1" customHeight="1">
      <c r="A40" s="128"/>
      <c r="B40" s="128"/>
      <c r="C40" s="128"/>
      <c r="D40" s="128"/>
      <c r="E40" s="128"/>
      <c r="F40" s="342"/>
      <c r="G40" s="851"/>
      <c r="H40" s="851"/>
      <c r="I40" s="851"/>
      <c r="J40" s="1424"/>
      <c r="K40" s="1361"/>
      <c r="L40" s="851"/>
      <c r="M40" s="851"/>
      <c r="N40" s="851"/>
      <c r="O40" s="1425"/>
      <c r="P40" s="1360"/>
      <c r="Q40" s="1360"/>
      <c r="R40" s="1361"/>
      <c r="S40" s="851"/>
      <c r="T40" s="851"/>
      <c r="U40" s="851"/>
      <c r="V40" s="851"/>
      <c r="W40" s="851"/>
      <c r="X40" s="1426" t="s">
        <v>406</v>
      </c>
      <c r="Y40" s="1361"/>
      <c r="Z40" s="908"/>
      <c r="AA40" s="1427" t="e">
        <f>#REF!+AA30</f>
        <v>#REF!</v>
      </c>
      <c r="AB40" s="1360"/>
      <c r="AC40" s="1360"/>
      <c r="AD40" s="1360"/>
      <c r="AE40" s="1360"/>
      <c r="AF40" s="1361"/>
      <c r="AG40" s="236"/>
      <c r="AH40" s="1420"/>
      <c r="AI40" s="1360"/>
      <c r="AJ40" s="1360"/>
      <c r="AK40" s="1361"/>
      <c r="AL40" s="342"/>
      <c r="AM40" s="1428" t="s">
        <v>510</v>
      </c>
      <c r="AN40" s="1361"/>
      <c r="AO40" s="908"/>
      <c r="AP40" s="1427" t="e">
        <f>+AP32+AP34</f>
        <v>#REF!</v>
      </c>
      <c r="AQ40" s="1360"/>
      <c r="AR40" s="1360"/>
      <c r="AS40" s="1360"/>
      <c r="AT40" s="1360"/>
      <c r="AU40" s="1361"/>
      <c r="AV40" s="235"/>
      <c r="AW40" s="443"/>
      <c r="AX40" s="443"/>
      <c r="AY40" s="443"/>
      <c r="AZ40" s="443"/>
      <c r="BA40" s="128"/>
      <c r="BB40" s="851"/>
      <c r="BC40" s="912"/>
      <c r="BD40" s="912"/>
      <c r="BE40" s="908"/>
      <c r="BF40" s="941"/>
      <c r="BG40" s="941"/>
      <c r="BH40" s="941"/>
      <c r="BI40" s="941"/>
      <c r="BJ40" s="941"/>
      <c r="BK40" s="941"/>
      <c r="BL40" s="235"/>
      <c r="BM40" s="443"/>
      <c r="BN40" s="443"/>
      <c r="BO40" s="443"/>
      <c r="BP40" s="443"/>
      <c r="BQ40" s="850"/>
    </row>
    <row r="41" spans="1:69" ht="14.25" hidden="1" customHeight="1">
      <c r="A41" s="128"/>
      <c r="B41" s="128"/>
      <c r="C41" s="128"/>
      <c r="D41" s="128"/>
      <c r="E41" s="128"/>
      <c r="F41" s="342"/>
      <c r="G41" s="851"/>
      <c r="H41" s="851"/>
      <c r="I41" s="851"/>
      <c r="J41" s="719"/>
      <c r="K41" s="851"/>
      <c r="L41" s="851"/>
      <c r="M41" s="851"/>
      <c r="N41" s="851"/>
      <c r="O41" s="851"/>
      <c r="P41" s="851"/>
      <c r="Q41" s="851"/>
      <c r="R41" s="851"/>
      <c r="S41" s="851"/>
      <c r="T41" s="851"/>
      <c r="U41" s="851"/>
      <c r="V41" s="851"/>
      <c r="W41" s="945"/>
      <c r="X41" s="946"/>
      <c r="Y41" s="946"/>
      <c r="Z41" s="946"/>
      <c r="AA41" s="946"/>
      <c r="AB41" s="128"/>
      <c r="AC41" s="946" t="e">
        <v>#REF!</v>
      </c>
      <c r="AD41" s="946"/>
      <c r="AE41" s="946"/>
      <c r="AF41" s="946"/>
      <c r="AG41" s="128"/>
      <c r="AH41" s="128"/>
      <c r="AI41" s="128"/>
      <c r="AJ41" s="128"/>
      <c r="AK41" s="128"/>
      <c r="AL41" s="128"/>
      <c r="AM41" s="128"/>
      <c r="AN41" s="128"/>
      <c r="AO41" s="128"/>
      <c r="AP41" s="128"/>
      <c r="AQ41" s="128"/>
      <c r="AR41" s="128"/>
      <c r="AS41" s="128"/>
      <c r="AT41" s="128"/>
      <c r="AU41" s="128"/>
      <c r="AV41" s="235"/>
      <c r="AW41" s="443"/>
      <c r="AX41" s="443"/>
      <c r="AY41" s="443"/>
      <c r="AZ41" s="443"/>
      <c r="BA41" s="128"/>
      <c r="BB41" s="851"/>
      <c r="BC41" s="1426" t="s">
        <v>511</v>
      </c>
      <c r="BD41" s="1361"/>
      <c r="BE41" s="908"/>
      <c r="BF41" s="1437" t="e">
        <f>BF35/BF39</f>
        <v>#DIV/0!</v>
      </c>
      <c r="BG41" s="1360"/>
      <c r="BH41" s="1360"/>
      <c r="BI41" s="1360"/>
      <c r="BJ41" s="1360"/>
      <c r="BK41" s="1361"/>
      <c r="BL41" s="235"/>
      <c r="BM41" s="443"/>
      <c r="BN41" s="443"/>
      <c r="BO41" s="443"/>
      <c r="BP41" s="443"/>
      <c r="BQ41" s="850"/>
    </row>
    <row r="42" spans="1:69" ht="19.5" hidden="1" customHeight="1">
      <c r="A42" s="128"/>
      <c r="B42" s="128"/>
      <c r="C42" s="128"/>
      <c r="D42" s="128"/>
      <c r="E42" s="128"/>
      <c r="F42" s="947"/>
      <c r="G42" s="942"/>
      <c r="H42" s="942"/>
      <c r="I42" s="942"/>
      <c r="J42" s="869"/>
      <c r="K42" s="942"/>
      <c r="L42" s="945"/>
      <c r="M42" s="945"/>
      <c r="N42" s="945"/>
      <c r="O42" s="945"/>
      <c r="P42" s="945"/>
      <c r="Q42" s="945"/>
      <c r="R42" s="945"/>
      <c r="S42" s="945"/>
      <c r="T42" s="945"/>
      <c r="U42" s="945"/>
      <c r="V42" s="945"/>
      <c r="W42" s="128"/>
      <c r="X42" s="128"/>
      <c r="Y42" s="128"/>
      <c r="Z42" s="128"/>
      <c r="AA42" s="128"/>
      <c r="AB42" s="128"/>
      <c r="AC42" s="128"/>
      <c r="AD42" s="128"/>
      <c r="AE42" s="128"/>
      <c r="AF42" s="128"/>
      <c r="AG42" s="128"/>
      <c r="AH42" s="128"/>
      <c r="AI42" s="128"/>
      <c r="AJ42" s="128"/>
      <c r="AK42" s="128"/>
      <c r="AL42" s="128"/>
      <c r="AM42" s="128"/>
      <c r="AN42" s="128"/>
      <c r="AO42" s="128"/>
      <c r="AP42" s="128"/>
      <c r="AQ42" s="128"/>
      <c r="AR42" s="128"/>
      <c r="AS42" s="128"/>
      <c r="AT42" s="128"/>
      <c r="AU42" s="128"/>
      <c r="AV42" s="943"/>
      <c r="AW42" s="944"/>
      <c r="AX42" s="944"/>
      <c r="AY42" s="944"/>
      <c r="AZ42" s="944"/>
      <c r="BA42" s="944"/>
      <c r="BB42" s="945"/>
      <c r="BC42" s="942"/>
      <c r="BD42" s="942"/>
      <c r="BE42" s="942"/>
      <c r="BF42" s="942"/>
      <c r="BG42" s="942"/>
      <c r="BH42" s="942"/>
      <c r="BI42" s="942"/>
      <c r="BJ42" s="942"/>
      <c r="BK42" s="942"/>
      <c r="BL42" s="943"/>
      <c r="BM42" s="944"/>
      <c r="BN42" s="944"/>
      <c r="BO42" s="944"/>
      <c r="BP42" s="944"/>
      <c r="BQ42" s="858"/>
    </row>
    <row r="43" spans="1:69" ht="19.5" hidden="1" customHeight="1">
      <c r="A43" s="128"/>
      <c r="B43" s="128"/>
      <c r="C43" s="128"/>
      <c r="D43" s="128"/>
      <c r="E43" s="128"/>
      <c r="F43" s="128"/>
      <c r="G43" s="128"/>
      <c r="H43" s="128"/>
      <c r="I43" s="128"/>
      <c r="J43" s="128"/>
      <c r="K43" s="128"/>
      <c r="L43" s="128"/>
      <c r="M43" s="128"/>
      <c r="N43" s="128"/>
      <c r="O43" s="128"/>
      <c r="P43" s="128"/>
      <c r="Q43" s="128"/>
      <c r="R43" s="128"/>
      <c r="S43" s="128"/>
      <c r="T43" s="128"/>
      <c r="U43" s="128"/>
      <c r="V43" s="128"/>
      <c r="W43" s="128"/>
      <c r="X43" s="128"/>
      <c r="Y43" s="128"/>
      <c r="Z43" s="128"/>
      <c r="AA43" s="128"/>
      <c r="AB43" s="128"/>
      <c r="AC43" s="128"/>
      <c r="AD43" s="128"/>
      <c r="AE43" s="128"/>
      <c r="AF43" s="128"/>
      <c r="AG43" s="128"/>
      <c r="AH43" s="128"/>
      <c r="AI43" s="128"/>
      <c r="AJ43" s="128"/>
      <c r="AK43" s="128"/>
      <c r="AL43" s="128"/>
      <c r="AM43" s="128"/>
      <c r="AN43" s="128"/>
      <c r="AO43" s="128"/>
      <c r="AP43" s="128"/>
      <c r="AQ43" s="128"/>
      <c r="AR43" s="128"/>
      <c r="AS43" s="128"/>
      <c r="AT43" s="128"/>
      <c r="AU43" s="128"/>
      <c r="AV43" s="128"/>
      <c r="AW43" s="128"/>
      <c r="AX43" s="128"/>
      <c r="AY43" s="128"/>
      <c r="AZ43" s="128"/>
      <c r="BA43" s="128"/>
      <c r="BB43" s="128"/>
      <c r="BC43" s="128"/>
      <c r="BD43" s="128"/>
      <c r="BE43" s="128"/>
      <c r="BF43" s="128"/>
      <c r="BG43" s="128"/>
      <c r="BH43" s="128"/>
      <c r="BI43" s="128"/>
      <c r="BJ43" s="128"/>
      <c r="BK43" s="128"/>
      <c r="BL43" s="128"/>
      <c r="BM43" s="128"/>
      <c r="BN43" s="128"/>
      <c r="BO43" s="128"/>
      <c r="BP43" s="128"/>
      <c r="BQ43" s="128"/>
    </row>
    <row r="44" spans="1:69" ht="19.5" hidden="1" customHeight="1">
      <c r="A44" s="128"/>
      <c r="B44" s="128"/>
      <c r="C44" s="128"/>
      <c r="D44" s="128"/>
      <c r="E44" s="128"/>
      <c r="F44" s="128"/>
      <c r="G44" s="128"/>
      <c r="H44" s="128"/>
      <c r="I44" s="128"/>
      <c r="J44" s="128"/>
      <c r="K44" s="128"/>
      <c r="L44" s="128"/>
      <c r="M44" s="128"/>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row>
    <row r="45" spans="1:69" ht="19.5" hidden="1" customHeight="1">
      <c r="A45" s="128"/>
      <c r="B45" s="128"/>
      <c r="C45" s="128"/>
      <c r="D45" s="128"/>
      <c r="E45" s="128"/>
      <c r="F45" s="128"/>
      <c r="G45" s="128"/>
      <c r="H45" s="128"/>
      <c r="I45" s="630"/>
      <c r="J45" s="630"/>
      <c r="K45" s="630"/>
      <c r="L45" s="128"/>
      <c r="M45" s="128"/>
      <c r="N45" s="128"/>
      <c r="O45" s="128"/>
      <c r="P45" s="128"/>
      <c r="Q45" s="128"/>
      <c r="R45" s="128"/>
      <c r="S45" s="128"/>
      <c r="T45" s="128"/>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28"/>
      <c r="AX45" s="128"/>
      <c r="AY45" s="128"/>
      <c r="AZ45" s="128"/>
      <c r="BA45" s="128"/>
      <c r="BB45" s="128"/>
      <c r="BC45" s="128"/>
      <c r="BD45" s="128"/>
      <c r="BE45" s="128"/>
      <c r="BF45" s="128"/>
      <c r="BG45" s="128"/>
      <c r="BH45" s="128"/>
      <c r="BI45" s="128"/>
      <c r="BJ45" s="128"/>
      <c r="BK45" s="128"/>
      <c r="BL45" s="128"/>
      <c r="BM45" s="128"/>
      <c r="BN45" s="128"/>
      <c r="BO45" s="128"/>
      <c r="BP45" s="128"/>
      <c r="BQ45" s="128"/>
    </row>
    <row r="46" spans="1:69" ht="19.5" customHeight="1">
      <c r="A46" s="128"/>
      <c r="B46" s="128"/>
      <c r="C46" s="128"/>
      <c r="D46" s="128"/>
      <c r="E46" s="128"/>
      <c r="F46" s="128"/>
      <c r="G46" s="128"/>
      <c r="H46" s="128"/>
      <c r="I46" s="630"/>
      <c r="J46" s="630"/>
      <c r="K46" s="630"/>
      <c r="L46" s="128"/>
      <c r="M46" s="128"/>
      <c r="N46" s="128"/>
      <c r="O46" s="128"/>
      <c r="P46" s="128"/>
      <c r="Q46" s="128"/>
      <c r="R46" s="128"/>
      <c r="S46" s="128"/>
      <c r="T46" s="128"/>
      <c r="U46" s="128"/>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8"/>
      <c r="AR46" s="128"/>
      <c r="AS46" s="128"/>
      <c r="AT46" s="128"/>
      <c r="AU46" s="128"/>
      <c r="AV46" s="128"/>
      <c r="AW46" s="128"/>
      <c r="AX46" s="128"/>
      <c r="AY46" s="128"/>
      <c r="AZ46" s="128"/>
      <c r="BA46" s="128"/>
      <c r="BB46" s="128"/>
      <c r="BC46" s="128"/>
      <c r="BD46" s="128"/>
      <c r="BE46" s="128"/>
      <c r="BF46" s="128"/>
      <c r="BG46" s="128"/>
      <c r="BH46" s="128"/>
      <c r="BI46" s="128"/>
      <c r="BJ46" s="128"/>
      <c r="BK46" s="128"/>
      <c r="BL46" s="128"/>
      <c r="BM46" s="128"/>
      <c r="BN46" s="128"/>
      <c r="BO46" s="128"/>
      <c r="BP46" s="128"/>
      <c r="BQ46" s="128"/>
    </row>
    <row r="47" spans="1:69" ht="14.25" customHeight="1">
      <c r="A47" s="128"/>
      <c r="B47" s="128"/>
      <c r="C47" s="128"/>
      <c r="D47" s="128"/>
      <c r="E47" s="128"/>
      <c r="F47" s="128"/>
      <c r="G47" s="128"/>
      <c r="H47" s="128"/>
      <c r="I47" s="128"/>
      <c r="J47" s="128"/>
      <c r="K47" s="128"/>
      <c r="L47" s="128"/>
      <c r="M47" s="128"/>
      <c r="N47" s="128"/>
      <c r="O47" s="128"/>
      <c r="P47" s="128"/>
      <c r="Q47" s="128"/>
      <c r="R47" s="128"/>
      <c r="S47" s="128"/>
      <c r="T47" s="128"/>
      <c r="U47" s="128"/>
      <c r="V47" s="128"/>
      <c r="W47" s="128"/>
      <c r="X47" s="128"/>
      <c r="Y47" s="128"/>
      <c r="Z47" s="128"/>
      <c r="AA47" s="128"/>
      <c r="AB47" s="128"/>
      <c r="AC47" s="128"/>
      <c r="AD47" s="128"/>
      <c r="AE47" s="128"/>
      <c r="AF47" s="128"/>
      <c r="AG47" s="128"/>
      <c r="AH47" s="128"/>
      <c r="AI47" s="128"/>
      <c r="AJ47" s="128"/>
      <c r="AK47" s="128"/>
      <c r="AL47" s="128"/>
      <c r="AM47" s="128"/>
      <c r="AN47" s="128"/>
      <c r="AO47" s="128"/>
      <c r="AP47" s="128"/>
      <c r="AQ47" s="128"/>
      <c r="AR47" s="128"/>
      <c r="AS47" s="783"/>
      <c r="AT47" s="948"/>
      <c r="AU47" s="949"/>
      <c r="AV47" s="128"/>
      <c r="AW47" s="128"/>
      <c r="AX47" s="128"/>
      <c r="AY47" s="128"/>
      <c r="AZ47" s="128"/>
      <c r="BA47" s="128"/>
      <c r="BB47" s="128"/>
      <c r="BC47" s="128"/>
      <c r="BD47" s="128"/>
      <c r="BE47" s="128"/>
      <c r="BF47" s="128"/>
      <c r="BG47" s="128"/>
      <c r="BH47" s="128"/>
      <c r="BI47" s="128"/>
      <c r="BJ47" s="128"/>
      <c r="BK47" s="128"/>
      <c r="BL47" s="128"/>
      <c r="BM47" s="128"/>
      <c r="BN47" s="128"/>
      <c r="BO47" s="128"/>
      <c r="BP47" s="128"/>
      <c r="BQ47" s="128"/>
    </row>
    <row r="48" spans="1:69" ht="14.25" customHeight="1">
      <c r="A48" s="128"/>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c r="AL48" s="128"/>
      <c r="AM48" s="128"/>
      <c r="AN48" s="128"/>
      <c r="AO48" s="128"/>
      <c r="AP48" s="152" t="s">
        <v>512</v>
      </c>
      <c r="AQ48" s="950" t="e">
        <f>AP36</f>
        <v>#REF!</v>
      </c>
      <c r="AR48" s="128"/>
      <c r="AS48" s="128"/>
      <c r="AT48" s="128"/>
      <c r="AU48" s="128"/>
      <c r="AV48" s="128"/>
      <c r="AW48" s="128"/>
      <c r="AX48" s="128"/>
      <c r="AY48" s="128"/>
      <c r="AZ48" s="128"/>
      <c r="BA48" s="128"/>
      <c r="BB48" s="128"/>
      <c r="BC48" s="128"/>
      <c r="BD48" s="128"/>
      <c r="BE48" s="128"/>
      <c r="BF48" s="128"/>
      <c r="BG48" s="128"/>
      <c r="BH48" s="128"/>
      <c r="BI48" s="128"/>
      <c r="BJ48" s="128"/>
      <c r="BK48" s="128"/>
      <c r="BL48" s="128"/>
      <c r="BM48" s="128"/>
      <c r="BN48" s="128"/>
      <c r="BO48" s="128"/>
      <c r="BP48" s="128"/>
      <c r="BQ48" s="128"/>
    </row>
    <row r="49" spans="1:69" ht="14.25" customHeight="1">
      <c r="A49" s="128"/>
      <c r="B49" s="128"/>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28"/>
      <c r="AA49" s="128"/>
      <c r="AB49" s="128"/>
      <c r="AC49" s="128"/>
      <c r="AD49" s="128"/>
      <c r="AE49" s="128"/>
      <c r="AF49" s="128"/>
      <c r="AG49" s="128"/>
      <c r="AH49" s="128"/>
      <c r="AI49" s="128"/>
      <c r="AJ49" s="128"/>
      <c r="AK49" s="128"/>
      <c r="AL49" s="128"/>
      <c r="AM49" s="128"/>
      <c r="AN49" s="128"/>
      <c r="AO49" s="128"/>
      <c r="AP49" s="152" t="s">
        <v>513</v>
      </c>
      <c r="AQ49" s="951"/>
      <c r="AR49" s="128"/>
      <c r="AS49" s="128"/>
      <c r="AT49" s="128"/>
      <c r="AU49" s="128"/>
      <c r="AV49" s="128"/>
      <c r="AW49" s="128"/>
      <c r="AX49" s="128"/>
      <c r="AY49" s="128"/>
      <c r="AZ49" s="128"/>
      <c r="BA49" s="128"/>
      <c r="BB49" s="128"/>
      <c r="BC49" s="128"/>
      <c r="BD49" s="128"/>
      <c r="BE49" s="128"/>
      <c r="BF49" s="128"/>
      <c r="BG49" s="128"/>
      <c r="BH49" s="128"/>
      <c r="BI49" s="128"/>
      <c r="BJ49" s="128"/>
      <c r="BK49" s="128"/>
      <c r="BL49" s="128"/>
      <c r="BM49" s="128"/>
      <c r="BN49" s="128"/>
      <c r="BO49" s="128"/>
      <c r="BP49" s="128"/>
      <c r="BQ49" s="128"/>
    </row>
    <row r="50" spans="1:69" ht="14.25" customHeight="1">
      <c r="A50" s="128"/>
      <c r="B50" s="128"/>
      <c r="C50" s="128"/>
      <c r="D50" s="128"/>
      <c r="E50" s="128"/>
      <c r="F50" s="128"/>
      <c r="G50" s="128"/>
      <c r="H50" s="128"/>
      <c r="I50" s="128"/>
      <c r="J50" s="128"/>
      <c r="K50" s="128"/>
      <c r="L50" s="128"/>
      <c r="M50" s="128"/>
      <c r="N50" s="128"/>
      <c r="O50" s="128"/>
      <c r="P50" s="128"/>
      <c r="Q50" s="128"/>
      <c r="R50" s="128"/>
      <c r="S50" s="128"/>
      <c r="T50" s="128"/>
      <c r="U50" s="128"/>
      <c r="V50" s="128"/>
      <c r="W50" s="128"/>
      <c r="X50" s="128"/>
      <c r="Y50" s="128"/>
      <c r="Z50" s="128"/>
      <c r="AA50" s="128"/>
      <c r="AB50" s="128"/>
      <c r="AC50" s="128"/>
      <c r="AD50" s="128"/>
      <c r="AE50" s="128"/>
      <c r="AF50" s="128"/>
      <c r="AG50" s="128"/>
      <c r="AH50" s="128"/>
      <c r="AI50" s="128"/>
      <c r="AJ50" s="128"/>
      <c r="AK50" s="128"/>
      <c r="AL50" s="128"/>
      <c r="AM50" s="128"/>
      <c r="AN50" s="128"/>
      <c r="AO50" s="128"/>
      <c r="AP50" s="128"/>
      <c r="AQ50" s="128"/>
      <c r="AR50" s="128"/>
      <c r="AS50" s="128"/>
      <c r="AT50" s="128"/>
      <c r="AU50" s="128"/>
      <c r="AV50" s="128"/>
      <c r="AW50" s="128"/>
      <c r="AX50" s="128"/>
      <c r="AY50" s="128"/>
      <c r="AZ50" s="128"/>
      <c r="BA50" s="128"/>
      <c r="BB50" s="128"/>
      <c r="BC50" s="128"/>
      <c r="BD50" s="128"/>
      <c r="BE50" s="128"/>
      <c r="BF50" s="128"/>
      <c r="BG50" s="128"/>
      <c r="BH50" s="128"/>
      <c r="BI50" s="128"/>
      <c r="BJ50" s="128"/>
      <c r="BK50" s="128"/>
      <c r="BL50" s="128"/>
      <c r="BM50" s="128"/>
      <c r="BN50" s="128"/>
      <c r="BO50" s="128"/>
      <c r="BP50" s="128"/>
      <c r="BQ50" s="128"/>
    </row>
    <row r="51" spans="1:69" ht="14.25" customHeight="1">
      <c r="A51" s="128"/>
      <c r="B51" s="128"/>
      <c r="C51" s="128"/>
      <c r="D51" s="128"/>
      <c r="E51" s="128"/>
      <c r="F51" s="128"/>
      <c r="G51" s="128"/>
      <c r="H51" s="128"/>
      <c r="I51" s="128"/>
      <c r="J51" s="128"/>
      <c r="K51" s="128"/>
      <c r="L51" s="128"/>
      <c r="M51" s="128"/>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952" t="s">
        <v>514</v>
      </c>
      <c r="AO51" s="128"/>
      <c r="AP51" s="152" t="s">
        <v>515</v>
      </c>
      <c r="AQ51" s="953"/>
      <c r="AR51" s="152"/>
      <c r="AS51" s="152"/>
      <c r="AT51" s="152"/>
      <c r="AU51" s="152"/>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row>
    <row r="52" spans="1:69" ht="14.25" customHeight="1">
      <c r="A52" s="128"/>
      <c r="B52" s="128"/>
      <c r="C52" s="128"/>
      <c r="D52" s="128"/>
      <c r="E52" s="128"/>
      <c r="F52" s="128"/>
      <c r="G52" s="128"/>
      <c r="H52" s="128"/>
      <c r="I52" s="128"/>
      <c r="J52" s="128"/>
      <c r="K52" s="128"/>
      <c r="L52" s="128"/>
      <c r="M52" s="128"/>
      <c r="N52" s="128"/>
      <c r="O52" s="128"/>
      <c r="P52" s="128"/>
      <c r="Q52" s="128"/>
      <c r="R52" s="128"/>
      <c r="S52" s="128"/>
      <c r="T52" s="128"/>
      <c r="U52" s="128"/>
      <c r="V52" s="128"/>
      <c r="W52" s="128"/>
      <c r="X52" s="128"/>
      <c r="Y52" s="128"/>
      <c r="Z52" s="128"/>
      <c r="AA52" s="128"/>
      <c r="AB52" s="128"/>
      <c r="AC52" s="128"/>
      <c r="AD52" s="128"/>
      <c r="AE52" s="128"/>
      <c r="AF52" s="128"/>
      <c r="AG52" s="128"/>
      <c r="AH52" s="128"/>
      <c r="AI52" s="128"/>
      <c r="AJ52" s="128"/>
      <c r="AK52" s="128"/>
      <c r="AL52" s="128"/>
      <c r="AM52" s="128"/>
      <c r="AN52" s="952">
        <f>+AS48*'EV SALES'!E46</f>
        <v>0</v>
      </c>
      <c r="AO52" s="128"/>
      <c r="AP52" s="128"/>
      <c r="AQ52" s="128"/>
      <c r="AR52" s="954"/>
      <c r="AS52" s="955" t="s">
        <v>516</v>
      </c>
      <c r="AT52" s="955" t="s">
        <v>66</v>
      </c>
      <c r="AU52" s="955" t="s">
        <v>517</v>
      </c>
      <c r="AV52" s="128"/>
      <c r="AW52" s="128"/>
      <c r="AX52" s="128"/>
      <c r="AY52" s="128"/>
      <c r="AZ52" s="128"/>
      <c r="BA52" s="128"/>
      <c r="BB52" s="128"/>
      <c r="BC52" s="128"/>
      <c r="BD52" s="128"/>
      <c r="BE52" s="128"/>
      <c r="BF52" s="128"/>
      <c r="BG52" s="128"/>
      <c r="BH52" s="128"/>
      <c r="BI52" s="128"/>
      <c r="BJ52" s="128"/>
      <c r="BK52" s="128"/>
      <c r="BL52" s="128"/>
      <c r="BM52" s="128"/>
      <c r="BN52" s="128"/>
      <c r="BO52" s="128"/>
      <c r="BP52" s="128"/>
      <c r="BQ52" s="128"/>
    </row>
    <row r="53" spans="1:69" ht="14.25" customHeight="1">
      <c r="A53" s="128"/>
      <c r="B53" s="128"/>
      <c r="C53" s="128"/>
      <c r="D53" s="128"/>
      <c r="E53" s="128"/>
      <c r="F53" s="128"/>
      <c r="G53" s="128"/>
      <c r="H53" s="128"/>
      <c r="I53" s="128"/>
      <c r="J53" s="128"/>
      <c r="K53" s="128"/>
      <c r="L53" s="128"/>
      <c r="M53" s="128"/>
      <c r="N53" s="128"/>
      <c r="O53" s="128"/>
      <c r="P53" s="128"/>
      <c r="Q53" s="128"/>
      <c r="R53" s="128"/>
      <c r="S53" s="128"/>
      <c r="T53" s="128"/>
      <c r="U53" s="128"/>
      <c r="V53" s="128"/>
      <c r="W53" s="128"/>
      <c r="X53" s="128"/>
      <c r="Y53" s="128"/>
      <c r="Z53" s="128"/>
      <c r="AA53" s="128"/>
      <c r="AB53" s="128"/>
      <c r="AC53" s="128"/>
      <c r="AD53" s="128"/>
      <c r="AE53" s="128"/>
      <c r="AF53" s="128"/>
      <c r="AG53" s="128"/>
      <c r="AH53" s="128"/>
      <c r="AI53" s="128"/>
      <c r="AJ53" s="128"/>
      <c r="AK53" s="128"/>
      <c r="AL53" s="128"/>
      <c r="AM53" s="128"/>
      <c r="AN53" s="128"/>
      <c r="AO53" s="128"/>
      <c r="AP53" s="1440" t="s">
        <v>518</v>
      </c>
      <c r="AQ53" s="1340"/>
      <c r="AR53" s="956">
        <v>0.8</v>
      </c>
      <c r="AS53" s="957" t="e">
        <f>AP18</f>
        <v>#DIV/0!</v>
      </c>
      <c r="AT53" s="956">
        <f>'reinvestment us'!E51</f>
        <v>7.1954484717639558E-2</v>
      </c>
      <c r="AU53" s="956">
        <v>0.8</v>
      </c>
      <c r="AV53" s="128"/>
      <c r="AW53" s="128"/>
      <c r="AX53" s="128"/>
      <c r="AY53" s="128"/>
      <c r="AZ53" s="128"/>
      <c r="BA53" s="128"/>
      <c r="BB53" s="128"/>
      <c r="BC53" s="128"/>
      <c r="BD53" s="128"/>
      <c r="BE53" s="128"/>
      <c r="BF53" s="128"/>
      <c r="BG53" s="128"/>
      <c r="BH53" s="128"/>
      <c r="BI53" s="128"/>
      <c r="BJ53" s="128"/>
      <c r="BK53" s="128"/>
      <c r="BL53" s="128"/>
      <c r="BM53" s="128"/>
      <c r="BN53" s="128"/>
      <c r="BO53" s="128"/>
      <c r="BP53" s="128"/>
      <c r="BQ53" s="128"/>
    </row>
    <row r="54" spans="1:69" ht="14.25" customHeight="1">
      <c r="A54" s="128"/>
      <c r="B54" s="128"/>
      <c r="C54" s="128"/>
      <c r="D54" s="128"/>
      <c r="E54" s="128"/>
      <c r="F54" s="128"/>
      <c r="G54" s="128"/>
      <c r="H54" s="128"/>
      <c r="I54" s="128"/>
      <c r="J54" s="128"/>
      <c r="K54" s="128"/>
      <c r="L54" s="128"/>
      <c r="M54" s="128"/>
      <c r="N54" s="128"/>
      <c r="O54" s="128"/>
      <c r="P54" s="128"/>
      <c r="Q54" s="128"/>
      <c r="R54" s="128"/>
      <c r="S54" s="128"/>
      <c r="T54" s="128"/>
      <c r="U54" s="128"/>
      <c r="V54" s="128"/>
      <c r="W54" s="128"/>
      <c r="X54" s="128"/>
      <c r="Y54" s="128"/>
      <c r="Z54" s="128"/>
      <c r="AA54" s="128"/>
      <c r="AB54" s="128"/>
      <c r="AC54" s="128"/>
      <c r="AD54" s="128"/>
      <c r="AE54" s="128"/>
      <c r="AF54" s="128"/>
      <c r="AG54" s="128"/>
      <c r="AH54" s="128"/>
      <c r="AI54" s="128"/>
      <c r="AJ54" s="128"/>
      <c r="AK54" s="128"/>
      <c r="AL54" s="128"/>
      <c r="AM54" s="128"/>
      <c r="AN54" s="128"/>
      <c r="AO54" s="128"/>
      <c r="AP54" s="1441" t="s">
        <v>519</v>
      </c>
      <c r="AQ54" s="1442"/>
      <c r="AR54" s="956">
        <v>0.2</v>
      </c>
      <c r="AS54" s="63" t="s">
        <v>551</v>
      </c>
      <c r="AT54" s="957">
        <f>'operating margin'!C52</f>
        <v>0.38248599747567891</v>
      </c>
      <c r="AU54" s="956">
        <v>0.5</v>
      </c>
      <c r="AV54" s="128"/>
      <c r="AW54" s="128"/>
      <c r="AX54" s="128"/>
      <c r="AY54" s="128"/>
      <c r="AZ54" s="128"/>
      <c r="BA54" s="128"/>
      <c r="BB54" s="128"/>
      <c r="BC54" s="128"/>
      <c r="BD54" s="128"/>
      <c r="BE54" s="128"/>
      <c r="BF54" s="128"/>
      <c r="BG54" s="128"/>
      <c r="BH54" s="128"/>
      <c r="BI54" s="128"/>
      <c r="BJ54" s="128"/>
      <c r="BK54" s="128"/>
      <c r="BL54" s="128"/>
      <c r="BM54" s="128"/>
      <c r="BN54" s="128"/>
      <c r="BO54" s="128"/>
      <c r="BP54" s="128"/>
      <c r="BQ54" s="128"/>
    </row>
    <row r="55" spans="1:69" ht="14.25" customHeight="1">
      <c r="A55" s="128"/>
      <c r="B55" s="128"/>
      <c r="C55" s="128"/>
      <c r="D55" s="128"/>
      <c r="E55" s="128"/>
      <c r="F55" s="128"/>
      <c r="G55" s="128"/>
      <c r="H55" s="128"/>
      <c r="I55" s="128"/>
      <c r="J55" s="128"/>
      <c r="K55" s="128"/>
      <c r="L55" s="128"/>
      <c r="M55" s="128"/>
      <c r="N55" s="128"/>
      <c r="O55" s="128"/>
      <c r="P55" s="128"/>
      <c r="Q55" s="128"/>
      <c r="R55" s="128"/>
      <c r="S55" s="128"/>
      <c r="T55" s="128"/>
      <c r="U55" s="128"/>
      <c r="V55" s="128"/>
      <c r="W55" s="128"/>
      <c r="X55" s="128"/>
      <c r="Y55" s="128"/>
      <c r="Z55" s="128"/>
      <c r="AA55" s="128"/>
      <c r="AB55" s="128"/>
      <c r="AC55" s="128"/>
      <c r="AD55" s="128"/>
      <c r="AE55" s="128"/>
      <c r="AF55" s="128"/>
      <c r="AG55" s="128"/>
      <c r="AH55" s="128"/>
      <c r="AI55" s="128"/>
      <c r="AJ55" s="128"/>
      <c r="AK55" s="128"/>
      <c r="AL55" s="128"/>
      <c r="AM55" s="128"/>
      <c r="AN55" s="128"/>
      <c r="AO55" s="128"/>
      <c r="AP55" s="1"/>
      <c r="AQ55" s="1"/>
      <c r="AR55" s="63"/>
      <c r="AS55" s="63"/>
      <c r="AT55" s="63" t="s">
        <v>520</v>
      </c>
      <c r="AU55" s="953">
        <v>0.5</v>
      </c>
      <c r="AV55" s="128"/>
      <c r="AW55" s="128"/>
      <c r="AX55" s="128"/>
      <c r="AY55" s="128"/>
      <c r="AZ55" s="128"/>
      <c r="BA55" s="128"/>
      <c r="BB55" s="128"/>
      <c r="BC55" s="128"/>
      <c r="BD55" s="128"/>
      <c r="BE55" s="128"/>
      <c r="BF55" s="128"/>
      <c r="BG55" s="128"/>
      <c r="BH55" s="128"/>
      <c r="BI55" s="128"/>
      <c r="BJ55" s="128"/>
      <c r="BK55" s="128"/>
      <c r="BL55" s="128"/>
      <c r="BM55" s="128"/>
      <c r="BN55" s="128"/>
      <c r="BO55" s="128"/>
      <c r="BP55" s="128"/>
      <c r="BQ55" s="128"/>
    </row>
    <row r="56" spans="1:69" ht="14.25" customHeight="1">
      <c r="A56" s="128"/>
      <c r="B56" s="128"/>
      <c r="C56" s="128"/>
      <c r="D56" s="128"/>
      <c r="E56" s="128"/>
      <c r="F56" s="128"/>
      <c r="G56" s="128"/>
      <c r="H56" s="128"/>
      <c r="I56" s="128"/>
      <c r="J56" s="128"/>
      <c r="K56" s="128"/>
      <c r="L56" s="128"/>
      <c r="M56" s="128"/>
      <c r="N56" s="128"/>
      <c r="O56" s="128"/>
      <c r="P56" s="128"/>
      <c r="Q56" s="128"/>
      <c r="R56" s="128"/>
      <c r="S56" s="128"/>
      <c r="T56" s="128"/>
      <c r="U56" s="128"/>
      <c r="V56" s="128"/>
      <c r="W56" s="128"/>
      <c r="X56" s="128"/>
      <c r="Y56" s="128"/>
      <c r="Z56" s="128"/>
      <c r="AA56" s="128"/>
      <c r="AB56" s="128"/>
      <c r="AC56" s="128"/>
      <c r="AD56" s="128"/>
      <c r="AE56" s="128"/>
      <c r="AF56" s="128"/>
      <c r="AG56" s="128"/>
      <c r="AH56" s="128"/>
      <c r="AI56" s="128"/>
      <c r="AJ56" s="128"/>
      <c r="AK56" s="128"/>
      <c r="AL56" s="128"/>
      <c r="AM56" s="128"/>
      <c r="AN56" s="128"/>
      <c r="AO56" s="128"/>
      <c r="AP56" s="1"/>
      <c r="AQ56" s="1"/>
      <c r="AR56" s="1"/>
      <c r="AS56" s="1"/>
      <c r="AT56" s="1"/>
      <c r="AU56" s="54">
        <f>AVERAGE(AU53:AU55)</f>
        <v>0.6</v>
      </c>
      <c r="AV56" s="128"/>
      <c r="AW56" s="128"/>
      <c r="AX56" s="128"/>
      <c r="AY56" s="128"/>
      <c r="AZ56" s="128"/>
      <c r="BA56" s="128"/>
      <c r="BB56" s="128"/>
      <c r="BC56" s="128"/>
      <c r="BD56" s="128"/>
      <c r="BE56" s="128"/>
      <c r="BF56" s="128"/>
      <c r="BG56" s="128"/>
      <c r="BH56" s="128"/>
      <c r="BI56" s="128"/>
      <c r="BJ56" s="128"/>
      <c r="BK56" s="128"/>
      <c r="BL56" s="128"/>
      <c r="BM56" s="128"/>
      <c r="BN56" s="128"/>
      <c r="BO56" s="128"/>
      <c r="BP56" s="128"/>
      <c r="BQ56" s="128"/>
    </row>
    <row r="57" spans="1:69" ht="14.25" customHeight="1">
      <c r="A57" s="128"/>
      <c r="B57" s="128"/>
      <c r="C57" s="128"/>
      <c r="D57" s="128"/>
      <c r="E57" s="128"/>
      <c r="F57" s="128"/>
      <c r="G57" s="128"/>
      <c r="H57" s="128"/>
      <c r="I57" s="128"/>
      <c r="J57" s="128"/>
      <c r="K57" s="128"/>
      <c r="L57" s="128"/>
      <c r="M57" s="128"/>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
      <c r="AQ57" s="1"/>
      <c r="AR57" s="1"/>
      <c r="AS57" s="1"/>
      <c r="AT57" s="1"/>
      <c r="AU57" s="1"/>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row>
    <row r="58" spans="1:69" ht="14.25" customHeight="1">
      <c r="A58" s="128"/>
      <c r="B58" s="128"/>
      <c r="C58" s="128"/>
      <c r="D58" s="128"/>
      <c r="E58" s="128"/>
      <c r="F58" s="128"/>
      <c r="G58" s="128"/>
      <c r="H58" s="128"/>
      <c r="I58" s="128"/>
      <c r="J58" s="128"/>
      <c r="K58" s="128"/>
      <c r="L58" s="128"/>
      <c r="M58" s="128"/>
      <c r="N58" s="128"/>
      <c r="O58" s="128"/>
      <c r="P58" s="128"/>
      <c r="Q58" s="128"/>
      <c r="R58" s="128"/>
      <c r="S58" s="128"/>
      <c r="T58" s="128"/>
      <c r="U58" s="128"/>
      <c r="V58" s="128"/>
      <c r="W58" s="128"/>
      <c r="X58" s="128"/>
      <c r="Y58" s="128"/>
      <c r="Z58" s="128"/>
      <c r="AA58" s="128"/>
      <c r="AB58" s="128"/>
      <c r="AC58" s="128"/>
      <c r="AD58" s="128"/>
      <c r="AE58" s="128"/>
      <c r="AF58" s="128"/>
      <c r="AG58" s="128"/>
      <c r="AH58" s="128"/>
      <c r="AI58" s="128"/>
      <c r="AJ58" s="128"/>
      <c r="AK58" s="128"/>
      <c r="AL58" s="128"/>
      <c r="AM58" s="128"/>
      <c r="AN58" s="128"/>
      <c r="AO58" s="128"/>
      <c r="AP58" s="958"/>
      <c r="AQ58" s="959" t="s">
        <v>521</v>
      </c>
      <c r="AR58" s="959" t="s">
        <v>522</v>
      </c>
      <c r="AS58" s="959" t="s">
        <v>523</v>
      </c>
      <c r="AT58" s="1"/>
      <c r="AU58" s="1"/>
      <c r="AV58" s="128"/>
      <c r="AW58" s="128"/>
      <c r="AX58" s="128"/>
      <c r="AY58" s="128"/>
      <c r="AZ58" s="128"/>
      <c r="BA58" s="128"/>
      <c r="BB58" s="128"/>
      <c r="BC58" s="128"/>
      <c r="BD58" s="128"/>
      <c r="BE58" s="128"/>
      <c r="BF58" s="128"/>
      <c r="BG58" s="128"/>
      <c r="BH58" s="128"/>
      <c r="BI58" s="128"/>
      <c r="BJ58" s="128"/>
      <c r="BK58" s="128"/>
      <c r="BL58" s="128"/>
      <c r="BM58" s="128"/>
      <c r="BN58" s="128"/>
      <c r="BO58" s="128"/>
      <c r="BP58" s="128"/>
      <c r="BQ58" s="128"/>
    </row>
    <row r="59" spans="1:69" ht="14.25" customHeight="1">
      <c r="A59" s="128"/>
      <c r="B59" s="128"/>
      <c r="C59" s="128"/>
      <c r="D59" s="128"/>
      <c r="E59" s="128"/>
      <c r="F59" s="128"/>
      <c r="G59" s="128"/>
      <c r="H59" s="128"/>
      <c r="I59" s="128"/>
      <c r="J59" s="128"/>
      <c r="K59" s="128"/>
      <c r="L59" s="128"/>
      <c r="M59" s="128"/>
      <c r="N59" s="128"/>
      <c r="O59" s="128"/>
      <c r="P59" s="128"/>
      <c r="Q59" s="128"/>
      <c r="R59" s="128"/>
      <c r="S59" s="128"/>
      <c r="T59" s="128"/>
      <c r="U59" s="128"/>
      <c r="V59" s="128"/>
      <c r="W59" s="128"/>
      <c r="X59" s="128"/>
      <c r="Y59" s="128"/>
      <c r="Z59" s="128"/>
      <c r="AA59" s="128"/>
      <c r="AB59" s="128"/>
      <c r="AC59" s="128"/>
      <c r="AD59" s="128"/>
      <c r="AE59" s="128"/>
      <c r="AF59" s="128"/>
      <c r="AG59" s="128"/>
      <c r="AH59" s="128"/>
      <c r="AI59" s="128"/>
      <c r="AJ59" s="128"/>
      <c r="AK59" s="128"/>
      <c r="AL59" s="128"/>
      <c r="AM59" s="128"/>
      <c r="AN59" s="128"/>
      <c r="AO59" s="128"/>
      <c r="AP59" s="608" t="s">
        <v>524</v>
      </c>
      <c r="AQ59" s="960" t="e">
        <f>AP36/U11</f>
        <v>#REF!</v>
      </c>
      <c r="AR59" s="961">
        <f>'Industry Averages (3)'!I52</f>
        <v>17.991464191406429</v>
      </c>
      <c r="AS59" s="962">
        <f>AR59*AU54</f>
        <v>8.9957320957032145</v>
      </c>
      <c r="AT59" s="963"/>
      <c r="AU59" s="1"/>
      <c r="AV59" s="128"/>
      <c r="AW59" s="128"/>
      <c r="AX59" s="128"/>
      <c r="AY59" s="128"/>
      <c r="AZ59" s="128"/>
      <c r="BA59" s="128"/>
      <c r="BB59" s="128"/>
      <c r="BC59" s="128"/>
      <c r="BD59" s="128"/>
      <c r="BE59" s="128"/>
      <c r="BF59" s="128"/>
      <c r="BG59" s="128"/>
      <c r="BH59" s="128"/>
      <c r="BI59" s="128"/>
      <c r="BJ59" s="128"/>
      <c r="BK59" s="128"/>
      <c r="BL59" s="128"/>
      <c r="BM59" s="128"/>
      <c r="BN59" s="128"/>
      <c r="BO59" s="128"/>
      <c r="BP59" s="128"/>
      <c r="BQ59" s="128"/>
    </row>
    <row r="60" spans="1:69" ht="14.25" customHeight="1">
      <c r="A60" s="128"/>
      <c r="B60" s="128"/>
      <c r="C60" s="128"/>
      <c r="D60" s="128"/>
      <c r="E60" s="128"/>
      <c r="F60" s="128"/>
      <c r="G60" s="128"/>
      <c r="H60" s="128"/>
      <c r="I60" s="128"/>
      <c r="J60" s="128"/>
      <c r="K60" s="128"/>
      <c r="L60" s="128"/>
      <c r="M60" s="128"/>
      <c r="N60" s="128"/>
      <c r="O60" s="128"/>
      <c r="P60" s="128"/>
      <c r="Q60" s="128"/>
      <c r="R60" s="128"/>
      <c r="S60" s="128"/>
      <c r="T60" s="128"/>
      <c r="U60" s="128"/>
      <c r="V60" s="128"/>
      <c r="W60" s="128"/>
      <c r="X60" s="128"/>
      <c r="Y60" s="128"/>
      <c r="Z60" s="128"/>
      <c r="AA60" s="128"/>
      <c r="AB60" s="128"/>
      <c r="AC60" s="128"/>
      <c r="AD60" s="128"/>
      <c r="AE60" s="128"/>
      <c r="AF60" s="128"/>
      <c r="AG60" s="128"/>
      <c r="AH60" s="128"/>
      <c r="AI60" s="128"/>
      <c r="AJ60" s="128"/>
      <c r="AK60" s="128"/>
      <c r="AL60" s="128"/>
      <c r="AM60" s="128"/>
      <c r="AN60" s="128"/>
      <c r="AO60" s="128"/>
      <c r="AP60" s="608" t="s">
        <v>525</v>
      </c>
      <c r="AQ60" s="1">
        <v>25</v>
      </c>
      <c r="AR60" s="965">
        <f>'EV SALES'!E51</f>
        <v>1.48</v>
      </c>
      <c r="AS60" s="962">
        <f>AR60*AU55</f>
        <v>0.74</v>
      </c>
      <c r="AT60" s="1"/>
      <c r="AU60" s="1"/>
      <c r="AV60" s="128"/>
      <c r="AW60" s="128"/>
      <c r="AX60" s="128"/>
      <c r="AY60" s="128"/>
      <c r="AZ60" s="128"/>
      <c r="BA60" s="128"/>
      <c r="BB60" s="128"/>
      <c r="BC60" s="128"/>
      <c r="BD60" s="128"/>
      <c r="BE60" s="128"/>
      <c r="BF60" s="128"/>
      <c r="BG60" s="128"/>
      <c r="BH60" s="128"/>
      <c r="BI60" s="128"/>
      <c r="BJ60" s="128"/>
      <c r="BK60" s="128"/>
      <c r="BL60" s="128"/>
      <c r="BM60" s="128"/>
      <c r="BN60" s="128"/>
      <c r="BO60" s="128"/>
      <c r="BP60" s="128"/>
      <c r="BQ60" s="128"/>
    </row>
    <row r="61" spans="1:69" ht="14.25" customHeight="1">
      <c r="A61" s="128"/>
      <c r="B61" s="128"/>
      <c r="C61" s="128"/>
      <c r="D61" s="128"/>
      <c r="E61" s="128"/>
      <c r="F61" s="128"/>
      <c r="G61" s="128"/>
      <c r="H61" s="128"/>
      <c r="I61" s="128"/>
      <c r="J61" s="128"/>
      <c r="K61" s="128"/>
      <c r="L61" s="128"/>
      <c r="M61" s="128"/>
      <c r="N61" s="128"/>
      <c r="O61" s="128"/>
      <c r="P61" s="128"/>
      <c r="Q61" s="128"/>
      <c r="R61" s="128"/>
      <c r="S61" s="128"/>
      <c r="T61" s="128"/>
      <c r="U61" s="128"/>
      <c r="V61" s="128"/>
      <c r="W61" s="128"/>
      <c r="X61" s="128"/>
      <c r="Y61" s="128"/>
      <c r="Z61" s="128"/>
      <c r="AA61" s="128"/>
      <c r="AB61" s="128"/>
      <c r="AC61" s="128"/>
      <c r="AD61" s="128"/>
      <c r="AE61" s="128"/>
      <c r="AF61" s="128"/>
      <c r="AG61" s="128"/>
      <c r="AH61" s="128"/>
      <c r="AI61" s="128"/>
      <c r="AJ61" s="128"/>
      <c r="AK61" s="128"/>
      <c r="AL61" s="128"/>
      <c r="AM61" s="128"/>
      <c r="AN61" s="128"/>
      <c r="AO61" s="128"/>
      <c r="AP61" s="1"/>
      <c r="AQ61" s="1"/>
      <c r="AR61" s="1"/>
      <c r="AS61" s="1"/>
      <c r="AT61" s="1"/>
      <c r="AU61" s="1"/>
      <c r="AV61" s="128"/>
      <c r="AW61" s="128"/>
      <c r="AX61" s="128"/>
      <c r="AY61" s="128"/>
      <c r="AZ61" s="128"/>
      <c r="BA61" s="128"/>
      <c r="BB61" s="128"/>
      <c r="BC61" s="128"/>
      <c r="BD61" s="128"/>
      <c r="BE61" s="128"/>
      <c r="BF61" s="128"/>
      <c r="BG61" s="128"/>
      <c r="BH61" s="128"/>
      <c r="BI61" s="128"/>
      <c r="BJ61" s="128"/>
      <c r="BK61" s="128"/>
      <c r="BL61" s="128"/>
      <c r="BM61" s="128"/>
      <c r="BN61" s="128"/>
      <c r="BO61" s="128"/>
      <c r="BP61" s="128"/>
      <c r="BQ61" s="128"/>
    </row>
    <row r="62" spans="1:69" ht="14.25" customHeight="1">
      <c r="A62" s="128"/>
      <c r="B62" s="128"/>
      <c r="C62" s="128"/>
      <c r="D62" s="128"/>
      <c r="E62" s="128"/>
      <c r="F62" s="128"/>
      <c r="G62" s="128"/>
      <c r="H62" s="128"/>
      <c r="I62" s="128"/>
      <c r="J62" s="128"/>
      <c r="K62" s="128"/>
      <c r="L62" s="128"/>
      <c r="M62" s="128"/>
      <c r="N62" s="128"/>
      <c r="O62" s="128"/>
      <c r="P62" s="128"/>
      <c r="Q62" s="128"/>
      <c r="R62" s="128"/>
      <c r="S62" s="128"/>
      <c r="T62" s="128"/>
      <c r="U62" s="128"/>
      <c r="V62" s="128"/>
      <c r="W62" s="128"/>
      <c r="X62" s="128"/>
      <c r="Y62" s="128"/>
      <c r="Z62" s="128"/>
      <c r="AA62" s="128"/>
      <c r="AB62" s="128"/>
      <c r="AC62" s="128"/>
      <c r="AD62" s="128"/>
      <c r="AE62" s="128"/>
      <c r="AF62" s="128"/>
      <c r="AG62" s="128"/>
      <c r="AH62" s="128"/>
      <c r="AI62" s="128"/>
      <c r="AJ62" s="128"/>
      <c r="AK62" s="128"/>
      <c r="AL62" s="128"/>
      <c r="AM62" s="128"/>
      <c r="AN62" s="128"/>
      <c r="AO62" s="128"/>
      <c r="AP62" s="1"/>
      <c r="AQ62" s="1"/>
      <c r="AR62" s="958"/>
      <c r="AS62" s="958"/>
      <c r="AT62" s="1"/>
      <c r="AU62" s="1"/>
      <c r="AV62" s="128"/>
      <c r="AW62" s="128"/>
      <c r="AX62" s="128"/>
      <c r="AY62" s="128"/>
      <c r="AZ62" s="128"/>
      <c r="BA62" s="128"/>
      <c r="BB62" s="128"/>
      <c r="BC62" s="128"/>
      <c r="BD62" s="128"/>
      <c r="BE62" s="128"/>
      <c r="BF62" s="128"/>
      <c r="BG62" s="128"/>
      <c r="BH62" s="128"/>
      <c r="BI62" s="128"/>
      <c r="BJ62" s="128"/>
      <c r="BK62" s="128"/>
      <c r="BL62" s="128"/>
      <c r="BM62" s="128"/>
      <c r="BN62" s="128"/>
      <c r="BO62" s="128"/>
      <c r="BP62" s="128"/>
      <c r="BQ62" s="128"/>
    </row>
    <row r="63" spans="1:69" ht="14.25" customHeight="1">
      <c r="A63" s="128"/>
      <c r="B63" s="128"/>
      <c r="C63" s="128"/>
      <c r="D63" s="128"/>
      <c r="E63" s="128"/>
      <c r="F63" s="128"/>
      <c r="G63" s="128"/>
      <c r="H63" s="128"/>
      <c r="I63" s="128"/>
      <c r="J63" s="128"/>
      <c r="K63" s="128"/>
      <c r="L63" s="128"/>
      <c r="M63" s="128"/>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
      <c r="AQ63" s="966"/>
      <c r="AR63" s="967" t="s">
        <v>212</v>
      </c>
      <c r="AS63" s="968" t="e">
        <f>(U11*AQ59)</f>
        <v>#REF!</v>
      </c>
      <c r="AT63" s="1"/>
      <c r="AU63" s="1"/>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row>
    <row r="64" spans="1:69" ht="14.25" customHeight="1">
      <c r="A64" s="128"/>
      <c r="B64" s="128"/>
      <c r="C64" s="128"/>
      <c r="D64" s="128"/>
      <c r="E64" s="128"/>
      <c r="F64" s="128"/>
      <c r="G64" s="128"/>
      <c r="H64" s="128"/>
      <c r="I64" s="128"/>
      <c r="J64" s="128"/>
      <c r="K64" s="128"/>
      <c r="L64" s="128"/>
      <c r="M64" s="128"/>
      <c r="N64" s="128"/>
      <c r="O64" s="128"/>
      <c r="P64" s="128"/>
      <c r="Q64" s="128"/>
      <c r="R64" s="128"/>
      <c r="S64" s="128"/>
      <c r="T64" s="128"/>
      <c r="U64" s="128"/>
      <c r="V64" s="128"/>
      <c r="W64" s="128"/>
      <c r="X64" s="128"/>
      <c r="Y64" s="128"/>
      <c r="Z64" s="128"/>
      <c r="AA64" s="128"/>
      <c r="AB64" s="128"/>
      <c r="AC64" s="128"/>
      <c r="AD64" s="128"/>
      <c r="AE64" s="128"/>
      <c r="AF64" s="128"/>
      <c r="AG64" s="128"/>
      <c r="AH64" s="128"/>
      <c r="AI64" s="128"/>
      <c r="AJ64" s="128"/>
      <c r="AK64" s="128"/>
      <c r="AL64" s="128"/>
      <c r="AM64" s="128"/>
      <c r="AN64" s="128"/>
      <c r="AO64" s="128"/>
      <c r="AP64" s="1"/>
      <c r="AQ64" s="966"/>
      <c r="AR64" s="967" t="s">
        <v>213</v>
      </c>
      <c r="AS64" s="968">
        <f>AS59*U11</f>
        <v>0</v>
      </c>
      <c r="AT64" s="1"/>
      <c r="AU64" s="1"/>
      <c r="AV64" s="128"/>
      <c r="AW64" s="128"/>
      <c r="AX64" s="128"/>
      <c r="AY64" s="128"/>
      <c r="AZ64" s="128"/>
      <c r="BA64" s="128"/>
      <c r="BB64" s="128"/>
      <c r="BC64" s="128"/>
      <c r="BD64" s="128"/>
      <c r="BE64" s="128"/>
      <c r="BF64" s="128"/>
      <c r="BG64" s="128"/>
      <c r="BH64" s="128"/>
      <c r="BI64" s="128"/>
      <c r="BJ64" s="128"/>
      <c r="BK64" s="128"/>
      <c r="BL64" s="128"/>
      <c r="BM64" s="128"/>
      <c r="BN64" s="128"/>
      <c r="BO64" s="128"/>
      <c r="BP64" s="128"/>
      <c r="BQ64" s="128"/>
    </row>
    <row r="65" spans="1:69" ht="14.25" customHeight="1">
      <c r="A65" s="128"/>
      <c r="B65" s="128"/>
      <c r="C65" s="128"/>
      <c r="D65" s="128"/>
      <c r="E65" s="128"/>
      <c r="F65" s="128"/>
      <c r="G65" s="128"/>
      <c r="H65" s="128"/>
      <c r="I65" s="128"/>
      <c r="J65" s="128"/>
      <c r="K65" s="128"/>
      <c r="L65" s="128"/>
      <c r="M65" s="128"/>
      <c r="N65" s="128"/>
      <c r="O65" s="128"/>
      <c r="P65" s="128"/>
      <c r="Q65" s="128"/>
      <c r="R65" s="128"/>
      <c r="S65" s="128"/>
      <c r="T65" s="128"/>
      <c r="U65" s="128"/>
      <c r="V65" s="128"/>
      <c r="W65" s="128"/>
      <c r="X65" s="128"/>
      <c r="Y65" s="128"/>
      <c r="Z65" s="128"/>
      <c r="AA65" s="128"/>
      <c r="AB65" s="128"/>
      <c r="AC65" s="128"/>
      <c r="AD65" s="128"/>
      <c r="AE65" s="128"/>
      <c r="AF65" s="128"/>
      <c r="AG65" s="128"/>
      <c r="AH65" s="128"/>
      <c r="AI65" s="128"/>
      <c r="AJ65" s="128"/>
      <c r="AK65" s="128"/>
      <c r="AL65" s="128"/>
      <c r="AM65" s="128"/>
      <c r="AN65" s="128"/>
      <c r="AO65" s="128"/>
      <c r="AP65" s="128"/>
      <c r="AQ65" s="128"/>
      <c r="AR65" s="128"/>
      <c r="AS65" s="128"/>
      <c r="AT65" s="128"/>
      <c r="AU65" s="128"/>
      <c r="AV65" s="128"/>
      <c r="AW65" s="128"/>
      <c r="AX65" s="128"/>
      <c r="AY65" s="128"/>
      <c r="AZ65" s="128"/>
      <c r="BA65" s="128"/>
      <c r="BB65" s="128"/>
      <c r="BC65" s="128"/>
      <c r="BD65" s="128"/>
      <c r="BE65" s="128"/>
      <c r="BF65" s="128"/>
      <c r="BG65" s="128"/>
      <c r="BH65" s="128"/>
      <c r="BI65" s="128"/>
      <c r="BJ65" s="128"/>
      <c r="BK65" s="128"/>
      <c r="BL65" s="128"/>
      <c r="BM65" s="128"/>
      <c r="BN65" s="128"/>
      <c r="BO65" s="128"/>
      <c r="BP65" s="128"/>
      <c r="BQ65" s="128"/>
    </row>
    <row r="66" spans="1:69" ht="14.25" customHeight="1">
      <c r="A66" s="128"/>
      <c r="B66" s="128"/>
      <c r="C66" s="128"/>
      <c r="D66" s="128"/>
      <c r="E66" s="128"/>
      <c r="F66" s="128"/>
      <c r="G66" s="128"/>
      <c r="H66" s="128"/>
      <c r="I66" s="128"/>
      <c r="J66" s="128"/>
      <c r="K66" s="128"/>
      <c r="L66" s="128"/>
      <c r="M66" s="128"/>
      <c r="N66" s="128"/>
      <c r="O66" s="128"/>
      <c r="P66" s="128"/>
      <c r="Q66" s="128"/>
      <c r="R66" s="128"/>
      <c r="S66" s="128"/>
      <c r="T66" s="128"/>
      <c r="U66" s="128"/>
      <c r="V66" s="128"/>
      <c r="W66" s="128"/>
      <c r="X66" s="128"/>
      <c r="Y66" s="128"/>
      <c r="Z66" s="128"/>
      <c r="AA66" s="128"/>
      <c r="AB66" s="128"/>
      <c r="AC66" s="128"/>
      <c r="AD66" s="128"/>
      <c r="AE66" s="128"/>
      <c r="AF66" s="128"/>
      <c r="AG66" s="128"/>
      <c r="AH66" s="128"/>
      <c r="AI66" s="128"/>
      <c r="AJ66" s="128"/>
      <c r="AK66" s="128"/>
      <c r="AL66" s="128"/>
      <c r="AM66" s="128"/>
      <c r="AN66" s="128"/>
      <c r="AO66" s="128"/>
      <c r="AP66" s="128"/>
      <c r="AQ66" s="128"/>
      <c r="AR66" s="128"/>
      <c r="AS66" s="128"/>
      <c r="AT66" s="128"/>
      <c r="AU66" s="128"/>
      <c r="AV66" s="128"/>
      <c r="AW66" s="128"/>
      <c r="AX66" s="128"/>
      <c r="AY66" s="128"/>
      <c r="AZ66" s="128"/>
      <c r="BA66" s="128"/>
      <c r="BB66" s="128"/>
      <c r="BC66" s="128"/>
      <c r="BD66" s="128"/>
      <c r="BE66" s="128"/>
      <c r="BF66" s="128"/>
      <c r="BG66" s="128"/>
      <c r="BH66" s="128"/>
      <c r="BI66" s="128"/>
      <c r="BJ66" s="128"/>
      <c r="BK66" s="128"/>
      <c r="BL66" s="128"/>
      <c r="BM66" s="128"/>
      <c r="BN66" s="128"/>
      <c r="BO66" s="128"/>
      <c r="BP66" s="128"/>
      <c r="BQ66" s="128"/>
    </row>
    <row r="67" spans="1:69" ht="14.25" customHeight="1">
      <c r="A67" s="128"/>
      <c r="B67" s="128"/>
      <c r="C67" s="128"/>
      <c r="D67" s="128"/>
      <c r="E67" s="128"/>
      <c r="F67" s="128"/>
      <c r="G67" s="128"/>
      <c r="H67" s="128"/>
      <c r="I67" s="128"/>
      <c r="J67" s="128"/>
      <c r="K67" s="128"/>
      <c r="L67" s="128"/>
      <c r="M67" s="128"/>
      <c r="N67" s="128"/>
      <c r="O67" s="128"/>
      <c r="P67" s="128"/>
      <c r="Q67" s="128"/>
      <c r="R67" s="128"/>
      <c r="S67" s="128"/>
      <c r="T67" s="128"/>
      <c r="U67" s="128"/>
      <c r="V67" s="128"/>
      <c r="W67" s="128"/>
      <c r="X67" s="128"/>
      <c r="Y67" s="128"/>
      <c r="Z67" s="128"/>
      <c r="AA67" s="128"/>
      <c r="AB67" s="128"/>
      <c r="AC67" s="128"/>
      <c r="AD67" s="128"/>
      <c r="AE67" s="128"/>
      <c r="AF67" s="128"/>
      <c r="AG67" s="128"/>
      <c r="AH67" s="128"/>
      <c r="AI67" s="128"/>
      <c r="AJ67" s="128"/>
      <c r="AK67" s="128"/>
      <c r="AL67" s="128"/>
      <c r="AM67" s="128"/>
      <c r="AN67" s="128"/>
      <c r="AO67" s="128"/>
      <c r="AP67" s="128"/>
      <c r="AQ67" s="128"/>
      <c r="AR67" s="128"/>
      <c r="AS67" s="128"/>
      <c r="AT67" s="128"/>
      <c r="AU67" s="128"/>
      <c r="AV67" s="128"/>
      <c r="AW67" s="128"/>
      <c r="AX67" s="128"/>
      <c r="AY67" s="128"/>
      <c r="AZ67" s="128"/>
      <c r="BA67" s="128"/>
      <c r="BB67" s="128"/>
      <c r="BC67" s="128"/>
      <c r="BD67" s="128"/>
      <c r="BE67" s="128"/>
      <c r="BF67" s="128"/>
      <c r="BG67" s="128"/>
      <c r="BH67" s="128"/>
      <c r="BI67" s="128"/>
      <c r="BJ67" s="128"/>
      <c r="BK67" s="128"/>
      <c r="BL67" s="128"/>
      <c r="BM67" s="128"/>
      <c r="BN67" s="128"/>
      <c r="BO67" s="128"/>
      <c r="BP67" s="128"/>
      <c r="BQ67" s="128"/>
    </row>
    <row r="68" spans="1:69" ht="14.25" customHeight="1">
      <c r="A68" s="128"/>
      <c r="B68" s="128"/>
      <c r="C68" s="128"/>
      <c r="D68" s="128"/>
      <c r="E68" s="128"/>
      <c r="F68" s="128"/>
      <c r="G68" s="128"/>
      <c r="H68" s="128"/>
      <c r="I68" s="128"/>
      <c r="J68" s="128"/>
      <c r="K68" s="128"/>
      <c r="L68" s="128"/>
      <c r="M68" s="128"/>
      <c r="N68" s="128"/>
      <c r="O68" s="128"/>
      <c r="P68" s="128"/>
      <c r="Q68" s="128"/>
      <c r="R68" s="128"/>
      <c r="S68" s="128"/>
      <c r="T68" s="128"/>
      <c r="U68" s="128"/>
      <c r="V68" s="128"/>
      <c r="W68" s="128"/>
      <c r="X68" s="128"/>
      <c r="Y68" s="128"/>
      <c r="Z68" s="128"/>
      <c r="AA68" s="128"/>
      <c r="AB68" s="128"/>
      <c r="AC68" s="128"/>
      <c r="AD68" s="128"/>
      <c r="AE68" s="128"/>
      <c r="AF68" s="128"/>
      <c r="AG68" s="128"/>
      <c r="AH68" s="128"/>
      <c r="AI68" s="128"/>
      <c r="AJ68" s="128"/>
      <c r="AK68" s="128"/>
      <c r="AL68" s="128"/>
      <c r="AM68" s="128"/>
      <c r="AN68" s="128"/>
      <c r="AO68" s="128"/>
      <c r="AP68" s="128"/>
      <c r="AQ68" s="128"/>
      <c r="AR68" s="128"/>
      <c r="AS68" s="128"/>
      <c r="AT68" s="128"/>
      <c r="AU68" s="128"/>
      <c r="AV68" s="128"/>
      <c r="AW68" s="128"/>
      <c r="AX68" s="128"/>
      <c r="AY68" s="128"/>
      <c r="AZ68" s="128"/>
      <c r="BA68" s="128"/>
      <c r="BB68" s="128"/>
      <c r="BC68" s="128"/>
      <c r="BD68" s="128"/>
      <c r="BE68" s="128"/>
      <c r="BF68" s="128"/>
      <c r="BG68" s="128"/>
      <c r="BH68" s="128"/>
      <c r="BI68" s="128"/>
      <c r="BJ68" s="128"/>
      <c r="BK68" s="128"/>
      <c r="BL68" s="128"/>
      <c r="BM68" s="128"/>
      <c r="BN68" s="128"/>
      <c r="BO68" s="128"/>
      <c r="BP68" s="128"/>
      <c r="BQ68" s="128"/>
    </row>
    <row r="69" spans="1:69" ht="39" customHeight="1">
      <c r="A69" s="128"/>
      <c r="B69" s="128"/>
      <c r="C69" s="128"/>
      <c r="D69" s="128"/>
      <c r="E69" s="128"/>
      <c r="F69" s="128"/>
      <c r="G69" s="128"/>
      <c r="H69" s="128"/>
      <c r="I69" s="128"/>
      <c r="J69" s="128"/>
      <c r="K69" s="128"/>
      <c r="L69" s="128"/>
      <c r="M69" s="128"/>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970" t="s">
        <v>530</v>
      </c>
      <c r="AR69" s="970"/>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row>
    <row r="70" spans="1:69" ht="39" customHeight="1">
      <c r="A70" s="128"/>
      <c r="B70" s="128"/>
      <c r="C70" s="128"/>
      <c r="D70" s="128"/>
      <c r="E70" s="128"/>
      <c r="F70" s="128"/>
      <c r="G70" s="128"/>
      <c r="H70" s="128"/>
      <c r="I70" s="128"/>
      <c r="J70" s="128"/>
      <c r="K70" s="128"/>
      <c r="L70" s="128"/>
      <c r="M70" s="128"/>
      <c r="N70" s="128"/>
      <c r="O70" s="128"/>
      <c r="P70" s="128"/>
      <c r="Q70" s="128"/>
      <c r="R70" s="128"/>
      <c r="S70" s="128"/>
      <c r="T70" s="128"/>
      <c r="U70" s="128"/>
      <c r="V70" s="128"/>
      <c r="W70" s="128"/>
      <c r="X70" s="128"/>
      <c r="Y70" s="128"/>
      <c r="Z70" s="128"/>
      <c r="AA70" s="128"/>
      <c r="AB70" s="128"/>
      <c r="AC70" s="128"/>
      <c r="AD70" s="128"/>
      <c r="AE70" s="128"/>
      <c r="AF70" s="128"/>
      <c r="AG70" s="128"/>
      <c r="AH70" s="128"/>
      <c r="AI70" s="128"/>
      <c r="AJ70" s="128"/>
      <c r="AK70" s="128"/>
      <c r="AL70" s="128"/>
      <c r="AM70" s="128"/>
      <c r="AN70" s="128"/>
      <c r="AO70" s="128"/>
      <c r="AP70" s="128"/>
      <c r="AQ70" s="970" t="s">
        <v>532</v>
      </c>
      <c r="AR70" s="970"/>
      <c r="AS70" s="128"/>
      <c r="AT70" s="128"/>
      <c r="AU70" s="128"/>
      <c r="AV70" s="128"/>
      <c r="AW70" s="128"/>
      <c r="AX70" s="128"/>
      <c r="AY70" s="128"/>
      <c r="AZ70" s="128"/>
      <c r="BA70" s="128"/>
      <c r="BB70" s="128"/>
      <c r="BC70" s="128"/>
      <c r="BD70" s="128"/>
      <c r="BE70" s="128"/>
      <c r="BF70" s="128"/>
      <c r="BG70" s="128"/>
      <c r="BH70" s="128"/>
      <c r="BI70" s="128"/>
      <c r="BJ70" s="128"/>
      <c r="BK70" s="128"/>
      <c r="BL70" s="128"/>
      <c r="BM70" s="128"/>
      <c r="BN70" s="128"/>
      <c r="BO70" s="128"/>
      <c r="BP70" s="128"/>
      <c r="BQ70" s="128"/>
    </row>
    <row r="71" spans="1:69" ht="39" customHeight="1">
      <c r="A71" s="128"/>
      <c r="B71" s="128"/>
      <c r="C71" s="128"/>
      <c r="D71" s="128"/>
      <c r="E71" s="128"/>
      <c r="F71" s="128"/>
      <c r="G71" s="128"/>
      <c r="H71" s="128"/>
      <c r="I71" s="128"/>
      <c r="J71" s="128"/>
      <c r="K71" s="128"/>
      <c r="L71" s="128"/>
      <c r="M71" s="128"/>
      <c r="N71" s="128"/>
      <c r="O71" s="128"/>
      <c r="P71" s="128"/>
      <c r="Q71" s="128"/>
      <c r="R71" s="128"/>
      <c r="S71" s="128"/>
      <c r="T71" s="128"/>
      <c r="U71" s="128"/>
      <c r="V71" s="128"/>
      <c r="W71" s="128"/>
      <c r="X71" s="128"/>
      <c r="Y71" s="128"/>
      <c r="Z71" s="128"/>
      <c r="AA71" s="128"/>
      <c r="AB71" s="128"/>
      <c r="AC71" s="128"/>
      <c r="AD71" s="128"/>
      <c r="AE71" s="128"/>
      <c r="AF71" s="128"/>
      <c r="AG71" s="128"/>
      <c r="AH71" s="128"/>
      <c r="AI71" s="128"/>
      <c r="AJ71" s="128"/>
      <c r="AK71" s="128"/>
      <c r="AL71" s="128"/>
      <c r="AM71" s="128"/>
      <c r="AN71" s="128"/>
      <c r="AO71" s="128"/>
      <c r="AP71" s="128"/>
      <c r="AQ71" s="970" t="s">
        <v>533</v>
      </c>
      <c r="AR71" s="971"/>
      <c r="AS71" s="128"/>
      <c r="AT71" s="128"/>
      <c r="AU71" s="128"/>
      <c r="AV71" s="128"/>
      <c r="AW71" s="128"/>
      <c r="AX71" s="128"/>
      <c r="AY71" s="128"/>
      <c r="AZ71" s="128"/>
      <c r="BA71" s="128"/>
      <c r="BB71" s="128"/>
      <c r="BC71" s="128"/>
      <c r="BD71" s="128"/>
      <c r="BE71" s="128"/>
      <c r="BF71" s="128"/>
      <c r="BG71" s="128"/>
      <c r="BH71" s="128"/>
      <c r="BI71" s="128"/>
      <c r="BJ71" s="128"/>
      <c r="BK71" s="128"/>
      <c r="BL71" s="128"/>
      <c r="BM71" s="128"/>
      <c r="BN71" s="128"/>
      <c r="BO71" s="128"/>
      <c r="BP71" s="128"/>
      <c r="BQ71" s="128"/>
    </row>
    <row r="72" spans="1:69" ht="39" customHeight="1">
      <c r="A72" s="128"/>
      <c r="B72" s="128"/>
      <c r="C72" s="128"/>
      <c r="D72" s="128"/>
      <c r="E72" s="128"/>
      <c r="F72" s="128"/>
      <c r="G72" s="128"/>
      <c r="H72" s="128"/>
      <c r="I72" s="128"/>
      <c r="J72" s="128"/>
      <c r="K72" s="128"/>
      <c r="L72" s="128"/>
      <c r="M72" s="128"/>
      <c r="N72" s="128"/>
      <c r="O72" s="128"/>
      <c r="P72" s="128"/>
      <c r="Q72" s="128"/>
      <c r="R72" s="128"/>
      <c r="S72" s="128"/>
      <c r="T72" s="128"/>
      <c r="U72" s="128"/>
      <c r="V72" s="128"/>
      <c r="W72" s="128"/>
      <c r="X72" s="128"/>
      <c r="Y72" s="128"/>
      <c r="Z72" s="128"/>
      <c r="AA72" s="128"/>
      <c r="AB72" s="128"/>
      <c r="AC72" s="128"/>
      <c r="AD72" s="128"/>
      <c r="AE72" s="128"/>
      <c r="AF72" s="128"/>
      <c r="AG72" s="128"/>
      <c r="AH72" s="128"/>
      <c r="AI72" s="128"/>
      <c r="AJ72" s="128"/>
      <c r="AK72" s="128"/>
      <c r="AL72" s="128"/>
      <c r="AM72" s="128"/>
      <c r="AN72" s="128"/>
      <c r="AO72" s="128"/>
      <c r="AP72" s="128"/>
      <c r="AQ72" s="970" t="s">
        <v>534</v>
      </c>
      <c r="AR72" s="971"/>
      <c r="AS72" s="128"/>
      <c r="AT72" s="128"/>
      <c r="AU72" s="128"/>
      <c r="AV72" s="128"/>
      <c r="AW72" s="128"/>
      <c r="AX72" s="128"/>
      <c r="AY72" s="128"/>
      <c r="AZ72" s="128"/>
      <c r="BA72" s="128"/>
      <c r="BB72" s="128"/>
      <c r="BC72" s="128"/>
      <c r="BD72" s="128"/>
      <c r="BE72" s="128"/>
      <c r="BF72" s="128"/>
      <c r="BG72" s="128"/>
      <c r="BH72" s="128"/>
      <c r="BI72" s="128"/>
      <c r="BJ72" s="128"/>
      <c r="BK72" s="128"/>
      <c r="BL72" s="128"/>
      <c r="BM72" s="128"/>
      <c r="BN72" s="128"/>
      <c r="BO72" s="128"/>
      <c r="BP72" s="128"/>
      <c r="BQ72" s="128"/>
    </row>
    <row r="73" spans="1:69" ht="39" customHeight="1">
      <c r="A73" s="128"/>
      <c r="B73" s="128"/>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28"/>
      <c r="AA73" s="128"/>
      <c r="AB73" s="128"/>
      <c r="AC73" s="128"/>
      <c r="AD73" s="128"/>
      <c r="AE73" s="128"/>
      <c r="AF73" s="128"/>
      <c r="AG73" s="128"/>
      <c r="AH73" s="128"/>
      <c r="AI73" s="128"/>
      <c r="AJ73" s="128"/>
      <c r="AK73" s="128"/>
      <c r="AL73" s="128"/>
      <c r="AM73" s="128"/>
      <c r="AN73" s="128"/>
      <c r="AO73" s="128"/>
      <c r="AP73" s="128"/>
      <c r="AQ73" s="970" t="s">
        <v>535</v>
      </c>
      <c r="AR73" s="971"/>
      <c r="AS73" s="128"/>
      <c r="AT73" s="128"/>
      <c r="AU73" s="128"/>
      <c r="AV73" s="128"/>
      <c r="AW73" s="128"/>
      <c r="AX73" s="128"/>
      <c r="AY73" s="128"/>
      <c r="AZ73" s="128"/>
      <c r="BA73" s="128"/>
      <c r="BB73" s="128"/>
      <c r="BC73" s="128"/>
      <c r="BD73" s="128"/>
      <c r="BE73" s="128"/>
      <c r="BF73" s="128"/>
      <c r="BG73" s="128"/>
      <c r="BH73" s="128"/>
      <c r="BI73" s="128"/>
      <c r="BJ73" s="128"/>
      <c r="BK73" s="128"/>
      <c r="BL73" s="128"/>
      <c r="BM73" s="128"/>
      <c r="BN73" s="128"/>
      <c r="BO73" s="128"/>
      <c r="BP73" s="128"/>
      <c r="BQ73" s="128"/>
    </row>
    <row r="74" spans="1:69" ht="14.25" customHeight="1">
      <c r="A74" s="128"/>
      <c r="B74" s="128"/>
      <c r="C74" s="128"/>
      <c r="D74" s="128"/>
      <c r="E74" s="128"/>
      <c r="F74" s="128"/>
      <c r="G74" s="128"/>
      <c r="H74" s="128"/>
      <c r="I74" s="128"/>
      <c r="J74" s="128"/>
      <c r="K74" s="128"/>
      <c r="L74" s="128"/>
      <c r="M74" s="128"/>
      <c r="N74" s="128"/>
      <c r="O74" s="128"/>
      <c r="P74" s="128"/>
      <c r="Q74" s="128"/>
      <c r="R74" s="128"/>
      <c r="S74" s="128"/>
      <c r="T74" s="128"/>
      <c r="U74" s="128"/>
      <c r="V74" s="128"/>
      <c r="W74" s="128"/>
      <c r="X74" s="128"/>
      <c r="Y74" s="128"/>
      <c r="Z74" s="128"/>
      <c r="AA74" s="128"/>
      <c r="AB74" s="128"/>
      <c r="AC74" s="128"/>
      <c r="AD74" s="128"/>
      <c r="AE74" s="128"/>
      <c r="AF74" s="128"/>
      <c r="AG74" s="128"/>
      <c r="AH74" s="128"/>
      <c r="AI74" s="128"/>
      <c r="AJ74" s="128"/>
      <c r="AK74" s="128"/>
      <c r="AL74" s="128"/>
      <c r="AM74" s="128"/>
      <c r="AN74" s="128"/>
      <c r="AO74" s="128"/>
      <c r="AP74" s="128"/>
      <c r="AQ74" s="128"/>
      <c r="AR74" s="128"/>
      <c r="AS74" s="128"/>
      <c r="AT74" s="128"/>
      <c r="AU74" s="128"/>
      <c r="AV74" s="128"/>
      <c r="AW74" s="128"/>
      <c r="AX74" s="128"/>
      <c r="AY74" s="128"/>
      <c r="AZ74" s="128"/>
      <c r="BA74" s="128"/>
      <c r="BB74" s="128"/>
      <c r="BC74" s="128"/>
      <c r="BD74" s="128"/>
      <c r="BE74" s="128"/>
      <c r="BF74" s="128"/>
      <c r="BG74" s="128"/>
      <c r="BH74" s="128"/>
      <c r="BI74" s="128"/>
      <c r="BJ74" s="128"/>
      <c r="BK74" s="128"/>
      <c r="BL74" s="128"/>
      <c r="BM74" s="128"/>
      <c r="BN74" s="128"/>
      <c r="BO74" s="128"/>
      <c r="BP74" s="128"/>
      <c r="BQ74" s="128"/>
    </row>
    <row r="75" spans="1:69" ht="14.25" customHeight="1">
      <c r="A75" s="128"/>
      <c r="B75" s="128"/>
      <c r="C75" s="128"/>
      <c r="D75" s="128"/>
      <c r="E75" s="128"/>
      <c r="F75" s="128"/>
      <c r="G75" s="128"/>
      <c r="H75" s="128"/>
      <c r="I75" s="128"/>
      <c r="J75" s="128"/>
      <c r="K75" s="128"/>
      <c r="L75" s="128"/>
      <c r="M75" s="128"/>
      <c r="N75" s="128"/>
      <c r="O75" s="128"/>
      <c r="P75" s="128"/>
      <c r="Q75" s="128"/>
      <c r="R75" s="128"/>
      <c r="S75" s="128"/>
      <c r="T75" s="128"/>
      <c r="U75" s="128"/>
      <c r="V75" s="128"/>
      <c r="W75" s="128"/>
      <c r="X75" s="128"/>
      <c r="Y75" s="128"/>
      <c r="Z75" s="128"/>
      <c r="AA75" s="128"/>
      <c r="AB75" s="128"/>
      <c r="AC75" s="128"/>
      <c r="AD75" s="128"/>
      <c r="AE75" s="128"/>
      <c r="AF75" s="128"/>
      <c r="AG75" s="128"/>
      <c r="AH75" s="128"/>
      <c r="AI75" s="128"/>
      <c r="AJ75" s="128"/>
      <c r="AK75" s="128"/>
      <c r="AL75" s="128"/>
      <c r="AM75" s="128"/>
      <c r="AN75" s="128"/>
      <c r="AO75" s="128"/>
      <c r="AP75" s="128"/>
      <c r="AQ75" s="128"/>
      <c r="AR75" s="128"/>
      <c r="AS75" s="128"/>
      <c r="AT75" s="128"/>
      <c r="AU75" s="128"/>
      <c r="AV75" s="128"/>
      <c r="AW75" s="128"/>
      <c r="AX75" s="128"/>
      <c r="AY75" s="128"/>
      <c r="AZ75" s="128"/>
      <c r="BA75" s="128"/>
      <c r="BB75" s="128"/>
      <c r="BC75" s="128"/>
      <c r="BD75" s="128"/>
      <c r="BE75" s="128"/>
      <c r="BF75" s="128"/>
      <c r="BG75" s="128"/>
      <c r="BH75" s="128"/>
      <c r="BI75" s="128"/>
      <c r="BJ75" s="128"/>
      <c r="BK75" s="128"/>
      <c r="BL75" s="128"/>
      <c r="BM75" s="128"/>
      <c r="BN75" s="128"/>
      <c r="BO75" s="128"/>
      <c r="BP75" s="128"/>
      <c r="BQ75" s="128"/>
    </row>
    <row r="76" spans="1:69" ht="14.25" customHeight="1">
      <c r="A76" s="128"/>
      <c r="B76" s="128"/>
      <c r="C76" s="128"/>
      <c r="D76" s="128"/>
      <c r="E76" s="128"/>
      <c r="F76" s="128"/>
      <c r="G76" s="128"/>
      <c r="H76" s="128"/>
      <c r="I76" s="128"/>
      <c r="J76" s="128"/>
      <c r="K76" s="128"/>
      <c r="L76" s="128"/>
      <c r="M76" s="128"/>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row>
    <row r="77" spans="1:69" ht="14.25" customHeight="1">
      <c r="A77" s="128"/>
      <c r="B77" s="128"/>
      <c r="C77" s="128"/>
      <c r="D77" s="128"/>
      <c r="E77" s="128"/>
      <c r="F77" s="128"/>
      <c r="G77" s="128"/>
      <c r="H77" s="128"/>
      <c r="I77" s="128"/>
      <c r="J77" s="128"/>
      <c r="K77" s="128"/>
      <c r="L77" s="128"/>
      <c r="M77" s="128"/>
      <c r="N77" s="128"/>
      <c r="O77" s="128"/>
      <c r="P77" s="128"/>
      <c r="Q77" s="128"/>
      <c r="R77" s="128"/>
      <c r="S77" s="128"/>
      <c r="T77" s="128"/>
      <c r="U77" s="128"/>
      <c r="V77" s="128"/>
      <c r="W77" s="128"/>
      <c r="X77" s="128"/>
      <c r="Y77" s="128"/>
      <c r="Z77" s="128"/>
      <c r="AA77" s="128"/>
      <c r="AB77" s="128"/>
      <c r="AC77" s="128"/>
      <c r="AD77" s="128"/>
      <c r="AE77" s="128"/>
      <c r="AF77" s="128"/>
      <c r="AG77" s="128"/>
      <c r="AH77" s="128"/>
      <c r="AI77" s="128"/>
      <c r="AJ77" s="128"/>
      <c r="AK77" s="128"/>
      <c r="AL77" s="128"/>
      <c r="AM77" s="128"/>
      <c r="AN77" s="128"/>
      <c r="AO77" s="128"/>
      <c r="AP77" s="128"/>
      <c r="AQ77" s="128"/>
      <c r="AR77" s="128"/>
      <c r="AS77" s="128"/>
      <c r="AT77" s="128"/>
      <c r="AU77" s="128"/>
      <c r="AV77" s="128"/>
      <c r="AW77" s="128"/>
      <c r="AX77" s="128"/>
      <c r="AY77" s="128"/>
      <c r="AZ77" s="128"/>
      <c r="BA77" s="128"/>
      <c r="BB77" s="128"/>
      <c r="BC77" s="128"/>
      <c r="BD77" s="128"/>
      <c r="BE77" s="128"/>
      <c r="BF77" s="128"/>
      <c r="BG77" s="128"/>
      <c r="BH77" s="128"/>
      <c r="BI77" s="128"/>
      <c r="BJ77" s="128"/>
      <c r="BK77" s="128"/>
      <c r="BL77" s="128"/>
      <c r="BM77" s="128"/>
      <c r="BN77" s="128"/>
      <c r="BO77" s="128"/>
      <c r="BP77" s="128"/>
      <c r="BQ77" s="128"/>
    </row>
    <row r="78" spans="1:69" ht="14.25" customHeight="1">
      <c r="A78" s="128"/>
      <c r="B78" s="128"/>
      <c r="C78" s="128"/>
      <c r="D78" s="128"/>
      <c r="E78" s="128"/>
      <c r="F78" s="128"/>
      <c r="G78" s="128"/>
      <c r="H78" s="128"/>
      <c r="I78" s="128"/>
      <c r="J78" s="128"/>
      <c r="K78" s="128"/>
      <c r="L78" s="128"/>
      <c r="M78" s="128"/>
      <c r="N78" s="128"/>
      <c r="O78" s="128"/>
      <c r="P78" s="128"/>
      <c r="Q78" s="128"/>
      <c r="R78" s="128"/>
      <c r="S78" s="128"/>
      <c r="T78" s="128"/>
      <c r="U78" s="128"/>
      <c r="V78" s="128"/>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28"/>
      <c r="AS78" s="128"/>
      <c r="AT78" s="128"/>
      <c r="AU78" s="128"/>
      <c r="AV78" s="128"/>
      <c r="AW78" s="128"/>
      <c r="AX78" s="128"/>
      <c r="AY78" s="128"/>
      <c r="AZ78" s="128"/>
      <c r="BA78" s="128"/>
      <c r="BB78" s="128"/>
      <c r="BC78" s="128"/>
      <c r="BD78" s="128"/>
      <c r="BE78" s="128"/>
      <c r="BF78" s="128"/>
      <c r="BG78" s="128"/>
      <c r="BH78" s="128"/>
      <c r="BI78" s="128"/>
      <c r="BJ78" s="128"/>
      <c r="BK78" s="128"/>
      <c r="BL78" s="128"/>
      <c r="BM78" s="128"/>
      <c r="BN78" s="128"/>
      <c r="BO78" s="128"/>
      <c r="BP78" s="128"/>
      <c r="BQ78" s="128"/>
    </row>
    <row r="79" spans="1:69" ht="14.25" customHeight="1">
      <c r="A79" s="128"/>
      <c r="B79" s="128"/>
      <c r="C79" s="128"/>
      <c r="D79" s="128"/>
      <c r="E79" s="128"/>
      <c r="F79" s="128"/>
      <c r="G79" s="128"/>
      <c r="H79" s="128"/>
      <c r="I79" s="128"/>
      <c r="J79" s="128"/>
      <c r="K79" s="128"/>
      <c r="L79" s="128"/>
      <c r="M79" s="128"/>
      <c r="N79" s="128"/>
      <c r="O79" s="128"/>
      <c r="P79" s="128"/>
      <c r="Q79" s="128"/>
      <c r="R79" s="128"/>
      <c r="S79" s="128"/>
      <c r="T79" s="128"/>
      <c r="U79" s="128"/>
      <c r="V79" s="128"/>
      <c r="W79" s="128"/>
      <c r="X79" s="128"/>
      <c r="Y79" s="128"/>
      <c r="Z79" s="128"/>
      <c r="AA79" s="128"/>
      <c r="AB79" s="128"/>
      <c r="AC79" s="128"/>
      <c r="AD79" s="128"/>
      <c r="AE79" s="128"/>
      <c r="AF79" s="128"/>
      <c r="AG79" s="128"/>
      <c r="AH79" s="128"/>
      <c r="AI79" s="128"/>
      <c r="AJ79" s="128"/>
      <c r="AK79" s="128"/>
      <c r="AL79" s="128"/>
      <c r="AM79" s="128"/>
      <c r="AN79" s="128"/>
      <c r="AO79" s="128"/>
      <c r="AP79" s="128"/>
      <c r="AQ79" s="128"/>
      <c r="AR79" s="128"/>
      <c r="AS79" s="128"/>
      <c r="AT79" s="128"/>
      <c r="AU79" s="128"/>
      <c r="AV79" s="128"/>
      <c r="AW79" s="128"/>
      <c r="AX79" s="128"/>
      <c r="AY79" s="128"/>
      <c r="AZ79" s="128"/>
      <c r="BA79" s="128"/>
      <c r="BB79" s="128"/>
      <c r="BC79" s="128"/>
      <c r="BD79" s="128"/>
      <c r="BE79" s="128"/>
      <c r="BF79" s="128"/>
      <c r="BG79" s="128"/>
      <c r="BH79" s="128"/>
      <c r="BI79" s="128"/>
      <c r="BJ79" s="128"/>
      <c r="BK79" s="128"/>
      <c r="BL79" s="128"/>
      <c r="BM79" s="128"/>
      <c r="BN79" s="128"/>
      <c r="BO79" s="128"/>
      <c r="BP79" s="128"/>
      <c r="BQ79" s="128"/>
    </row>
    <row r="80" spans="1:69" ht="14.25" customHeight="1">
      <c r="A80" s="128"/>
      <c r="B80" s="128"/>
      <c r="C80" s="128"/>
      <c r="D80" s="128"/>
      <c r="E80" s="128"/>
      <c r="F80" s="128"/>
      <c r="G80" s="128"/>
      <c r="H80" s="128"/>
      <c r="I80" s="128"/>
      <c r="J80" s="128"/>
      <c r="K80" s="128"/>
      <c r="L80" s="128"/>
      <c r="M80" s="128"/>
      <c r="N80" s="128"/>
      <c r="O80" s="128"/>
      <c r="P80" s="128"/>
      <c r="Q80" s="128"/>
      <c r="R80" s="128"/>
      <c r="S80" s="128"/>
      <c r="T80" s="128"/>
      <c r="U80" s="128"/>
      <c r="V80" s="128"/>
      <c r="W80" s="128"/>
      <c r="X80" s="128"/>
      <c r="Y80" s="128"/>
      <c r="Z80" s="128"/>
      <c r="AA80" s="128"/>
      <c r="AB80" s="128"/>
      <c r="AC80" s="128"/>
      <c r="AD80" s="128"/>
      <c r="AE80" s="128"/>
      <c r="AF80" s="128"/>
      <c r="AG80" s="128"/>
      <c r="AH80" s="128"/>
      <c r="AI80" s="128"/>
      <c r="AJ80" s="128"/>
      <c r="AK80" s="128"/>
      <c r="AL80" s="128"/>
      <c r="AM80" s="128"/>
      <c r="AN80" s="128"/>
      <c r="AO80" s="128"/>
      <c r="AP80" s="128"/>
      <c r="AQ80" s="128"/>
      <c r="AR80" s="128"/>
      <c r="AS80" s="128"/>
      <c r="AT80" s="128"/>
      <c r="AU80" s="128"/>
      <c r="AV80" s="128"/>
      <c r="AW80" s="128"/>
      <c r="AX80" s="128"/>
      <c r="AY80" s="128"/>
      <c r="AZ80" s="128"/>
      <c r="BA80" s="128"/>
      <c r="BB80" s="128"/>
      <c r="BC80" s="128"/>
      <c r="BD80" s="128"/>
      <c r="BE80" s="128"/>
      <c r="BF80" s="128"/>
      <c r="BG80" s="128"/>
      <c r="BH80" s="128"/>
      <c r="BI80" s="128"/>
      <c r="BJ80" s="128"/>
      <c r="BK80" s="128"/>
      <c r="BL80" s="128"/>
      <c r="BM80" s="128"/>
      <c r="BN80" s="128"/>
      <c r="BO80" s="128"/>
      <c r="BP80" s="128"/>
      <c r="BQ80" s="128"/>
    </row>
    <row r="81" spans="1:69" ht="14.25" customHeight="1">
      <c r="A81" s="128"/>
      <c r="B81" s="128"/>
      <c r="C81" s="128"/>
      <c r="D81" s="128"/>
      <c r="E81" s="128"/>
      <c r="F81" s="128"/>
      <c r="G81" s="128"/>
      <c r="H81" s="128"/>
      <c r="I81" s="128"/>
      <c r="J81" s="128"/>
      <c r="K81" s="128"/>
      <c r="L81" s="128"/>
      <c r="M81" s="128"/>
      <c r="N81" s="128"/>
      <c r="O81" s="128"/>
      <c r="P81" s="128"/>
      <c r="Q81" s="128"/>
      <c r="R81" s="128"/>
      <c r="S81" s="128"/>
      <c r="T81" s="128"/>
      <c r="U81" s="128"/>
      <c r="V81" s="128"/>
      <c r="W81" s="128"/>
      <c r="X81" s="128"/>
      <c r="Y81" s="128"/>
      <c r="Z81" s="128"/>
      <c r="AA81" s="128"/>
      <c r="AB81" s="128"/>
      <c r="AC81" s="128"/>
      <c r="AD81" s="128"/>
      <c r="AE81" s="128"/>
      <c r="AF81" s="128"/>
      <c r="AG81" s="128"/>
      <c r="AH81" s="128"/>
      <c r="AI81" s="128"/>
      <c r="AJ81" s="128"/>
      <c r="AK81" s="128"/>
      <c r="AL81" s="128"/>
      <c r="AM81" s="128"/>
      <c r="AN81" s="128"/>
      <c r="AO81" s="128"/>
      <c r="AP81" s="128"/>
      <c r="AQ81" s="128"/>
      <c r="AR81" s="128"/>
      <c r="AS81" s="128"/>
      <c r="AT81" s="128"/>
      <c r="AU81" s="128"/>
      <c r="AV81" s="128"/>
      <c r="AW81" s="128"/>
      <c r="AX81" s="128"/>
      <c r="AY81" s="128"/>
      <c r="AZ81" s="128"/>
      <c r="BA81" s="128"/>
      <c r="BB81" s="128"/>
      <c r="BC81" s="128"/>
      <c r="BD81" s="128"/>
      <c r="BE81" s="128"/>
      <c r="BF81" s="128"/>
      <c r="BG81" s="128"/>
      <c r="BH81" s="128"/>
      <c r="BI81" s="128"/>
      <c r="BJ81" s="128"/>
      <c r="BK81" s="128"/>
      <c r="BL81" s="128"/>
      <c r="BM81" s="128"/>
      <c r="BN81" s="128"/>
      <c r="BO81" s="128"/>
      <c r="BP81" s="128"/>
      <c r="BQ81" s="128"/>
    </row>
    <row r="82" spans="1:69" ht="14.25" customHeight="1">
      <c r="A82" s="128"/>
      <c r="B82" s="128"/>
      <c r="C82" s="128"/>
      <c r="D82" s="128"/>
      <c r="E82" s="128"/>
      <c r="F82" s="128"/>
      <c r="G82" s="128"/>
      <c r="H82" s="128"/>
      <c r="I82" s="128"/>
      <c r="J82" s="128"/>
      <c r="K82" s="128"/>
      <c r="L82" s="128"/>
      <c r="M82" s="128"/>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row>
    <row r="83" spans="1:69" ht="14.25" customHeight="1">
      <c r="A83" s="128"/>
      <c r="B83" s="128"/>
      <c r="C83" s="128"/>
      <c r="D83" s="128"/>
      <c r="E83" s="128"/>
      <c r="F83" s="128"/>
      <c r="G83" s="128"/>
      <c r="H83" s="128"/>
      <c r="I83" s="128"/>
      <c r="J83" s="128"/>
      <c r="K83" s="128"/>
      <c r="L83" s="128"/>
      <c r="M83" s="128"/>
      <c r="N83" s="128"/>
      <c r="O83" s="128"/>
      <c r="P83" s="128"/>
      <c r="Q83" s="128"/>
      <c r="R83" s="128"/>
      <c r="S83" s="128"/>
      <c r="T83" s="128"/>
      <c r="U83" s="128"/>
      <c r="V83" s="128"/>
      <c r="W83" s="128"/>
      <c r="X83" s="128"/>
      <c r="Y83" s="128"/>
      <c r="Z83" s="128"/>
      <c r="AA83" s="128"/>
      <c r="AB83" s="128"/>
      <c r="AC83" s="128"/>
      <c r="AD83" s="128"/>
      <c r="AE83" s="128"/>
      <c r="AF83" s="128"/>
      <c r="AG83" s="128"/>
      <c r="AH83" s="128"/>
      <c r="AI83" s="128"/>
      <c r="AJ83" s="128"/>
      <c r="AK83" s="128"/>
      <c r="AL83" s="128"/>
      <c r="AM83" s="128"/>
      <c r="AN83" s="128"/>
      <c r="AO83" s="128"/>
      <c r="AP83" s="128"/>
      <c r="AQ83" s="128"/>
      <c r="AR83" s="128"/>
      <c r="AS83" s="128"/>
      <c r="AT83" s="128"/>
      <c r="AU83" s="128"/>
      <c r="AV83" s="128"/>
      <c r="AW83" s="128"/>
      <c r="AX83" s="128"/>
      <c r="AY83" s="128"/>
      <c r="AZ83" s="128"/>
      <c r="BA83" s="128"/>
      <c r="BB83" s="128"/>
      <c r="BC83" s="128"/>
      <c r="BD83" s="128"/>
      <c r="BE83" s="128"/>
      <c r="BF83" s="128"/>
      <c r="BG83" s="128"/>
      <c r="BH83" s="128"/>
      <c r="BI83" s="128"/>
      <c r="BJ83" s="128"/>
      <c r="BK83" s="128"/>
      <c r="BL83" s="128"/>
      <c r="BM83" s="128"/>
      <c r="BN83" s="128"/>
      <c r="BO83" s="128"/>
      <c r="BP83" s="128"/>
      <c r="BQ83" s="128"/>
    </row>
    <row r="84" spans="1:69" ht="14.25" customHeight="1">
      <c r="A84" s="128"/>
      <c r="B84" s="128"/>
      <c r="C84" s="128"/>
      <c r="D84" s="128"/>
      <c r="E84" s="128"/>
      <c r="F84" s="128"/>
      <c r="G84" s="128"/>
      <c r="H84" s="128"/>
      <c r="I84" s="128"/>
      <c r="J84" s="128"/>
      <c r="K84" s="128"/>
      <c r="L84" s="128"/>
      <c r="M84" s="128"/>
      <c r="N84" s="128"/>
      <c r="O84" s="128"/>
      <c r="P84" s="128"/>
      <c r="Q84" s="128"/>
      <c r="R84" s="128"/>
      <c r="S84" s="128"/>
      <c r="T84" s="128"/>
      <c r="U84" s="128"/>
      <c r="V84" s="128"/>
      <c r="W84" s="128"/>
      <c r="X84" s="128"/>
      <c r="Y84" s="128"/>
      <c r="Z84" s="128"/>
      <c r="AA84" s="128"/>
      <c r="AB84" s="128"/>
      <c r="AC84" s="128"/>
      <c r="AD84" s="128"/>
      <c r="AE84" s="128"/>
      <c r="AF84" s="128"/>
      <c r="AG84" s="128"/>
      <c r="AH84" s="128"/>
      <c r="AI84" s="128"/>
      <c r="AJ84" s="128"/>
      <c r="AK84" s="128"/>
      <c r="AL84" s="128"/>
      <c r="AM84" s="128"/>
      <c r="AN84" s="128"/>
      <c r="AO84" s="128"/>
      <c r="AP84" s="128"/>
      <c r="AQ84" s="128"/>
      <c r="AR84" s="128"/>
      <c r="AS84" s="128"/>
      <c r="AT84" s="128"/>
      <c r="AU84" s="128"/>
      <c r="AV84" s="128"/>
      <c r="AW84" s="128"/>
      <c r="AX84" s="128"/>
      <c r="AY84" s="128"/>
      <c r="AZ84" s="128"/>
      <c r="BA84" s="128"/>
      <c r="BB84" s="128"/>
      <c r="BC84" s="128"/>
      <c r="BD84" s="128"/>
      <c r="BE84" s="128"/>
      <c r="BF84" s="128"/>
      <c r="BG84" s="128"/>
      <c r="BH84" s="128"/>
      <c r="BI84" s="128"/>
      <c r="BJ84" s="128"/>
      <c r="BK84" s="128"/>
      <c r="BL84" s="128"/>
      <c r="BM84" s="128"/>
      <c r="BN84" s="128"/>
      <c r="BO84" s="128"/>
      <c r="BP84" s="128"/>
      <c r="BQ84" s="128"/>
    </row>
    <row r="85" spans="1:69" ht="14.25" customHeight="1">
      <c r="A85" s="128"/>
      <c r="B85" s="128"/>
      <c r="C85" s="128"/>
      <c r="D85" s="128"/>
      <c r="E85" s="128"/>
      <c r="F85" s="128"/>
      <c r="G85" s="128"/>
      <c r="H85" s="128"/>
      <c r="I85" s="128"/>
      <c r="J85" s="128"/>
      <c r="K85" s="128"/>
      <c r="L85" s="128"/>
      <c r="M85" s="128"/>
      <c r="N85" s="128"/>
      <c r="O85" s="128"/>
      <c r="P85" s="128"/>
      <c r="Q85" s="128"/>
      <c r="R85" s="128"/>
      <c r="S85" s="128"/>
      <c r="T85" s="128"/>
      <c r="U85" s="128"/>
      <c r="V85" s="128"/>
      <c r="W85" s="128"/>
      <c r="X85" s="128"/>
      <c r="Y85" s="128"/>
      <c r="Z85" s="128"/>
      <c r="AA85" s="128"/>
      <c r="AB85" s="128"/>
      <c r="AC85" s="128"/>
      <c r="AD85" s="128"/>
      <c r="AE85" s="128"/>
      <c r="AF85" s="128"/>
      <c r="AG85" s="128"/>
      <c r="AH85" s="128"/>
      <c r="AI85" s="128"/>
      <c r="AJ85" s="128"/>
      <c r="AK85" s="128"/>
      <c r="AL85" s="128"/>
      <c r="AM85" s="128"/>
      <c r="AN85" s="128"/>
      <c r="AO85" s="128"/>
      <c r="AP85" s="128"/>
      <c r="AQ85" s="128"/>
      <c r="AR85" s="128"/>
      <c r="AS85" s="128"/>
      <c r="AT85" s="128"/>
      <c r="AU85" s="128"/>
      <c r="AV85" s="128"/>
      <c r="AW85" s="128"/>
      <c r="AX85" s="128"/>
      <c r="AY85" s="128"/>
      <c r="AZ85" s="128"/>
      <c r="BA85" s="128"/>
      <c r="BB85" s="128"/>
      <c r="BC85" s="128"/>
      <c r="BD85" s="128"/>
      <c r="BE85" s="128"/>
      <c r="BF85" s="128"/>
      <c r="BG85" s="128"/>
      <c r="BH85" s="128"/>
      <c r="BI85" s="128"/>
      <c r="BJ85" s="128"/>
      <c r="BK85" s="128"/>
      <c r="BL85" s="128"/>
      <c r="BM85" s="128"/>
      <c r="BN85" s="128"/>
      <c r="BO85" s="128"/>
      <c r="BP85" s="128"/>
      <c r="BQ85" s="128"/>
    </row>
    <row r="86" spans="1:69" ht="14.25" customHeight="1">
      <c r="A86" s="128"/>
      <c r="B86" s="128"/>
      <c r="C86" s="128"/>
      <c r="D86" s="128"/>
      <c r="E86" s="128"/>
      <c r="F86" s="128"/>
      <c r="G86" s="128"/>
      <c r="H86" s="128"/>
      <c r="I86" s="128"/>
      <c r="J86" s="128"/>
      <c r="K86" s="128"/>
      <c r="L86" s="128"/>
      <c r="M86" s="128"/>
      <c r="N86" s="128"/>
      <c r="O86" s="128"/>
      <c r="P86" s="128"/>
      <c r="Q86" s="128"/>
      <c r="R86" s="128"/>
      <c r="S86" s="128"/>
      <c r="T86" s="128"/>
      <c r="U86" s="128"/>
      <c r="V86" s="128"/>
      <c r="W86" s="128"/>
      <c r="X86" s="128"/>
      <c r="Y86" s="128"/>
      <c r="Z86" s="128"/>
      <c r="AA86" s="128"/>
      <c r="AB86" s="128"/>
      <c r="AC86" s="128"/>
      <c r="AD86" s="128"/>
      <c r="AE86" s="128"/>
      <c r="AF86" s="128"/>
      <c r="AG86" s="128"/>
      <c r="AH86" s="128"/>
      <c r="AI86" s="128"/>
      <c r="AJ86" s="128"/>
      <c r="AK86" s="128"/>
      <c r="AL86" s="128"/>
      <c r="AM86" s="128"/>
      <c r="AN86" s="128"/>
      <c r="AO86" s="128"/>
      <c r="AP86" s="128"/>
      <c r="AQ86" s="128"/>
      <c r="AR86" s="128"/>
      <c r="AS86" s="128"/>
      <c r="AT86" s="128"/>
      <c r="AU86" s="128"/>
      <c r="AV86" s="128"/>
      <c r="AW86" s="128"/>
      <c r="AX86" s="128"/>
      <c r="AY86" s="128"/>
      <c r="AZ86" s="128"/>
      <c r="BA86" s="128"/>
      <c r="BB86" s="128"/>
      <c r="BC86" s="128"/>
      <c r="BD86" s="128"/>
      <c r="BE86" s="128"/>
      <c r="BF86" s="128"/>
      <c r="BG86" s="128"/>
      <c r="BH86" s="128"/>
      <c r="BI86" s="128"/>
      <c r="BJ86" s="128"/>
      <c r="BK86" s="128"/>
      <c r="BL86" s="128"/>
      <c r="BM86" s="128"/>
      <c r="BN86" s="128"/>
      <c r="BO86" s="128"/>
      <c r="BP86" s="128"/>
      <c r="BQ86" s="128"/>
    </row>
    <row r="87" spans="1:69" ht="14.25" customHeight="1">
      <c r="A87" s="128"/>
      <c r="B87" s="128"/>
      <c r="C87" s="128"/>
      <c r="D87" s="128"/>
      <c r="E87" s="128"/>
      <c r="F87" s="128"/>
      <c r="G87" s="128"/>
      <c r="H87" s="128"/>
      <c r="I87" s="128"/>
      <c r="J87" s="128"/>
      <c r="K87" s="128"/>
      <c r="L87" s="128"/>
      <c r="M87" s="128"/>
      <c r="N87" s="128"/>
      <c r="O87" s="128"/>
      <c r="P87" s="128"/>
      <c r="Q87" s="128"/>
      <c r="R87" s="128"/>
      <c r="S87" s="128"/>
      <c r="T87" s="128"/>
      <c r="U87" s="128"/>
      <c r="V87" s="128"/>
      <c r="W87" s="128"/>
      <c r="X87" s="128"/>
      <c r="Y87" s="128"/>
      <c r="Z87" s="128"/>
      <c r="AA87" s="128"/>
      <c r="AB87" s="128"/>
      <c r="AC87" s="128"/>
      <c r="AD87" s="128"/>
      <c r="AE87" s="128"/>
      <c r="AF87" s="128"/>
      <c r="AG87" s="128"/>
      <c r="AH87" s="128"/>
      <c r="AI87" s="128"/>
      <c r="AJ87" s="128"/>
      <c r="AK87" s="128"/>
      <c r="AL87" s="128"/>
      <c r="AM87" s="128"/>
      <c r="AN87" s="128"/>
      <c r="AO87" s="128"/>
      <c r="AP87" s="128"/>
      <c r="AQ87" s="128"/>
      <c r="AR87" s="128"/>
      <c r="AS87" s="128"/>
      <c r="AT87" s="128"/>
      <c r="AU87" s="128"/>
      <c r="AV87" s="128"/>
      <c r="AW87" s="128"/>
      <c r="AX87" s="128"/>
      <c r="AY87" s="128"/>
      <c r="AZ87" s="128"/>
      <c r="BA87" s="128"/>
      <c r="BB87" s="128"/>
      <c r="BC87" s="128"/>
      <c r="BD87" s="128"/>
      <c r="BE87" s="128"/>
      <c r="BF87" s="128"/>
      <c r="BG87" s="128"/>
      <c r="BH87" s="128"/>
      <c r="BI87" s="128"/>
      <c r="BJ87" s="128"/>
      <c r="BK87" s="128"/>
      <c r="BL87" s="128"/>
      <c r="BM87" s="128"/>
      <c r="BN87" s="128"/>
      <c r="BO87" s="128"/>
      <c r="BP87" s="128"/>
      <c r="BQ87" s="128"/>
    </row>
    <row r="88" spans="1:69" ht="14.25" customHeight="1">
      <c r="A88" s="128"/>
      <c r="B88" s="128"/>
      <c r="C88" s="128"/>
      <c r="D88" s="128"/>
      <c r="E88" s="128"/>
      <c r="F88" s="128"/>
      <c r="G88" s="128"/>
      <c r="H88" s="128"/>
      <c r="I88" s="128"/>
      <c r="J88" s="128"/>
      <c r="K88" s="128"/>
      <c r="L88" s="128"/>
      <c r="M88" s="128"/>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row>
    <row r="89" spans="1:69" ht="14.25" customHeight="1">
      <c r="A89" s="128"/>
      <c r="B89" s="128"/>
      <c r="C89" s="128"/>
      <c r="D89" s="128"/>
      <c r="E89" s="128"/>
      <c r="F89" s="128"/>
      <c r="G89" s="128"/>
      <c r="H89" s="128"/>
      <c r="I89" s="128"/>
      <c r="J89" s="128"/>
      <c r="K89" s="128"/>
      <c r="L89" s="128"/>
      <c r="M89" s="128"/>
      <c r="N89" s="128"/>
      <c r="O89" s="128"/>
      <c r="P89" s="128"/>
      <c r="Q89" s="128"/>
      <c r="R89" s="128"/>
      <c r="S89" s="128"/>
      <c r="T89" s="128"/>
      <c r="U89" s="128"/>
      <c r="V89" s="128"/>
      <c r="W89" s="128"/>
      <c r="X89" s="128"/>
      <c r="Y89" s="128"/>
      <c r="Z89" s="128"/>
      <c r="AA89" s="128"/>
      <c r="AB89" s="128"/>
      <c r="AC89" s="128"/>
      <c r="AD89" s="128"/>
      <c r="AE89" s="128"/>
      <c r="AF89" s="128"/>
      <c r="AG89" s="128"/>
      <c r="AH89" s="128"/>
      <c r="AI89" s="128"/>
      <c r="AJ89" s="128"/>
      <c r="AK89" s="128"/>
      <c r="AL89" s="128"/>
      <c r="AM89" s="128"/>
      <c r="AN89" s="128"/>
      <c r="AO89" s="128"/>
      <c r="AP89" s="128"/>
      <c r="AQ89" s="128"/>
      <c r="AR89" s="128"/>
      <c r="AS89" s="128"/>
      <c r="AT89" s="128"/>
      <c r="AU89" s="128"/>
      <c r="AV89" s="128"/>
      <c r="AW89" s="128"/>
      <c r="AX89" s="128"/>
      <c r="AY89" s="128"/>
      <c r="AZ89" s="128"/>
      <c r="BA89" s="128"/>
      <c r="BB89" s="128"/>
      <c r="BC89" s="128"/>
      <c r="BD89" s="128"/>
      <c r="BE89" s="128"/>
      <c r="BF89" s="128"/>
      <c r="BG89" s="128"/>
      <c r="BH89" s="128"/>
      <c r="BI89" s="128"/>
      <c r="BJ89" s="128"/>
      <c r="BK89" s="128"/>
      <c r="BL89" s="128"/>
      <c r="BM89" s="128"/>
      <c r="BN89" s="128"/>
      <c r="BO89" s="128"/>
      <c r="BP89" s="128"/>
      <c r="BQ89" s="128"/>
    </row>
    <row r="90" spans="1:69" ht="14.25" customHeight="1">
      <c r="A90" s="128"/>
      <c r="B90" s="128"/>
      <c r="C90" s="128"/>
      <c r="D90" s="128"/>
      <c r="E90" s="128"/>
      <c r="F90" s="128"/>
      <c r="G90" s="128"/>
      <c r="H90" s="128"/>
      <c r="I90" s="128"/>
      <c r="J90" s="128"/>
      <c r="K90" s="128"/>
      <c r="L90" s="128"/>
      <c r="M90" s="128"/>
      <c r="N90" s="128"/>
      <c r="O90" s="128"/>
      <c r="P90" s="128"/>
      <c r="Q90" s="128"/>
      <c r="R90" s="128"/>
      <c r="S90" s="128"/>
      <c r="T90" s="128"/>
      <c r="U90" s="128"/>
      <c r="V90" s="128"/>
      <c r="W90" s="128"/>
      <c r="X90" s="128"/>
      <c r="Y90" s="128"/>
      <c r="Z90" s="128"/>
      <c r="AA90" s="128"/>
      <c r="AB90" s="128"/>
      <c r="AC90" s="128"/>
      <c r="AD90" s="128"/>
      <c r="AE90" s="128"/>
      <c r="AF90" s="128"/>
      <c r="AG90" s="128"/>
      <c r="AH90" s="128"/>
      <c r="AI90" s="128"/>
      <c r="AJ90" s="128"/>
      <c r="AK90" s="128"/>
      <c r="AL90" s="128"/>
      <c r="AM90" s="128"/>
      <c r="AN90" s="128"/>
      <c r="AO90" s="128"/>
      <c r="AP90" s="128"/>
      <c r="AQ90" s="128"/>
      <c r="AR90" s="128"/>
      <c r="AS90" s="128"/>
      <c r="AT90" s="128"/>
      <c r="AU90" s="128"/>
      <c r="AV90" s="128"/>
      <c r="AW90" s="128"/>
      <c r="AX90" s="128"/>
      <c r="AY90" s="128"/>
      <c r="AZ90" s="128"/>
      <c r="BA90" s="128"/>
      <c r="BB90" s="128"/>
      <c r="BC90" s="128"/>
      <c r="BD90" s="128"/>
      <c r="BE90" s="128"/>
      <c r="BF90" s="128"/>
      <c r="BG90" s="128"/>
      <c r="BH90" s="128"/>
      <c r="BI90" s="128"/>
      <c r="BJ90" s="128"/>
      <c r="BK90" s="128"/>
      <c r="BL90" s="128"/>
      <c r="BM90" s="128"/>
      <c r="BN90" s="128"/>
      <c r="BO90" s="128"/>
      <c r="BP90" s="128"/>
      <c r="BQ90" s="128"/>
    </row>
    <row r="91" spans="1:69" ht="14.25" customHeight="1">
      <c r="A91" s="128"/>
      <c r="B91" s="128"/>
      <c r="C91" s="128"/>
      <c r="D91" s="128"/>
      <c r="E91" s="128"/>
      <c r="F91" s="128"/>
      <c r="G91" s="128"/>
      <c r="H91" s="128"/>
      <c r="I91" s="128"/>
      <c r="J91" s="128"/>
      <c r="K91" s="128"/>
      <c r="L91" s="128"/>
      <c r="M91" s="128"/>
      <c r="N91" s="128"/>
      <c r="O91" s="128"/>
      <c r="P91" s="128"/>
      <c r="Q91" s="128"/>
      <c r="R91" s="128"/>
      <c r="S91" s="128"/>
      <c r="T91" s="128"/>
      <c r="U91" s="128"/>
      <c r="V91" s="128"/>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28"/>
      <c r="AS91" s="128"/>
      <c r="AT91" s="128"/>
      <c r="AU91" s="128"/>
      <c r="AV91" s="128"/>
      <c r="AW91" s="128"/>
      <c r="AX91" s="128"/>
      <c r="AY91" s="128"/>
      <c r="AZ91" s="128"/>
      <c r="BA91" s="128"/>
      <c r="BB91" s="128"/>
      <c r="BC91" s="128"/>
      <c r="BD91" s="128"/>
      <c r="BE91" s="128"/>
      <c r="BF91" s="128"/>
      <c r="BG91" s="128"/>
      <c r="BH91" s="128"/>
      <c r="BI91" s="128"/>
      <c r="BJ91" s="128"/>
      <c r="BK91" s="128"/>
      <c r="BL91" s="128"/>
      <c r="BM91" s="128"/>
      <c r="BN91" s="128"/>
      <c r="BO91" s="128"/>
      <c r="BP91" s="128"/>
      <c r="BQ91" s="128"/>
    </row>
    <row r="92" spans="1:69" ht="14.25" customHeight="1">
      <c r="A92" s="128"/>
      <c r="B92" s="128"/>
      <c r="C92" s="128"/>
      <c r="D92" s="128"/>
      <c r="E92" s="128"/>
      <c r="F92" s="128"/>
      <c r="G92" s="128"/>
      <c r="H92" s="128"/>
      <c r="I92" s="128"/>
      <c r="J92" s="128"/>
      <c r="K92" s="128"/>
      <c r="L92" s="128"/>
      <c r="M92" s="128"/>
      <c r="N92" s="128"/>
      <c r="O92" s="128"/>
      <c r="P92" s="128"/>
      <c r="Q92" s="128"/>
      <c r="R92" s="128"/>
      <c r="S92" s="128"/>
      <c r="T92" s="128"/>
      <c r="U92" s="128"/>
      <c r="V92" s="128"/>
      <c r="W92" s="128"/>
      <c r="X92" s="128"/>
      <c r="Y92" s="128"/>
      <c r="Z92" s="128"/>
      <c r="AA92" s="128"/>
      <c r="AB92" s="128"/>
      <c r="AC92" s="128"/>
      <c r="AD92" s="128"/>
      <c r="AE92" s="128"/>
      <c r="AF92" s="128"/>
      <c r="AG92" s="128"/>
      <c r="AH92" s="128"/>
      <c r="AI92" s="128"/>
      <c r="AJ92" s="128"/>
      <c r="AK92" s="128"/>
      <c r="AL92" s="128"/>
      <c r="AM92" s="128"/>
      <c r="AN92" s="128"/>
      <c r="AO92" s="128"/>
      <c r="AP92" s="128"/>
      <c r="AQ92" s="128"/>
      <c r="AR92" s="128"/>
      <c r="AS92" s="128"/>
      <c r="AT92" s="128"/>
      <c r="AU92" s="128"/>
      <c r="AV92" s="128"/>
      <c r="AW92" s="128"/>
      <c r="AX92" s="128"/>
      <c r="AY92" s="128"/>
      <c r="AZ92" s="128"/>
      <c r="BA92" s="128"/>
      <c r="BB92" s="128"/>
      <c r="BC92" s="128"/>
      <c r="BD92" s="128"/>
      <c r="BE92" s="128"/>
      <c r="BF92" s="128"/>
      <c r="BG92" s="128"/>
      <c r="BH92" s="128"/>
      <c r="BI92" s="128"/>
      <c r="BJ92" s="128"/>
      <c r="BK92" s="128"/>
      <c r="BL92" s="128"/>
      <c r="BM92" s="128"/>
      <c r="BN92" s="128"/>
      <c r="BO92" s="128"/>
      <c r="BP92" s="128"/>
      <c r="BQ92" s="128"/>
    </row>
    <row r="93" spans="1:69" ht="14.25" customHeight="1">
      <c r="A93" s="128"/>
      <c r="B93" s="128"/>
      <c r="C93" s="128"/>
      <c r="D93" s="128"/>
      <c r="E93" s="128"/>
      <c r="F93" s="128"/>
      <c r="G93" s="128"/>
      <c r="H93" s="128"/>
      <c r="I93" s="128"/>
      <c r="J93" s="128"/>
      <c r="K93" s="128"/>
      <c r="L93" s="128"/>
      <c r="M93" s="128"/>
      <c r="N93" s="128"/>
      <c r="O93" s="128"/>
      <c r="P93" s="128"/>
      <c r="Q93" s="128"/>
      <c r="R93" s="128"/>
      <c r="S93" s="128"/>
      <c r="T93" s="128"/>
      <c r="U93" s="128"/>
      <c r="V93" s="128"/>
      <c r="W93" s="128"/>
      <c r="X93" s="128"/>
      <c r="Y93" s="128"/>
      <c r="Z93" s="128"/>
      <c r="AA93" s="128"/>
      <c r="AB93" s="128"/>
      <c r="AC93" s="128"/>
      <c r="AD93" s="128"/>
      <c r="AE93" s="128"/>
      <c r="AF93" s="128"/>
      <c r="AG93" s="128"/>
      <c r="AH93" s="128"/>
      <c r="AI93" s="128"/>
      <c r="AJ93" s="128"/>
      <c r="AK93" s="128"/>
      <c r="AL93" s="128"/>
      <c r="AM93" s="128"/>
      <c r="AN93" s="128"/>
      <c r="AO93" s="128"/>
      <c r="AP93" s="128"/>
      <c r="AQ93" s="128"/>
      <c r="AR93" s="128"/>
      <c r="AS93" s="128"/>
      <c r="AT93" s="128"/>
      <c r="AU93" s="128"/>
      <c r="AV93" s="128"/>
      <c r="AW93" s="128"/>
      <c r="AX93" s="128"/>
      <c r="AY93" s="128"/>
      <c r="AZ93" s="128"/>
      <c r="BA93" s="128"/>
      <c r="BB93" s="128"/>
      <c r="BC93" s="128"/>
      <c r="BD93" s="128"/>
      <c r="BE93" s="128"/>
      <c r="BF93" s="128"/>
      <c r="BG93" s="128"/>
      <c r="BH93" s="128"/>
      <c r="BI93" s="128"/>
      <c r="BJ93" s="128"/>
      <c r="BK93" s="128"/>
      <c r="BL93" s="128"/>
      <c r="BM93" s="128"/>
      <c r="BN93" s="128"/>
      <c r="BO93" s="128"/>
      <c r="BP93" s="128"/>
      <c r="BQ93" s="128"/>
    </row>
    <row r="94" spans="1:69" ht="14.25" customHeight="1">
      <c r="A94" s="128"/>
      <c r="B94" s="128"/>
      <c r="C94" s="128"/>
      <c r="D94" s="128"/>
      <c r="E94" s="128"/>
      <c r="F94" s="128"/>
      <c r="G94" s="128"/>
      <c r="H94" s="128"/>
      <c r="I94" s="128"/>
      <c r="J94" s="128"/>
      <c r="K94" s="128"/>
      <c r="L94" s="128"/>
      <c r="M94" s="128"/>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row>
    <row r="95" spans="1:69" ht="14.25" customHeight="1">
      <c r="A95" s="128"/>
      <c r="B95" s="128"/>
      <c r="C95" s="128"/>
      <c r="D95" s="128"/>
      <c r="E95" s="128"/>
      <c r="F95" s="128"/>
      <c r="G95" s="128"/>
      <c r="H95" s="128"/>
      <c r="I95" s="128"/>
      <c r="J95" s="128"/>
      <c r="K95" s="128"/>
      <c r="L95" s="128"/>
      <c r="M95" s="128"/>
      <c r="N95" s="128"/>
      <c r="O95" s="128"/>
      <c r="P95" s="128"/>
      <c r="Q95" s="128"/>
      <c r="R95" s="128"/>
      <c r="S95" s="128"/>
      <c r="T95" s="128"/>
      <c r="U95" s="128"/>
      <c r="V95" s="128"/>
      <c r="W95" s="128"/>
      <c r="X95" s="128"/>
      <c r="Y95" s="128"/>
      <c r="Z95" s="128"/>
      <c r="AA95" s="128"/>
      <c r="AB95" s="128"/>
      <c r="AC95" s="128"/>
      <c r="AD95" s="128"/>
      <c r="AE95" s="128"/>
      <c r="AF95" s="128"/>
      <c r="AG95" s="128"/>
      <c r="AH95" s="128"/>
      <c r="AI95" s="128"/>
      <c r="AJ95" s="128"/>
      <c r="AK95" s="128"/>
      <c r="AL95" s="128"/>
      <c r="AM95" s="128"/>
      <c r="AN95" s="128"/>
      <c r="AO95" s="128"/>
      <c r="AP95" s="128"/>
      <c r="AQ95" s="128"/>
      <c r="AR95" s="128"/>
      <c r="AS95" s="128"/>
      <c r="AT95" s="128"/>
      <c r="AU95" s="128"/>
      <c r="AV95" s="128"/>
      <c r="AW95" s="128"/>
      <c r="AX95" s="128"/>
      <c r="AY95" s="128"/>
      <c r="AZ95" s="128"/>
      <c r="BA95" s="128"/>
      <c r="BB95" s="128"/>
      <c r="BC95" s="128"/>
      <c r="BD95" s="128"/>
      <c r="BE95" s="128"/>
      <c r="BF95" s="128"/>
      <c r="BG95" s="128"/>
      <c r="BH95" s="128"/>
      <c r="BI95" s="128"/>
      <c r="BJ95" s="128"/>
      <c r="BK95" s="128"/>
      <c r="BL95" s="128"/>
      <c r="BM95" s="128"/>
      <c r="BN95" s="128"/>
      <c r="BO95" s="128"/>
      <c r="BP95" s="128"/>
      <c r="BQ95" s="128"/>
    </row>
    <row r="96" spans="1:69" ht="14.25" customHeight="1">
      <c r="A96" s="128"/>
      <c r="B96" s="128"/>
      <c r="C96" s="128"/>
      <c r="D96" s="128"/>
      <c r="E96" s="128"/>
      <c r="F96" s="128"/>
      <c r="G96" s="128"/>
      <c r="H96" s="128"/>
      <c r="I96" s="128"/>
      <c r="J96" s="128"/>
      <c r="K96" s="128"/>
      <c r="L96" s="128"/>
      <c r="M96" s="128"/>
      <c r="N96" s="128"/>
      <c r="O96" s="128"/>
      <c r="P96" s="128"/>
      <c r="Q96" s="128"/>
      <c r="R96" s="128"/>
      <c r="S96" s="128"/>
      <c r="T96" s="128"/>
      <c r="U96" s="128"/>
      <c r="V96" s="128"/>
      <c r="W96" s="128"/>
      <c r="X96" s="128"/>
      <c r="Y96" s="128"/>
      <c r="Z96" s="128"/>
      <c r="AA96" s="128"/>
      <c r="AB96" s="128"/>
      <c r="AC96" s="128"/>
      <c r="AD96" s="128"/>
      <c r="AE96" s="128"/>
      <c r="AF96" s="128"/>
      <c r="AG96" s="128"/>
      <c r="AH96" s="128"/>
      <c r="AI96" s="128"/>
      <c r="AJ96" s="128"/>
      <c r="AK96" s="128"/>
      <c r="AL96" s="128"/>
      <c r="AM96" s="128"/>
      <c r="AN96" s="128"/>
      <c r="AO96" s="128"/>
      <c r="AP96" s="128"/>
      <c r="AQ96" s="128"/>
      <c r="AR96" s="128"/>
      <c r="AS96" s="128"/>
      <c r="AT96" s="128"/>
      <c r="AU96" s="128"/>
      <c r="AV96" s="128"/>
      <c r="AW96" s="128"/>
      <c r="AX96" s="128"/>
      <c r="AY96" s="128"/>
      <c r="AZ96" s="128"/>
      <c r="BA96" s="128"/>
      <c r="BB96" s="128"/>
      <c r="BC96" s="128"/>
      <c r="BD96" s="128"/>
      <c r="BE96" s="128"/>
      <c r="BF96" s="128"/>
      <c r="BG96" s="128"/>
      <c r="BH96" s="128"/>
      <c r="BI96" s="128"/>
      <c r="BJ96" s="128"/>
      <c r="BK96" s="128"/>
      <c r="BL96" s="128"/>
      <c r="BM96" s="128"/>
      <c r="BN96" s="128"/>
      <c r="BO96" s="128"/>
      <c r="BP96" s="128"/>
      <c r="BQ96" s="128"/>
    </row>
    <row r="97" spans="1:69" ht="14.25" customHeight="1">
      <c r="A97" s="128"/>
      <c r="B97" s="128"/>
      <c r="C97" s="128"/>
      <c r="D97" s="128"/>
      <c r="E97" s="128"/>
      <c r="F97" s="128"/>
      <c r="G97" s="128"/>
      <c r="H97" s="128"/>
      <c r="I97" s="128"/>
      <c r="J97" s="128"/>
      <c r="K97" s="128"/>
      <c r="L97" s="128"/>
      <c r="M97" s="128"/>
      <c r="N97" s="128"/>
      <c r="O97" s="128"/>
      <c r="P97" s="128"/>
      <c r="Q97" s="128"/>
      <c r="R97" s="128"/>
      <c r="S97" s="128"/>
      <c r="T97" s="128"/>
      <c r="U97" s="128"/>
      <c r="V97" s="128"/>
      <c r="W97" s="128"/>
      <c r="X97" s="128"/>
      <c r="Y97" s="128"/>
      <c r="Z97" s="128"/>
      <c r="AA97" s="128"/>
      <c r="AB97" s="128"/>
      <c r="AC97" s="128"/>
      <c r="AD97" s="128"/>
      <c r="AE97" s="128"/>
      <c r="AF97" s="128"/>
      <c r="AG97" s="128"/>
      <c r="AH97" s="128"/>
      <c r="AI97" s="128"/>
      <c r="AJ97" s="128"/>
      <c r="AK97" s="128"/>
      <c r="AL97" s="128"/>
      <c r="AM97" s="128"/>
      <c r="AN97" s="128"/>
      <c r="AO97" s="128"/>
      <c r="AP97" s="128"/>
      <c r="AQ97" s="128"/>
      <c r="AR97" s="128"/>
      <c r="AS97" s="128"/>
      <c r="AT97" s="128"/>
      <c r="AU97" s="128"/>
      <c r="AV97" s="128"/>
      <c r="AW97" s="128"/>
      <c r="AX97" s="128"/>
      <c r="AY97" s="128"/>
      <c r="AZ97" s="128"/>
      <c r="BA97" s="128"/>
      <c r="BB97" s="128"/>
      <c r="BC97" s="128"/>
      <c r="BD97" s="128"/>
      <c r="BE97" s="128"/>
      <c r="BF97" s="128"/>
      <c r="BG97" s="128"/>
      <c r="BH97" s="128"/>
      <c r="BI97" s="128"/>
      <c r="BJ97" s="128"/>
      <c r="BK97" s="128"/>
      <c r="BL97" s="128"/>
      <c r="BM97" s="128"/>
      <c r="BN97" s="128"/>
      <c r="BO97" s="128"/>
      <c r="BP97" s="128"/>
      <c r="BQ97" s="128"/>
    </row>
    <row r="98" spans="1:69" ht="14.25" customHeight="1">
      <c r="A98" s="128"/>
      <c r="B98" s="128"/>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28"/>
      <c r="AS98" s="128"/>
      <c r="AT98" s="128"/>
      <c r="AU98" s="128"/>
      <c r="AV98" s="128"/>
      <c r="AW98" s="128"/>
      <c r="AX98" s="128"/>
      <c r="AY98" s="128"/>
      <c r="AZ98" s="128"/>
      <c r="BA98" s="128"/>
      <c r="BB98" s="128"/>
      <c r="BC98" s="128"/>
      <c r="BD98" s="128"/>
      <c r="BE98" s="128"/>
      <c r="BF98" s="128"/>
      <c r="BG98" s="128"/>
      <c r="BH98" s="128"/>
      <c r="BI98" s="128"/>
      <c r="BJ98" s="128"/>
      <c r="BK98" s="128"/>
      <c r="BL98" s="128"/>
      <c r="BM98" s="128"/>
      <c r="BN98" s="128"/>
      <c r="BO98" s="128"/>
      <c r="BP98" s="128"/>
      <c r="BQ98" s="128"/>
    </row>
    <row r="99" spans="1:69" ht="14.25" customHeight="1">
      <c r="A99" s="128"/>
      <c r="B99" s="128"/>
      <c r="C99" s="128"/>
      <c r="D99" s="128"/>
      <c r="E99" s="128"/>
      <c r="F99" s="128"/>
      <c r="G99" s="128"/>
      <c r="H99" s="128"/>
      <c r="I99" s="128"/>
      <c r="J99" s="128"/>
      <c r="K99" s="128"/>
      <c r="L99" s="128"/>
      <c r="M99" s="128"/>
      <c r="N99" s="128"/>
      <c r="O99" s="128"/>
      <c r="P99" s="128"/>
      <c r="Q99" s="128"/>
      <c r="R99" s="128"/>
      <c r="S99" s="128"/>
      <c r="T99" s="128"/>
      <c r="U99" s="128"/>
      <c r="V99" s="128"/>
      <c r="W99" s="128"/>
      <c r="X99" s="128"/>
      <c r="Y99" s="128"/>
      <c r="Z99" s="128"/>
      <c r="AA99" s="128"/>
      <c r="AB99" s="128"/>
      <c r="AC99" s="128"/>
      <c r="AD99" s="128"/>
      <c r="AE99" s="128"/>
      <c r="AF99" s="128"/>
      <c r="AG99" s="128"/>
      <c r="AH99" s="128"/>
      <c r="AI99" s="128"/>
      <c r="AJ99" s="128"/>
      <c r="AK99" s="128"/>
      <c r="AL99" s="128"/>
      <c r="AM99" s="128"/>
      <c r="AN99" s="128"/>
      <c r="AO99" s="128"/>
      <c r="AP99" s="128"/>
      <c r="AQ99" s="128"/>
      <c r="AR99" s="128"/>
      <c r="AS99" s="128"/>
      <c r="AT99" s="128"/>
      <c r="AU99" s="128"/>
      <c r="AV99" s="128"/>
      <c r="AW99" s="128"/>
      <c r="AX99" s="128"/>
      <c r="AY99" s="128"/>
      <c r="AZ99" s="128"/>
      <c r="BA99" s="128"/>
      <c r="BB99" s="128"/>
      <c r="BC99" s="128"/>
      <c r="BD99" s="128"/>
      <c r="BE99" s="128"/>
      <c r="BF99" s="128"/>
      <c r="BG99" s="128"/>
      <c r="BH99" s="128"/>
      <c r="BI99" s="128"/>
      <c r="BJ99" s="128"/>
      <c r="BK99" s="128"/>
      <c r="BL99" s="128"/>
      <c r="BM99" s="128"/>
      <c r="BN99" s="128"/>
      <c r="BO99" s="128"/>
      <c r="BP99" s="128"/>
      <c r="BQ99" s="128"/>
    </row>
    <row r="100" spans="1:69" ht="14.25" customHeight="1">
      <c r="A100" s="128"/>
      <c r="B100" s="128"/>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28"/>
      <c r="AS100" s="128"/>
      <c r="AT100" s="128"/>
      <c r="AU100" s="128"/>
      <c r="AV100" s="128"/>
      <c r="AW100" s="128"/>
      <c r="AX100" s="128"/>
      <c r="AY100" s="128"/>
      <c r="AZ100" s="128"/>
      <c r="BA100" s="128"/>
      <c r="BB100" s="128"/>
      <c r="BC100" s="128"/>
      <c r="BD100" s="128"/>
      <c r="BE100" s="128"/>
      <c r="BF100" s="128"/>
      <c r="BG100" s="128"/>
      <c r="BH100" s="128"/>
      <c r="BI100" s="128"/>
      <c r="BJ100" s="128"/>
      <c r="BK100" s="128"/>
      <c r="BL100" s="128"/>
      <c r="BM100" s="128"/>
      <c r="BN100" s="128"/>
      <c r="BO100" s="128"/>
      <c r="BP100" s="128"/>
      <c r="BQ100" s="128"/>
    </row>
    <row r="101" spans="1:69" ht="14.25" customHeight="1">
      <c r="A101" s="128"/>
      <c r="B101" s="128"/>
      <c r="C101" s="128"/>
      <c r="D101" s="128"/>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row>
    <row r="102" spans="1:69" ht="14.25" customHeight="1">
      <c r="A102" s="128"/>
      <c r="B102" s="128"/>
      <c r="C102" s="128"/>
      <c r="D102" s="128"/>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c r="AA102" s="128"/>
      <c r="AB102" s="128"/>
      <c r="AC102" s="128"/>
      <c r="AD102" s="128"/>
      <c r="AE102" s="128"/>
      <c r="AF102" s="128"/>
      <c r="AG102" s="128"/>
      <c r="AH102" s="128"/>
      <c r="AI102" s="128"/>
      <c r="AJ102" s="128"/>
      <c r="AK102" s="128"/>
      <c r="AL102" s="128"/>
      <c r="AM102" s="128"/>
      <c r="AN102" s="128"/>
      <c r="AO102" s="128"/>
      <c r="AP102" s="128"/>
      <c r="AQ102" s="128"/>
      <c r="AR102" s="128"/>
      <c r="AS102" s="128"/>
      <c r="AT102" s="128"/>
      <c r="AU102" s="128"/>
      <c r="AV102" s="128"/>
      <c r="AW102" s="128"/>
      <c r="AX102" s="128"/>
      <c r="AY102" s="128"/>
      <c r="AZ102" s="128"/>
      <c r="BA102" s="128"/>
      <c r="BB102" s="128"/>
      <c r="BC102" s="128"/>
      <c r="BD102" s="128"/>
      <c r="BE102" s="128"/>
      <c r="BF102" s="128"/>
      <c r="BG102" s="128"/>
      <c r="BH102" s="128"/>
      <c r="BI102" s="128"/>
      <c r="BJ102" s="128"/>
      <c r="BK102" s="128"/>
      <c r="BL102" s="128"/>
      <c r="BM102" s="128"/>
      <c r="BN102" s="128"/>
      <c r="BO102" s="128"/>
      <c r="BP102" s="128"/>
      <c r="BQ102" s="128"/>
    </row>
    <row r="103" spans="1:69" ht="14.25" customHeight="1">
      <c r="A103" s="128"/>
      <c r="B103" s="128"/>
      <c r="C103" s="128"/>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c r="AA103" s="128"/>
      <c r="AB103" s="128"/>
      <c r="AC103" s="128"/>
      <c r="AD103" s="128"/>
      <c r="AE103" s="128"/>
      <c r="AF103" s="128"/>
      <c r="AG103" s="128"/>
      <c r="AH103" s="128"/>
      <c r="AI103" s="128"/>
      <c r="AJ103" s="128"/>
      <c r="AK103" s="128"/>
      <c r="AL103" s="128"/>
      <c r="AM103" s="128"/>
      <c r="AN103" s="128"/>
      <c r="AO103" s="128"/>
      <c r="AP103" s="128"/>
      <c r="AQ103" s="128"/>
      <c r="AR103" s="128"/>
      <c r="AS103" s="128"/>
      <c r="AT103" s="128"/>
      <c r="AU103" s="128"/>
      <c r="AV103" s="128"/>
      <c r="AW103" s="128"/>
      <c r="AX103" s="128"/>
      <c r="AY103" s="128"/>
      <c r="AZ103" s="128"/>
      <c r="BA103" s="128"/>
      <c r="BB103" s="128"/>
      <c r="BC103" s="128"/>
      <c r="BD103" s="128"/>
      <c r="BE103" s="128"/>
      <c r="BF103" s="128"/>
      <c r="BG103" s="128"/>
      <c r="BH103" s="128"/>
      <c r="BI103" s="128"/>
      <c r="BJ103" s="128"/>
      <c r="BK103" s="128"/>
      <c r="BL103" s="128"/>
      <c r="BM103" s="128"/>
      <c r="BN103" s="128"/>
      <c r="BO103" s="128"/>
      <c r="BP103" s="128"/>
      <c r="BQ103" s="128"/>
    </row>
    <row r="104" spans="1:69" ht="14.25" customHeight="1">
      <c r="A104" s="128"/>
      <c r="B104" s="128"/>
      <c r="C104" s="128"/>
      <c r="D104" s="128"/>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c r="AA104" s="128"/>
      <c r="AB104" s="128"/>
      <c r="AC104" s="128"/>
      <c r="AD104" s="128"/>
      <c r="AE104" s="128"/>
      <c r="AF104" s="128"/>
      <c r="AG104" s="128"/>
      <c r="AH104" s="128"/>
      <c r="AI104" s="128"/>
      <c r="AJ104" s="128"/>
      <c r="AK104" s="128"/>
      <c r="AL104" s="128"/>
      <c r="AM104" s="128"/>
      <c r="AN104" s="128"/>
      <c r="AO104" s="128"/>
      <c r="AP104" s="128"/>
      <c r="AQ104" s="128"/>
      <c r="AR104" s="128"/>
      <c r="AS104" s="128"/>
      <c r="AT104" s="128"/>
      <c r="AU104" s="128"/>
      <c r="AV104" s="128"/>
      <c r="AW104" s="128"/>
      <c r="AX104" s="128"/>
      <c r="AY104" s="128"/>
      <c r="AZ104" s="128"/>
      <c r="BA104" s="128"/>
      <c r="BB104" s="128"/>
      <c r="BC104" s="128"/>
      <c r="BD104" s="128"/>
      <c r="BE104" s="128"/>
      <c r="BF104" s="128"/>
      <c r="BG104" s="128"/>
      <c r="BH104" s="128"/>
      <c r="BI104" s="128"/>
      <c r="BJ104" s="128"/>
      <c r="BK104" s="128"/>
      <c r="BL104" s="128"/>
      <c r="BM104" s="128"/>
      <c r="BN104" s="128"/>
      <c r="BO104" s="128"/>
      <c r="BP104" s="128"/>
      <c r="BQ104" s="128"/>
    </row>
    <row r="105" spans="1:69" ht="14.25" customHeight="1">
      <c r="A105" s="128"/>
      <c r="B105" s="128"/>
      <c r="C105" s="128"/>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c r="AA105" s="128"/>
      <c r="AB105" s="128"/>
      <c r="AC105" s="128"/>
      <c r="AD105" s="128"/>
      <c r="AE105" s="128"/>
      <c r="AF105" s="128"/>
      <c r="AG105" s="128"/>
      <c r="AH105" s="128"/>
      <c r="AI105" s="128"/>
      <c r="AJ105" s="128"/>
      <c r="AK105" s="128"/>
      <c r="AL105" s="128"/>
      <c r="AM105" s="128"/>
      <c r="AN105" s="128"/>
      <c r="AO105" s="128"/>
      <c r="AP105" s="128"/>
      <c r="AQ105" s="128"/>
      <c r="AR105" s="128"/>
      <c r="AS105" s="128"/>
      <c r="AT105" s="128"/>
      <c r="AU105" s="128"/>
      <c r="AV105" s="128"/>
      <c r="AW105" s="128"/>
      <c r="AX105" s="128"/>
      <c r="AY105" s="128"/>
      <c r="AZ105" s="128"/>
      <c r="BA105" s="128"/>
      <c r="BB105" s="128"/>
      <c r="BC105" s="128"/>
      <c r="BD105" s="128"/>
      <c r="BE105" s="128"/>
      <c r="BF105" s="128"/>
      <c r="BG105" s="128"/>
      <c r="BH105" s="128"/>
      <c r="BI105" s="128"/>
      <c r="BJ105" s="128"/>
      <c r="BK105" s="128"/>
      <c r="BL105" s="128"/>
      <c r="BM105" s="128"/>
      <c r="BN105" s="128"/>
      <c r="BO105" s="128"/>
      <c r="BP105" s="128"/>
      <c r="BQ105" s="128"/>
    </row>
    <row r="106" spans="1:69" ht="14.25" customHeight="1">
      <c r="A106" s="128"/>
      <c r="B106" s="128"/>
      <c r="C106" s="128"/>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c r="AA106" s="128"/>
      <c r="AB106" s="128"/>
      <c r="AC106" s="128"/>
      <c r="AD106" s="128"/>
      <c r="AE106" s="128"/>
      <c r="AF106" s="128"/>
      <c r="AG106" s="128"/>
      <c r="AH106" s="128"/>
      <c r="AI106" s="128"/>
      <c r="AJ106" s="128"/>
      <c r="AK106" s="128"/>
      <c r="AL106" s="128"/>
      <c r="AM106" s="128"/>
      <c r="AN106" s="128"/>
      <c r="AO106" s="128"/>
      <c r="AP106" s="128"/>
      <c r="AQ106" s="128"/>
      <c r="AR106" s="128"/>
      <c r="AS106" s="128"/>
      <c r="AT106" s="128"/>
      <c r="AU106" s="128"/>
      <c r="AV106" s="128"/>
      <c r="AW106" s="128"/>
      <c r="AX106" s="128"/>
      <c r="AY106" s="128"/>
      <c r="AZ106" s="128"/>
      <c r="BA106" s="128"/>
      <c r="BB106" s="128"/>
      <c r="BC106" s="128"/>
      <c r="BD106" s="128"/>
      <c r="BE106" s="128"/>
      <c r="BF106" s="128"/>
      <c r="BG106" s="128"/>
      <c r="BH106" s="128"/>
      <c r="BI106" s="128"/>
      <c r="BJ106" s="128"/>
      <c r="BK106" s="128"/>
      <c r="BL106" s="128"/>
      <c r="BM106" s="128"/>
      <c r="BN106" s="128"/>
      <c r="BO106" s="128"/>
      <c r="BP106" s="128"/>
      <c r="BQ106" s="128"/>
    </row>
    <row r="107" spans="1:69" ht="14.25" customHeight="1">
      <c r="A107" s="128"/>
      <c r="B107" s="128"/>
      <c r="C107" s="128"/>
      <c r="D107" s="128"/>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row>
    <row r="108" spans="1:69" ht="14.25" customHeight="1">
      <c r="A108" s="128"/>
      <c r="B108" s="128"/>
      <c r="C108" s="128"/>
      <c r="D108" s="128"/>
      <c r="E108" s="128"/>
      <c r="F108" s="128"/>
      <c r="G108" s="128"/>
      <c r="H108" s="128"/>
      <c r="I108" s="128"/>
      <c r="J108" s="128"/>
      <c r="K108" s="128"/>
      <c r="L108" s="128"/>
      <c r="M108" s="128"/>
      <c r="N108" s="128"/>
      <c r="O108" s="128"/>
      <c r="P108" s="128"/>
      <c r="Q108" s="128"/>
      <c r="R108" s="128"/>
      <c r="S108" s="128"/>
      <c r="T108" s="128"/>
      <c r="U108" s="128"/>
      <c r="V108" s="128"/>
      <c r="W108" s="128"/>
      <c r="X108" s="128"/>
      <c r="Y108" s="128"/>
      <c r="Z108" s="128"/>
      <c r="AA108" s="128"/>
      <c r="AB108" s="128"/>
      <c r="AC108" s="128"/>
      <c r="AD108" s="128"/>
      <c r="AE108" s="128"/>
      <c r="AF108" s="128"/>
      <c r="AG108" s="128"/>
      <c r="AH108" s="128"/>
      <c r="AI108" s="128"/>
      <c r="AJ108" s="128"/>
      <c r="AK108" s="128"/>
      <c r="AL108" s="128"/>
      <c r="AM108" s="128"/>
      <c r="AN108" s="128"/>
      <c r="AO108" s="128"/>
      <c r="AP108" s="128"/>
      <c r="AQ108" s="128"/>
      <c r="AR108" s="128"/>
      <c r="AS108" s="128"/>
      <c r="AT108" s="128"/>
      <c r="AU108" s="128"/>
      <c r="AV108" s="128"/>
      <c r="AW108" s="128"/>
      <c r="AX108" s="128"/>
      <c r="AY108" s="128"/>
      <c r="AZ108" s="128"/>
      <c r="BA108" s="128"/>
      <c r="BB108" s="128"/>
      <c r="BC108" s="128"/>
      <c r="BD108" s="128"/>
      <c r="BE108" s="128"/>
      <c r="BF108" s="128"/>
      <c r="BG108" s="128"/>
      <c r="BH108" s="128"/>
      <c r="BI108" s="128"/>
      <c r="BJ108" s="128"/>
      <c r="BK108" s="128"/>
      <c r="BL108" s="128"/>
      <c r="BM108" s="128"/>
      <c r="BN108" s="128"/>
      <c r="BO108" s="128"/>
      <c r="BP108" s="128"/>
      <c r="BQ108" s="128"/>
    </row>
    <row r="109" spans="1:69" ht="14.25" customHeight="1">
      <c r="A109" s="128"/>
      <c r="B109" s="128"/>
      <c r="C109" s="128"/>
      <c r="D109" s="128"/>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28"/>
      <c r="AA109" s="128"/>
      <c r="AB109" s="128"/>
      <c r="AC109" s="128"/>
      <c r="AD109" s="128"/>
      <c r="AE109" s="128"/>
      <c r="AF109" s="128"/>
      <c r="AG109" s="128"/>
      <c r="AH109" s="128"/>
      <c r="AI109" s="128"/>
      <c r="AJ109" s="128"/>
      <c r="AK109" s="128"/>
      <c r="AL109" s="128"/>
      <c r="AM109" s="128"/>
      <c r="AN109" s="128"/>
      <c r="AO109" s="128"/>
      <c r="AP109" s="128"/>
      <c r="AQ109" s="128"/>
      <c r="AR109" s="128"/>
      <c r="AS109" s="128"/>
      <c r="AT109" s="128"/>
      <c r="AU109" s="128"/>
      <c r="AV109" s="128"/>
      <c r="AW109" s="128"/>
      <c r="AX109" s="128"/>
      <c r="AY109" s="128"/>
      <c r="AZ109" s="128"/>
      <c r="BA109" s="128"/>
      <c r="BB109" s="128"/>
      <c r="BC109" s="128"/>
      <c r="BD109" s="128"/>
      <c r="BE109" s="128"/>
      <c r="BF109" s="128"/>
      <c r="BG109" s="128"/>
      <c r="BH109" s="128"/>
      <c r="BI109" s="128"/>
      <c r="BJ109" s="128"/>
      <c r="BK109" s="128"/>
      <c r="BL109" s="128"/>
      <c r="BM109" s="128"/>
      <c r="BN109" s="128"/>
      <c r="BO109" s="128"/>
      <c r="BP109" s="128"/>
      <c r="BQ109" s="128"/>
    </row>
    <row r="110" spans="1:69" ht="14.25" customHeight="1">
      <c r="A110" s="128"/>
      <c r="B110" s="128"/>
      <c r="C110" s="128"/>
      <c r="D110" s="128"/>
      <c r="E110" s="128"/>
      <c r="F110" s="128"/>
      <c r="G110" s="128"/>
      <c r="H110" s="128"/>
      <c r="I110" s="128"/>
      <c r="J110" s="128"/>
      <c r="K110" s="128"/>
      <c r="L110" s="128"/>
      <c r="M110" s="128"/>
      <c r="N110" s="128"/>
      <c r="O110" s="128"/>
      <c r="P110" s="128"/>
      <c r="Q110" s="128"/>
      <c r="R110" s="128"/>
      <c r="S110" s="128"/>
      <c r="T110" s="128"/>
      <c r="U110" s="128"/>
      <c r="V110" s="128"/>
      <c r="W110" s="128"/>
      <c r="X110" s="128"/>
      <c r="Y110" s="128"/>
      <c r="Z110" s="128"/>
      <c r="AA110" s="128"/>
      <c r="AB110" s="128"/>
      <c r="AC110" s="128"/>
      <c r="AD110" s="128"/>
      <c r="AE110" s="128"/>
      <c r="AF110" s="128"/>
      <c r="AG110" s="128"/>
      <c r="AH110" s="128"/>
      <c r="AI110" s="128"/>
      <c r="AJ110" s="128"/>
      <c r="AK110" s="128"/>
      <c r="AL110" s="128"/>
      <c r="AM110" s="128"/>
      <c r="AN110" s="128"/>
      <c r="AO110" s="128"/>
      <c r="AP110" s="128"/>
      <c r="AQ110" s="128"/>
      <c r="AR110" s="128"/>
      <c r="AS110" s="128"/>
      <c r="AT110" s="128"/>
      <c r="AU110" s="128"/>
      <c r="AV110" s="128"/>
      <c r="AW110" s="128"/>
      <c r="AX110" s="128"/>
      <c r="AY110" s="128"/>
      <c r="AZ110" s="128"/>
      <c r="BA110" s="128"/>
      <c r="BB110" s="128"/>
      <c r="BC110" s="128"/>
      <c r="BD110" s="128"/>
      <c r="BE110" s="128"/>
      <c r="BF110" s="128"/>
      <c r="BG110" s="128"/>
      <c r="BH110" s="128"/>
      <c r="BI110" s="128"/>
      <c r="BJ110" s="128"/>
      <c r="BK110" s="128"/>
      <c r="BL110" s="128"/>
      <c r="BM110" s="128"/>
      <c r="BN110" s="128"/>
      <c r="BO110" s="128"/>
      <c r="BP110" s="128"/>
      <c r="BQ110" s="128"/>
    </row>
    <row r="111" spans="1:69" ht="14.25" customHeight="1">
      <c r="A111" s="128"/>
      <c r="B111" s="128"/>
      <c r="C111" s="128"/>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c r="AA111" s="128"/>
      <c r="AB111" s="128"/>
      <c r="AC111" s="128"/>
      <c r="AD111" s="128"/>
      <c r="AE111" s="128"/>
      <c r="AF111" s="128"/>
      <c r="AG111" s="128"/>
      <c r="AH111" s="128"/>
      <c r="AI111" s="128"/>
      <c r="AJ111" s="128"/>
      <c r="AK111" s="128"/>
      <c r="AL111" s="128"/>
      <c r="AM111" s="128"/>
      <c r="AN111" s="128"/>
      <c r="AO111" s="128"/>
      <c r="AP111" s="128"/>
      <c r="AQ111" s="128"/>
      <c r="AR111" s="128"/>
      <c r="AS111" s="128"/>
      <c r="AT111" s="128"/>
      <c r="AU111" s="128"/>
      <c r="AV111" s="128"/>
      <c r="AW111" s="128"/>
      <c r="AX111" s="128"/>
      <c r="AY111" s="128"/>
      <c r="AZ111" s="128"/>
      <c r="BA111" s="128"/>
      <c r="BB111" s="128"/>
      <c r="BC111" s="128"/>
      <c r="BD111" s="128"/>
      <c r="BE111" s="128"/>
      <c r="BF111" s="128"/>
      <c r="BG111" s="128"/>
      <c r="BH111" s="128"/>
      <c r="BI111" s="128"/>
      <c r="BJ111" s="128"/>
      <c r="BK111" s="128"/>
      <c r="BL111" s="128"/>
      <c r="BM111" s="128"/>
      <c r="BN111" s="128"/>
      <c r="BO111" s="128"/>
      <c r="BP111" s="128"/>
      <c r="BQ111" s="128"/>
    </row>
    <row r="112" spans="1:69" ht="14.25" customHeight="1">
      <c r="A112" s="128"/>
      <c r="B112" s="128"/>
      <c r="C112" s="128"/>
      <c r="D112" s="128"/>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28"/>
      <c r="AS112" s="128"/>
      <c r="AT112" s="128"/>
      <c r="AU112" s="128"/>
      <c r="AV112" s="128"/>
      <c r="AW112" s="128"/>
      <c r="AX112" s="128"/>
      <c r="AY112" s="128"/>
      <c r="AZ112" s="128"/>
      <c r="BA112" s="128"/>
      <c r="BB112" s="128"/>
      <c r="BC112" s="128"/>
      <c r="BD112" s="128"/>
      <c r="BE112" s="128"/>
      <c r="BF112" s="128"/>
      <c r="BG112" s="128"/>
      <c r="BH112" s="128"/>
      <c r="BI112" s="128"/>
      <c r="BJ112" s="128"/>
      <c r="BK112" s="128"/>
      <c r="BL112" s="128"/>
      <c r="BM112" s="128"/>
      <c r="BN112" s="128"/>
      <c r="BO112" s="128"/>
      <c r="BP112" s="128"/>
      <c r="BQ112" s="128"/>
    </row>
    <row r="113" spans="1:69" ht="14.25" customHeight="1">
      <c r="A113" s="128"/>
      <c r="B113" s="128"/>
      <c r="C113" s="128"/>
      <c r="D113" s="128"/>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row>
    <row r="114" spans="1:69" ht="14.25" customHeight="1">
      <c r="A114" s="128"/>
      <c r="B114" s="128"/>
      <c r="C114" s="128"/>
      <c r="D114" s="128"/>
      <c r="E114" s="128"/>
      <c r="F114" s="128"/>
      <c r="G114" s="128"/>
      <c r="H114" s="128"/>
      <c r="I114" s="128"/>
      <c r="J114" s="128"/>
      <c r="K114" s="128"/>
      <c r="L114" s="128"/>
      <c r="M114" s="128"/>
      <c r="N114" s="128"/>
      <c r="O114" s="128"/>
      <c r="P114" s="128"/>
      <c r="Q114" s="128"/>
      <c r="R114" s="128"/>
      <c r="S114" s="128"/>
      <c r="T114" s="128"/>
      <c r="U114" s="128"/>
      <c r="V114" s="128"/>
      <c r="W114" s="128"/>
      <c r="X114" s="128"/>
      <c r="Y114" s="128"/>
      <c r="Z114" s="128"/>
      <c r="AA114" s="128"/>
      <c r="AB114" s="128"/>
      <c r="AC114" s="128"/>
      <c r="AD114" s="128"/>
      <c r="AE114" s="128"/>
      <c r="AF114" s="128"/>
      <c r="AG114" s="128"/>
      <c r="AH114" s="128"/>
      <c r="AI114" s="128"/>
      <c r="AJ114" s="128"/>
      <c r="AK114" s="128"/>
      <c r="AL114" s="128"/>
      <c r="AM114" s="128"/>
      <c r="AN114" s="128"/>
      <c r="AO114" s="128"/>
      <c r="AP114" s="128"/>
      <c r="AQ114" s="128"/>
      <c r="AR114" s="128"/>
      <c r="AS114" s="128"/>
      <c r="AT114" s="128"/>
      <c r="AU114" s="128"/>
      <c r="AV114" s="128"/>
      <c r="AW114" s="128"/>
      <c r="AX114" s="128"/>
      <c r="AY114" s="128"/>
      <c r="AZ114" s="128"/>
      <c r="BA114" s="128"/>
      <c r="BB114" s="128"/>
      <c r="BC114" s="128"/>
      <c r="BD114" s="128"/>
      <c r="BE114" s="128"/>
      <c r="BF114" s="128"/>
      <c r="BG114" s="128"/>
      <c r="BH114" s="128"/>
      <c r="BI114" s="128"/>
      <c r="BJ114" s="128"/>
      <c r="BK114" s="128"/>
      <c r="BL114" s="128"/>
      <c r="BM114" s="128"/>
      <c r="BN114" s="128"/>
      <c r="BO114" s="128"/>
      <c r="BP114" s="128"/>
      <c r="BQ114" s="128"/>
    </row>
    <row r="115" spans="1:69" ht="14.25" customHeight="1">
      <c r="A115" s="128"/>
      <c r="B115" s="128"/>
      <c r="C115" s="128"/>
      <c r="D115" s="128"/>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28"/>
      <c r="AA115" s="128"/>
      <c r="AB115" s="128"/>
      <c r="AC115" s="128"/>
      <c r="AD115" s="128"/>
      <c r="AE115" s="128"/>
      <c r="AF115" s="128"/>
      <c r="AG115" s="128"/>
      <c r="AH115" s="128"/>
      <c r="AI115" s="128"/>
      <c r="AJ115" s="128"/>
      <c r="AK115" s="128"/>
      <c r="AL115" s="128"/>
      <c r="AM115" s="128"/>
      <c r="AN115" s="128"/>
      <c r="AO115" s="128"/>
      <c r="AP115" s="128"/>
      <c r="AQ115" s="128"/>
      <c r="AR115" s="128"/>
      <c r="AS115" s="128"/>
      <c r="AT115" s="128"/>
      <c r="AU115" s="128"/>
      <c r="AV115" s="128"/>
      <c r="AW115" s="128"/>
      <c r="AX115" s="128"/>
      <c r="AY115" s="128"/>
      <c r="AZ115" s="128"/>
      <c r="BA115" s="128"/>
      <c r="BB115" s="128"/>
      <c r="BC115" s="128"/>
      <c r="BD115" s="128"/>
      <c r="BE115" s="128"/>
      <c r="BF115" s="128"/>
      <c r="BG115" s="128"/>
      <c r="BH115" s="128"/>
      <c r="BI115" s="128"/>
      <c r="BJ115" s="128"/>
      <c r="BK115" s="128"/>
      <c r="BL115" s="128"/>
      <c r="BM115" s="128"/>
      <c r="BN115" s="128"/>
      <c r="BO115" s="128"/>
      <c r="BP115" s="128"/>
      <c r="BQ115" s="128"/>
    </row>
    <row r="116" spans="1:69" ht="14.25" customHeight="1">
      <c r="A116" s="128"/>
      <c r="B116" s="128"/>
      <c r="C116" s="128"/>
      <c r="D116" s="128"/>
      <c r="E116" s="128"/>
      <c r="F116" s="128"/>
      <c r="G116" s="128"/>
      <c r="H116" s="128"/>
      <c r="I116" s="128"/>
      <c r="J116" s="128"/>
      <c r="K116" s="128"/>
      <c r="L116" s="128"/>
      <c r="M116" s="128"/>
      <c r="N116" s="128"/>
      <c r="O116" s="128"/>
      <c r="P116" s="128"/>
      <c r="Q116" s="128"/>
      <c r="R116" s="128"/>
      <c r="S116" s="128"/>
      <c r="T116" s="128"/>
      <c r="U116" s="128"/>
      <c r="V116" s="128"/>
      <c r="W116" s="128"/>
      <c r="X116" s="128"/>
      <c r="Y116" s="128"/>
      <c r="Z116" s="128"/>
      <c r="AA116" s="128"/>
      <c r="AB116" s="128"/>
      <c r="AC116" s="128"/>
      <c r="AD116" s="128"/>
      <c r="AE116" s="128"/>
      <c r="AF116" s="128"/>
      <c r="AG116" s="128"/>
      <c r="AH116" s="128"/>
      <c r="AI116" s="128"/>
      <c r="AJ116" s="128"/>
      <c r="AK116" s="128"/>
      <c r="AL116" s="128"/>
      <c r="AM116" s="128"/>
      <c r="AN116" s="128"/>
      <c r="AO116" s="128"/>
      <c r="AP116" s="128"/>
      <c r="AQ116" s="128"/>
      <c r="AR116" s="128"/>
      <c r="AS116" s="128"/>
      <c r="AT116" s="128"/>
      <c r="AU116" s="128"/>
      <c r="AV116" s="128"/>
      <c r="AW116" s="128"/>
      <c r="AX116" s="128"/>
      <c r="AY116" s="128"/>
      <c r="AZ116" s="128"/>
      <c r="BA116" s="128"/>
      <c r="BB116" s="128"/>
      <c r="BC116" s="128"/>
      <c r="BD116" s="128"/>
      <c r="BE116" s="128"/>
      <c r="BF116" s="128"/>
      <c r="BG116" s="128"/>
      <c r="BH116" s="128"/>
      <c r="BI116" s="128"/>
      <c r="BJ116" s="128"/>
      <c r="BK116" s="128"/>
      <c r="BL116" s="128"/>
      <c r="BM116" s="128"/>
      <c r="BN116" s="128"/>
      <c r="BO116" s="128"/>
      <c r="BP116" s="128"/>
      <c r="BQ116" s="128"/>
    </row>
    <row r="117" spans="1:69" ht="14.25" customHeight="1">
      <c r="A117" s="128"/>
      <c r="B117" s="128"/>
      <c r="C117" s="128"/>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c r="AA117" s="128"/>
      <c r="AB117" s="128"/>
      <c r="AC117" s="128"/>
      <c r="AD117" s="128"/>
      <c r="AE117" s="128"/>
      <c r="AF117" s="128"/>
      <c r="AG117" s="128"/>
      <c r="AH117" s="128"/>
      <c r="AI117" s="128"/>
      <c r="AJ117" s="128"/>
      <c r="AK117" s="128"/>
      <c r="AL117" s="128"/>
      <c r="AM117" s="128"/>
      <c r="AN117" s="128"/>
      <c r="AO117" s="128"/>
      <c r="AP117" s="128"/>
      <c r="AQ117" s="128"/>
      <c r="AR117" s="128"/>
      <c r="AS117" s="128"/>
      <c r="AT117" s="128"/>
      <c r="AU117" s="128"/>
      <c r="AV117" s="128"/>
      <c r="AW117" s="128"/>
      <c r="AX117" s="128"/>
      <c r="AY117" s="128"/>
      <c r="AZ117" s="128"/>
      <c r="BA117" s="128"/>
      <c r="BB117" s="128"/>
      <c r="BC117" s="128"/>
      <c r="BD117" s="128"/>
      <c r="BE117" s="128"/>
      <c r="BF117" s="128"/>
      <c r="BG117" s="128"/>
      <c r="BH117" s="128"/>
      <c r="BI117" s="128"/>
      <c r="BJ117" s="128"/>
      <c r="BK117" s="128"/>
      <c r="BL117" s="128"/>
      <c r="BM117" s="128"/>
      <c r="BN117" s="128"/>
      <c r="BO117" s="128"/>
      <c r="BP117" s="128"/>
      <c r="BQ117" s="128"/>
    </row>
    <row r="118" spans="1:69" ht="14.25" customHeight="1">
      <c r="A118" s="128"/>
      <c r="B118" s="128"/>
      <c r="C118" s="128"/>
      <c r="D118" s="128"/>
      <c r="E118" s="128"/>
      <c r="F118" s="128"/>
      <c r="G118" s="128"/>
      <c r="H118" s="128"/>
      <c r="I118" s="128"/>
      <c r="J118" s="128"/>
      <c r="K118" s="128"/>
      <c r="L118" s="128"/>
      <c r="M118" s="128"/>
      <c r="N118" s="128"/>
      <c r="O118" s="128"/>
      <c r="P118" s="128"/>
      <c r="Q118" s="128"/>
      <c r="R118" s="128"/>
      <c r="S118" s="128"/>
      <c r="T118" s="128"/>
      <c r="U118" s="128"/>
      <c r="V118" s="128"/>
      <c r="W118" s="128"/>
      <c r="X118" s="128"/>
      <c r="Y118" s="128"/>
      <c r="Z118" s="128"/>
      <c r="AA118" s="128"/>
      <c r="AB118" s="128"/>
      <c r="AC118" s="128"/>
      <c r="AD118" s="128"/>
      <c r="AE118" s="128"/>
      <c r="AF118" s="128"/>
      <c r="AG118" s="128"/>
      <c r="AH118" s="128"/>
      <c r="AI118" s="128"/>
      <c r="AJ118" s="128"/>
      <c r="AK118" s="128"/>
      <c r="AL118" s="128"/>
      <c r="AM118" s="128"/>
      <c r="AN118" s="128"/>
      <c r="AO118" s="128"/>
      <c r="AP118" s="128"/>
      <c r="AQ118" s="128"/>
      <c r="AR118" s="128"/>
      <c r="AS118" s="128"/>
      <c r="AT118" s="128"/>
      <c r="AU118" s="128"/>
      <c r="AV118" s="128"/>
      <c r="AW118" s="128"/>
      <c r="AX118" s="128"/>
      <c r="AY118" s="128"/>
      <c r="AZ118" s="128"/>
      <c r="BA118" s="128"/>
      <c r="BB118" s="128"/>
      <c r="BC118" s="128"/>
      <c r="BD118" s="128"/>
      <c r="BE118" s="128"/>
      <c r="BF118" s="128"/>
      <c r="BG118" s="128"/>
      <c r="BH118" s="128"/>
      <c r="BI118" s="128"/>
      <c r="BJ118" s="128"/>
      <c r="BK118" s="128"/>
      <c r="BL118" s="128"/>
      <c r="BM118" s="128"/>
      <c r="BN118" s="128"/>
      <c r="BO118" s="128"/>
      <c r="BP118" s="128"/>
      <c r="BQ118" s="128"/>
    </row>
    <row r="119" spans="1:69" ht="14.25" customHeight="1">
      <c r="A119" s="128"/>
      <c r="B119" s="128"/>
      <c r="C119" s="128"/>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c r="AA119" s="128"/>
      <c r="AB119" s="128"/>
      <c r="AC119" s="128"/>
      <c r="AD119" s="128"/>
      <c r="AE119" s="128"/>
      <c r="AF119" s="128"/>
      <c r="AG119" s="128"/>
      <c r="AH119" s="128"/>
      <c r="AI119" s="128"/>
      <c r="AJ119" s="128"/>
      <c r="AK119" s="128"/>
      <c r="AL119" s="128"/>
      <c r="AM119" s="128"/>
      <c r="AN119" s="128"/>
      <c r="AO119" s="128"/>
      <c r="AP119" s="128"/>
      <c r="AQ119" s="128"/>
      <c r="AR119" s="128"/>
      <c r="AS119" s="128"/>
      <c r="AT119" s="128"/>
      <c r="AU119" s="128"/>
      <c r="AV119" s="128"/>
      <c r="AW119" s="128"/>
      <c r="AX119" s="128"/>
      <c r="AY119" s="128"/>
      <c r="AZ119" s="128"/>
      <c r="BA119" s="128"/>
      <c r="BB119" s="128"/>
      <c r="BC119" s="128"/>
      <c r="BD119" s="128"/>
      <c r="BE119" s="128"/>
      <c r="BF119" s="128"/>
      <c r="BG119" s="128"/>
      <c r="BH119" s="128"/>
      <c r="BI119" s="128"/>
      <c r="BJ119" s="128"/>
      <c r="BK119" s="128"/>
      <c r="BL119" s="128"/>
      <c r="BM119" s="128"/>
      <c r="BN119" s="128"/>
      <c r="BO119" s="128"/>
      <c r="BP119" s="128"/>
      <c r="BQ119" s="128"/>
    </row>
    <row r="120" spans="1:69" ht="14.25" customHeight="1">
      <c r="A120" s="128"/>
      <c r="B120" s="128"/>
      <c r="C120" s="128"/>
      <c r="D120" s="128"/>
      <c r="E120" s="128"/>
      <c r="F120" s="128"/>
      <c r="G120" s="128"/>
      <c r="H120" s="128"/>
      <c r="I120" s="128"/>
      <c r="J120" s="128"/>
      <c r="K120" s="128"/>
      <c r="L120" s="128"/>
      <c r="M120" s="128"/>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row>
    <row r="121" spans="1:69" ht="14.25" customHeight="1">
      <c r="A121" s="128"/>
      <c r="B121" s="128"/>
      <c r="C121" s="128"/>
      <c r="D121" s="128"/>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28"/>
      <c r="AA121" s="128"/>
      <c r="AB121" s="128"/>
      <c r="AC121" s="128"/>
      <c r="AD121" s="128"/>
      <c r="AE121" s="128"/>
      <c r="AF121" s="128"/>
      <c r="AG121" s="128"/>
      <c r="AH121" s="128"/>
      <c r="AI121" s="128"/>
      <c r="AJ121" s="128"/>
      <c r="AK121" s="128"/>
      <c r="AL121" s="128"/>
      <c r="AM121" s="128"/>
      <c r="AN121" s="128"/>
      <c r="AO121" s="128"/>
      <c r="AP121" s="128"/>
      <c r="AQ121" s="128"/>
      <c r="AR121" s="128"/>
      <c r="AS121" s="128"/>
      <c r="AT121" s="128"/>
      <c r="AU121" s="128"/>
      <c r="AV121" s="128"/>
      <c r="AW121" s="128"/>
      <c r="AX121" s="128"/>
      <c r="AY121" s="128"/>
      <c r="AZ121" s="128"/>
      <c r="BA121" s="128"/>
      <c r="BB121" s="128"/>
      <c r="BC121" s="128"/>
      <c r="BD121" s="128"/>
      <c r="BE121" s="128"/>
      <c r="BF121" s="128"/>
      <c r="BG121" s="128"/>
      <c r="BH121" s="128"/>
      <c r="BI121" s="128"/>
      <c r="BJ121" s="128"/>
      <c r="BK121" s="128"/>
      <c r="BL121" s="128"/>
      <c r="BM121" s="128"/>
      <c r="BN121" s="128"/>
      <c r="BO121" s="128"/>
      <c r="BP121" s="128"/>
      <c r="BQ121" s="128"/>
    </row>
    <row r="122" spans="1:69" ht="14.25" customHeight="1">
      <c r="A122" s="128"/>
      <c r="B122" s="128"/>
      <c r="C122" s="128"/>
      <c r="D122" s="128"/>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c r="AA122" s="128"/>
      <c r="AB122" s="128"/>
      <c r="AC122" s="128"/>
      <c r="AD122" s="128"/>
      <c r="AE122" s="128"/>
      <c r="AF122" s="128"/>
      <c r="AG122" s="128"/>
      <c r="AH122" s="128"/>
      <c r="AI122" s="128"/>
      <c r="AJ122" s="128"/>
      <c r="AK122" s="128"/>
      <c r="AL122" s="128"/>
      <c r="AM122" s="128"/>
      <c r="AN122" s="128"/>
      <c r="AO122" s="128"/>
      <c r="AP122" s="128"/>
      <c r="AQ122" s="128"/>
      <c r="AR122" s="128"/>
      <c r="AS122" s="128"/>
      <c r="AT122" s="128"/>
      <c r="AU122" s="128"/>
      <c r="AV122" s="128"/>
      <c r="AW122" s="128"/>
      <c r="AX122" s="128"/>
      <c r="AY122" s="128"/>
      <c r="AZ122" s="128"/>
      <c r="BA122" s="128"/>
      <c r="BB122" s="128"/>
      <c r="BC122" s="128"/>
      <c r="BD122" s="128"/>
      <c r="BE122" s="128"/>
      <c r="BF122" s="128"/>
      <c r="BG122" s="128"/>
      <c r="BH122" s="128"/>
      <c r="BI122" s="128"/>
      <c r="BJ122" s="128"/>
      <c r="BK122" s="128"/>
      <c r="BL122" s="128"/>
      <c r="BM122" s="128"/>
      <c r="BN122" s="128"/>
      <c r="BO122" s="128"/>
      <c r="BP122" s="128"/>
      <c r="BQ122" s="128"/>
    </row>
    <row r="123" spans="1:69" ht="14.25" customHeight="1">
      <c r="A123" s="128"/>
      <c r="B123" s="128"/>
      <c r="C123" s="128"/>
      <c r="D123" s="128"/>
      <c r="E123" s="128"/>
      <c r="F123" s="128"/>
      <c r="G123" s="128"/>
      <c r="H123" s="128"/>
      <c r="I123" s="128"/>
      <c r="J123" s="128"/>
      <c r="K123" s="128"/>
      <c r="L123" s="128"/>
      <c r="M123" s="128"/>
      <c r="N123" s="128"/>
      <c r="O123" s="128"/>
      <c r="P123" s="128"/>
      <c r="Q123" s="128"/>
      <c r="R123" s="128"/>
      <c r="S123" s="128"/>
      <c r="T123" s="128"/>
      <c r="U123" s="128"/>
      <c r="V123" s="128"/>
      <c r="W123" s="128"/>
      <c r="X123" s="128"/>
      <c r="Y123" s="128"/>
      <c r="Z123" s="128"/>
      <c r="AA123" s="128"/>
      <c r="AB123" s="128"/>
      <c r="AC123" s="128"/>
      <c r="AD123" s="128"/>
      <c r="AE123" s="128"/>
      <c r="AF123" s="128"/>
      <c r="AG123" s="128"/>
      <c r="AH123" s="128"/>
      <c r="AI123" s="128"/>
      <c r="AJ123" s="128"/>
      <c r="AK123" s="128"/>
      <c r="AL123" s="128"/>
      <c r="AM123" s="128"/>
      <c r="AN123" s="128"/>
      <c r="AO123" s="128"/>
      <c r="AP123" s="128"/>
      <c r="AQ123" s="128"/>
      <c r="AR123" s="128"/>
      <c r="AS123" s="128"/>
      <c r="AT123" s="128"/>
      <c r="AU123" s="128"/>
      <c r="AV123" s="128"/>
      <c r="AW123" s="128"/>
      <c r="AX123" s="128"/>
      <c r="AY123" s="128"/>
      <c r="AZ123" s="128"/>
      <c r="BA123" s="128"/>
      <c r="BB123" s="128"/>
      <c r="BC123" s="128"/>
      <c r="BD123" s="128"/>
      <c r="BE123" s="128"/>
      <c r="BF123" s="128"/>
      <c r="BG123" s="128"/>
      <c r="BH123" s="128"/>
      <c r="BI123" s="128"/>
      <c r="BJ123" s="128"/>
      <c r="BK123" s="128"/>
      <c r="BL123" s="128"/>
      <c r="BM123" s="128"/>
      <c r="BN123" s="128"/>
      <c r="BO123" s="128"/>
      <c r="BP123" s="128"/>
      <c r="BQ123" s="128"/>
    </row>
    <row r="124" spans="1:69" ht="14.25" customHeight="1">
      <c r="A124" s="128"/>
      <c r="B124" s="128"/>
      <c r="C124" s="128"/>
      <c r="D124" s="128"/>
      <c r="E124" s="128"/>
      <c r="F124" s="128"/>
      <c r="G124" s="128"/>
      <c r="H124" s="128"/>
      <c r="I124" s="128"/>
      <c r="J124" s="128"/>
      <c r="K124" s="128"/>
      <c r="L124" s="128"/>
      <c r="M124" s="128"/>
      <c r="N124" s="128"/>
      <c r="O124" s="128"/>
      <c r="P124" s="128"/>
      <c r="Q124" s="128"/>
      <c r="R124" s="128"/>
      <c r="S124" s="128"/>
      <c r="T124" s="128"/>
      <c r="U124" s="128"/>
      <c r="V124" s="128"/>
      <c r="W124" s="128"/>
      <c r="X124" s="128"/>
      <c r="Y124" s="128"/>
      <c r="Z124" s="128"/>
      <c r="AA124" s="128"/>
      <c r="AB124" s="128"/>
      <c r="AC124" s="128"/>
      <c r="AD124" s="128"/>
      <c r="AE124" s="128"/>
      <c r="AF124" s="128"/>
      <c r="AG124" s="128"/>
      <c r="AH124" s="128"/>
      <c r="AI124" s="128"/>
      <c r="AJ124" s="128"/>
      <c r="AK124" s="128"/>
      <c r="AL124" s="128"/>
      <c r="AM124" s="128"/>
      <c r="AN124" s="128"/>
      <c r="AO124" s="128"/>
      <c r="AP124" s="128"/>
      <c r="AQ124" s="128"/>
      <c r="AR124" s="128"/>
      <c r="AS124" s="128"/>
      <c r="AT124" s="128"/>
      <c r="AU124" s="128"/>
      <c r="AV124" s="128"/>
      <c r="AW124" s="128"/>
      <c r="AX124" s="128"/>
      <c r="AY124" s="128"/>
      <c r="AZ124" s="128"/>
      <c r="BA124" s="128"/>
      <c r="BB124" s="128"/>
      <c r="BC124" s="128"/>
      <c r="BD124" s="128"/>
      <c r="BE124" s="128"/>
      <c r="BF124" s="128"/>
      <c r="BG124" s="128"/>
      <c r="BH124" s="128"/>
      <c r="BI124" s="128"/>
      <c r="BJ124" s="128"/>
      <c r="BK124" s="128"/>
      <c r="BL124" s="128"/>
      <c r="BM124" s="128"/>
      <c r="BN124" s="128"/>
      <c r="BO124" s="128"/>
      <c r="BP124" s="128"/>
      <c r="BQ124" s="128"/>
    </row>
    <row r="125" spans="1:69" ht="14.25" customHeight="1">
      <c r="A125" s="128"/>
      <c r="B125" s="128"/>
      <c r="C125" s="128"/>
      <c r="D125" s="128"/>
      <c r="E125" s="128"/>
      <c r="F125" s="128"/>
      <c r="G125" s="128"/>
      <c r="H125" s="128"/>
      <c r="I125" s="128"/>
      <c r="J125" s="128"/>
      <c r="K125" s="128"/>
      <c r="L125" s="128"/>
      <c r="M125" s="128"/>
      <c r="N125" s="128"/>
      <c r="O125" s="128"/>
      <c r="P125" s="128"/>
      <c r="Q125" s="128"/>
      <c r="R125" s="128"/>
      <c r="S125" s="128"/>
      <c r="T125" s="128"/>
      <c r="U125" s="128"/>
      <c r="V125" s="128"/>
      <c r="W125" s="128"/>
      <c r="X125" s="128"/>
      <c r="Y125" s="128"/>
      <c r="Z125" s="128"/>
      <c r="AA125" s="128"/>
      <c r="AB125" s="128"/>
      <c r="AC125" s="128"/>
      <c r="AD125" s="128"/>
      <c r="AE125" s="128"/>
      <c r="AF125" s="128"/>
      <c r="AG125" s="128"/>
      <c r="AH125" s="128"/>
      <c r="AI125" s="128"/>
      <c r="AJ125" s="128"/>
      <c r="AK125" s="128"/>
      <c r="AL125" s="128"/>
      <c r="AM125" s="128"/>
      <c r="AN125" s="128"/>
      <c r="AO125" s="128"/>
      <c r="AP125" s="128"/>
      <c r="AQ125" s="128"/>
      <c r="AR125" s="128"/>
      <c r="AS125" s="128"/>
      <c r="AT125" s="128"/>
      <c r="AU125" s="128"/>
      <c r="AV125" s="128"/>
      <c r="AW125" s="128"/>
      <c r="AX125" s="128"/>
      <c r="AY125" s="128"/>
      <c r="AZ125" s="128"/>
      <c r="BA125" s="128"/>
      <c r="BB125" s="128"/>
      <c r="BC125" s="128"/>
      <c r="BD125" s="128"/>
      <c r="BE125" s="128"/>
      <c r="BF125" s="128"/>
      <c r="BG125" s="128"/>
      <c r="BH125" s="128"/>
      <c r="BI125" s="128"/>
      <c r="BJ125" s="128"/>
      <c r="BK125" s="128"/>
      <c r="BL125" s="128"/>
      <c r="BM125" s="128"/>
      <c r="BN125" s="128"/>
      <c r="BO125" s="128"/>
      <c r="BP125" s="128"/>
      <c r="BQ125" s="128"/>
    </row>
    <row r="126" spans="1:69" ht="14.25" customHeight="1">
      <c r="A126" s="128"/>
      <c r="B126" s="128"/>
      <c r="C126" s="128"/>
      <c r="D126" s="128"/>
      <c r="E126" s="128"/>
      <c r="F126" s="128"/>
      <c r="G126" s="128"/>
      <c r="H126" s="128"/>
      <c r="I126" s="128"/>
      <c r="J126" s="128"/>
      <c r="K126" s="128"/>
      <c r="L126" s="128"/>
      <c r="M126" s="128"/>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row>
    <row r="127" spans="1:69" ht="14.25" customHeight="1">
      <c r="A127" s="128"/>
      <c r="B127" s="128"/>
      <c r="C127" s="128"/>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c r="AA127" s="128"/>
      <c r="AB127" s="128"/>
      <c r="AC127" s="128"/>
      <c r="AD127" s="128"/>
      <c r="AE127" s="128"/>
      <c r="AF127" s="128"/>
      <c r="AG127" s="128"/>
      <c r="AH127" s="128"/>
      <c r="AI127" s="128"/>
      <c r="AJ127" s="128"/>
      <c r="AK127" s="128"/>
      <c r="AL127" s="128"/>
      <c r="AM127" s="128"/>
      <c r="AN127" s="128"/>
      <c r="AO127" s="128"/>
      <c r="AP127" s="128"/>
      <c r="AQ127" s="128"/>
      <c r="AR127" s="128"/>
      <c r="AS127" s="128"/>
      <c r="AT127" s="128"/>
      <c r="AU127" s="128"/>
      <c r="AV127" s="128"/>
      <c r="AW127" s="128"/>
      <c r="AX127" s="128"/>
      <c r="AY127" s="128"/>
      <c r="AZ127" s="128"/>
      <c r="BA127" s="128"/>
      <c r="BB127" s="128"/>
      <c r="BC127" s="128"/>
      <c r="BD127" s="128"/>
      <c r="BE127" s="128"/>
      <c r="BF127" s="128"/>
      <c r="BG127" s="128"/>
      <c r="BH127" s="128"/>
      <c r="BI127" s="128"/>
      <c r="BJ127" s="128"/>
      <c r="BK127" s="128"/>
      <c r="BL127" s="128"/>
      <c r="BM127" s="128"/>
      <c r="BN127" s="128"/>
      <c r="BO127" s="128"/>
      <c r="BP127" s="128"/>
      <c r="BQ127" s="128"/>
    </row>
    <row r="128" spans="1:69" ht="14.25" customHeight="1">
      <c r="A128" s="128"/>
      <c r="B128" s="128"/>
      <c r="C128" s="128"/>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c r="AA128" s="128"/>
      <c r="AB128" s="128"/>
      <c r="AC128" s="128"/>
      <c r="AD128" s="128"/>
      <c r="AE128" s="128"/>
      <c r="AF128" s="128"/>
      <c r="AG128" s="128"/>
      <c r="AH128" s="128"/>
      <c r="AI128" s="128"/>
      <c r="AJ128" s="128"/>
      <c r="AK128" s="128"/>
      <c r="AL128" s="128"/>
      <c r="AM128" s="128"/>
      <c r="AN128" s="128"/>
      <c r="AO128" s="128"/>
      <c r="AP128" s="128"/>
      <c r="AQ128" s="128"/>
      <c r="AR128" s="128"/>
      <c r="AS128" s="128"/>
      <c r="AT128" s="128"/>
      <c r="AU128" s="128"/>
      <c r="AV128" s="128"/>
      <c r="AW128" s="128"/>
      <c r="AX128" s="128"/>
      <c r="AY128" s="128"/>
      <c r="AZ128" s="128"/>
      <c r="BA128" s="128"/>
      <c r="BB128" s="128"/>
      <c r="BC128" s="128"/>
      <c r="BD128" s="128"/>
      <c r="BE128" s="128"/>
      <c r="BF128" s="128"/>
      <c r="BG128" s="128"/>
      <c r="BH128" s="128"/>
      <c r="BI128" s="128"/>
      <c r="BJ128" s="128"/>
      <c r="BK128" s="128"/>
      <c r="BL128" s="128"/>
      <c r="BM128" s="128"/>
      <c r="BN128" s="128"/>
      <c r="BO128" s="128"/>
      <c r="BP128" s="128"/>
      <c r="BQ128" s="128"/>
    </row>
    <row r="129" spans="1:69" ht="14.25" customHeight="1">
      <c r="A129" s="128"/>
      <c r="B129" s="128"/>
      <c r="C129" s="128"/>
      <c r="D129" s="128"/>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28"/>
      <c r="AA129" s="128"/>
      <c r="AB129" s="128"/>
      <c r="AC129" s="128"/>
      <c r="AD129" s="128"/>
      <c r="AE129" s="128"/>
      <c r="AF129" s="128"/>
      <c r="AG129" s="128"/>
      <c r="AH129" s="128"/>
      <c r="AI129" s="128"/>
      <c r="AJ129" s="128"/>
      <c r="AK129" s="128"/>
      <c r="AL129" s="128"/>
      <c r="AM129" s="128"/>
      <c r="AN129" s="128"/>
      <c r="AO129" s="128"/>
      <c r="AP129" s="128"/>
      <c r="AQ129" s="128"/>
      <c r="AR129" s="128"/>
      <c r="AS129" s="128"/>
      <c r="AT129" s="128"/>
      <c r="AU129" s="128"/>
      <c r="AV129" s="128"/>
      <c r="AW129" s="128"/>
      <c r="AX129" s="128"/>
      <c r="AY129" s="128"/>
      <c r="AZ129" s="128"/>
      <c r="BA129" s="128"/>
      <c r="BB129" s="128"/>
      <c r="BC129" s="128"/>
      <c r="BD129" s="128"/>
      <c r="BE129" s="128"/>
      <c r="BF129" s="128"/>
      <c r="BG129" s="128"/>
      <c r="BH129" s="128"/>
      <c r="BI129" s="128"/>
      <c r="BJ129" s="128"/>
      <c r="BK129" s="128"/>
      <c r="BL129" s="128"/>
      <c r="BM129" s="128"/>
      <c r="BN129" s="128"/>
      <c r="BO129" s="128"/>
      <c r="BP129" s="128"/>
      <c r="BQ129" s="128"/>
    </row>
    <row r="130" spans="1:69" ht="14.25" customHeight="1">
      <c r="A130" s="128"/>
      <c r="B130" s="128"/>
      <c r="C130" s="128"/>
      <c r="D130" s="128"/>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c r="AA130" s="128"/>
      <c r="AB130" s="128"/>
      <c r="AC130" s="128"/>
      <c r="AD130" s="128"/>
      <c r="AE130" s="128"/>
      <c r="AF130" s="128"/>
      <c r="AG130" s="128"/>
      <c r="AH130" s="128"/>
      <c r="AI130" s="128"/>
      <c r="AJ130" s="128"/>
      <c r="AK130" s="128"/>
      <c r="AL130" s="128"/>
      <c r="AM130" s="128"/>
      <c r="AN130" s="128"/>
      <c r="AO130" s="128"/>
      <c r="AP130" s="128"/>
      <c r="AQ130" s="128"/>
      <c r="AR130" s="128"/>
      <c r="AS130" s="128"/>
      <c r="AT130" s="128"/>
      <c r="AU130" s="128"/>
      <c r="AV130" s="128"/>
      <c r="AW130" s="128"/>
      <c r="AX130" s="128"/>
      <c r="AY130" s="128"/>
      <c r="AZ130" s="128"/>
      <c r="BA130" s="128"/>
      <c r="BB130" s="128"/>
      <c r="BC130" s="128"/>
      <c r="BD130" s="128"/>
      <c r="BE130" s="128"/>
      <c r="BF130" s="128"/>
      <c r="BG130" s="128"/>
      <c r="BH130" s="128"/>
      <c r="BI130" s="128"/>
      <c r="BJ130" s="128"/>
      <c r="BK130" s="128"/>
      <c r="BL130" s="128"/>
      <c r="BM130" s="128"/>
      <c r="BN130" s="128"/>
      <c r="BO130" s="128"/>
      <c r="BP130" s="128"/>
      <c r="BQ130" s="128"/>
    </row>
    <row r="131" spans="1:69" ht="14.25" customHeight="1">
      <c r="A131" s="128"/>
      <c r="B131" s="128"/>
      <c r="C131" s="128"/>
      <c r="D131" s="128"/>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c r="AA131" s="128"/>
      <c r="AB131" s="128"/>
      <c r="AC131" s="128"/>
      <c r="AD131" s="128"/>
      <c r="AE131" s="128"/>
      <c r="AF131" s="128"/>
      <c r="AG131" s="128"/>
      <c r="AH131" s="128"/>
      <c r="AI131" s="128"/>
      <c r="AJ131" s="128"/>
      <c r="AK131" s="128"/>
      <c r="AL131" s="128"/>
      <c r="AM131" s="128"/>
      <c r="AN131" s="128"/>
      <c r="AO131" s="128"/>
      <c r="AP131" s="128"/>
      <c r="AQ131" s="128"/>
      <c r="AR131" s="128"/>
      <c r="AS131" s="128"/>
      <c r="AT131" s="128"/>
      <c r="AU131" s="128"/>
      <c r="AV131" s="128"/>
      <c r="AW131" s="128"/>
      <c r="AX131" s="128"/>
      <c r="AY131" s="128"/>
      <c r="AZ131" s="128"/>
      <c r="BA131" s="128"/>
      <c r="BB131" s="128"/>
      <c r="BC131" s="128"/>
      <c r="BD131" s="128"/>
      <c r="BE131" s="128"/>
      <c r="BF131" s="128"/>
      <c r="BG131" s="128"/>
      <c r="BH131" s="128"/>
      <c r="BI131" s="128"/>
      <c r="BJ131" s="128"/>
      <c r="BK131" s="128"/>
      <c r="BL131" s="128"/>
      <c r="BM131" s="128"/>
      <c r="BN131" s="128"/>
      <c r="BO131" s="128"/>
      <c r="BP131" s="128"/>
      <c r="BQ131" s="128"/>
    </row>
    <row r="132" spans="1:69" ht="14.25" customHeight="1">
      <c r="A132" s="128"/>
      <c r="B132" s="128"/>
      <c r="C132" s="128"/>
      <c r="D132" s="128"/>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row>
    <row r="133" spans="1:69" ht="14.25" customHeight="1">
      <c r="A133" s="128"/>
      <c r="B133" s="128"/>
      <c r="C133" s="128"/>
      <c r="D133" s="128"/>
      <c r="E133" s="128"/>
      <c r="F133" s="128"/>
      <c r="G133" s="128"/>
      <c r="H133" s="128"/>
      <c r="I133" s="128"/>
      <c r="J133" s="128"/>
      <c r="K133" s="128"/>
      <c r="L133" s="128"/>
      <c r="M133" s="128"/>
      <c r="N133" s="128"/>
      <c r="O133" s="128"/>
      <c r="P133" s="128"/>
      <c r="Q133" s="128"/>
      <c r="R133" s="128"/>
      <c r="S133" s="128"/>
      <c r="T133" s="128"/>
      <c r="U133" s="128"/>
      <c r="V133" s="128"/>
      <c r="W133" s="128"/>
      <c r="X133" s="128"/>
      <c r="Y133" s="128"/>
      <c r="Z133" s="128"/>
      <c r="AA133" s="128"/>
      <c r="AB133" s="128"/>
      <c r="AC133" s="128"/>
      <c r="AD133" s="128"/>
      <c r="AE133" s="128"/>
      <c r="AF133" s="128"/>
      <c r="AG133" s="128"/>
      <c r="AH133" s="128"/>
      <c r="AI133" s="128"/>
      <c r="AJ133" s="128"/>
      <c r="AK133" s="128"/>
      <c r="AL133" s="128"/>
      <c r="AM133" s="128"/>
      <c r="AN133" s="128"/>
      <c r="AO133" s="128"/>
      <c r="AP133" s="128"/>
      <c r="AQ133" s="128"/>
      <c r="AR133" s="128"/>
      <c r="AS133" s="128"/>
      <c r="AT133" s="128"/>
      <c r="AU133" s="128"/>
      <c r="AV133" s="128"/>
      <c r="AW133" s="128"/>
      <c r="AX133" s="128"/>
      <c r="AY133" s="128"/>
      <c r="AZ133" s="128"/>
      <c r="BA133" s="128"/>
      <c r="BB133" s="128"/>
      <c r="BC133" s="128"/>
      <c r="BD133" s="128"/>
      <c r="BE133" s="128"/>
      <c r="BF133" s="128"/>
      <c r="BG133" s="128"/>
      <c r="BH133" s="128"/>
      <c r="BI133" s="128"/>
      <c r="BJ133" s="128"/>
      <c r="BK133" s="128"/>
      <c r="BL133" s="128"/>
      <c r="BM133" s="128"/>
      <c r="BN133" s="128"/>
      <c r="BO133" s="128"/>
      <c r="BP133" s="128"/>
      <c r="BQ133" s="128"/>
    </row>
    <row r="134" spans="1:69" ht="14.25" customHeight="1">
      <c r="A134" s="128"/>
      <c r="B134" s="128"/>
      <c r="C134" s="128"/>
      <c r="D134" s="128"/>
      <c r="E134" s="128"/>
      <c r="F134" s="128"/>
      <c r="G134" s="128"/>
      <c r="H134" s="128"/>
      <c r="I134" s="128"/>
      <c r="J134" s="128"/>
      <c r="K134" s="128"/>
      <c r="L134" s="128"/>
      <c r="M134" s="128"/>
      <c r="N134" s="128"/>
      <c r="O134" s="128"/>
      <c r="P134" s="128"/>
      <c r="Q134" s="128"/>
      <c r="R134" s="128"/>
      <c r="S134" s="128"/>
      <c r="T134" s="128"/>
      <c r="U134" s="128"/>
      <c r="V134" s="128"/>
      <c r="W134" s="128"/>
      <c r="X134" s="128"/>
      <c r="Y134" s="128"/>
      <c r="Z134" s="128"/>
      <c r="AA134" s="128"/>
      <c r="AB134" s="128"/>
      <c r="AC134" s="128"/>
      <c r="AD134" s="128"/>
      <c r="AE134" s="128"/>
      <c r="AF134" s="128"/>
      <c r="AG134" s="128"/>
      <c r="AH134" s="128"/>
      <c r="AI134" s="128"/>
      <c r="AJ134" s="128"/>
      <c r="AK134" s="128"/>
      <c r="AL134" s="128"/>
      <c r="AM134" s="128"/>
      <c r="AN134" s="128"/>
      <c r="AO134" s="128"/>
      <c r="AP134" s="128"/>
      <c r="AQ134" s="128"/>
      <c r="AR134" s="128"/>
      <c r="AS134" s="128"/>
      <c r="AT134" s="128"/>
      <c r="AU134" s="128"/>
      <c r="AV134" s="128"/>
      <c r="AW134" s="128"/>
      <c r="AX134" s="128"/>
      <c r="AY134" s="128"/>
      <c r="AZ134" s="128"/>
      <c r="BA134" s="128"/>
      <c r="BB134" s="128"/>
      <c r="BC134" s="128"/>
      <c r="BD134" s="128"/>
      <c r="BE134" s="128"/>
      <c r="BF134" s="128"/>
      <c r="BG134" s="128"/>
      <c r="BH134" s="128"/>
      <c r="BI134" s="128"/>
      <c r="BJ134" s="128"/>
      <c r="BK134" s="128"/>
      <c r="BL134" s="128"/>
      <c r="BM134" s="128"/>
      <c r="BN134" s="128"/>
      <c r="BO134" s="128"/>
      <c r="BP134" s="128"/>
      <c r="BQ134" s="128"/>
    </row>
    <row r="135" spans="1:69" ht="14.25" customHeight="1">
      <c r="A135" s="128"/>
      <c r="B135" s="128"/>
      <c r="C135" s="128"/>
      <c r="D135" s="128"/>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28"/>
      <c r="AA135" s="128"/>
      <c r="AB135" s="128"/>
      <c r="AC135" s="128"/>
      <c r="AD135" s="128"/>
      <c r="AE135" s="128"/>
      <c r="AF135" s="128"/>
      <c r="AG135" s="128"/>
      <c r="AH135" s="128"/>
      <c r="AI135" s="128"/>
      <c r="AJ135" s="128"/>
      <c r="AK135" s="128"/>
      <c r="AL135" s="128"/>
      <c r="AM135" s="128"/>
      <c r="AN135" s="128"/>
      <c r="AO135" s="128"/>
      <c r="AP135" s="128"/>
      <c r="AQ135" s="128"/>
      <c r="AR135" s="128"/>
      <c r="AS135" s="128"/>
      <c r="AT135" s="128"/>
      <c r="AU135" s="128"/>
      <c r="AV135" s="128"/>
      <c r="AW135" s="128"/>
      <c r="AX135" s="128"/>
      <c r="AY135" s="128"/>
      <c r="AZ135" s="128"/>
      <c r="BA135" s="128"/>
      <c r="BB135" s="128"/>
      <c r="BC135" s="128"/>
      <c r="BD135" s="128"/>
      <c r="BE135" s="128"/>
      <c r="BF135" s="128"/>
      <c r="BG135" s="128"/>
      <c r="BH135" s="128"/>
      <c r="BI135" s="128"/>
      <c r="BJ135" s="128"/>
      <c r="BK135" s="128"/>
      <c r="BL135" s="128"/>
      <c r="BM135" s="128"/>
      <c r="BN135" s="128"/>
      <c r="BO135" s="128"/>
      <c r="BP135" s="128"/>
      <c r="BQ135" s="128"/>
    </row>
    <row r="136" spans="1:69" ht="14.25" customHeight="1">
      <c r="A136" s="128"/>
      <c r="B136" s="128"/>
      <c r="C136" s="128"/>
      <c r="D136" s="128"/>
      <c r="E136" s="128"/>
      <c r="F136" s="128"/>
      <c r="G136" s="128"/>
      <c r="H136" s="128"/>
      <c r="I136" s="128"/>
      <c r="J136" s="128"/>
      <c r="K136" s="128"/>
      <c r="L136" s="128"/>
      <c r="M136" s="128"/>
      <c r="N136" s="128"/>
      <c r="O136" s="128"/>
      <c r="P136" s="128"/>
      <c r="Q136" s="128"/>
      <c r="R136" s="128"/>
      <c r="S136" s="128"/>
      <c r="T136" s="128"/>
      <c r="U136" s="128"/>
      <c r="V136" s="128"/>
      <c r="W136" s="128"/>
      <c r="X136" s="128"/>
      <c r="Y136" s="128"/>
      <c r="Z136" s="128"/>
      <c r="AA136" s="128"/>
      <c r="AB136" s="128"/>
      <c r="AC136" s="128"/>
      <c r="AD136" s="128"/>
      <c r="AE136" s="128"/>
      <c r="AF136" s="128"/>
      <c r="AG136" s="128"/>
      <c r="AH136" s="128"/>
      <c r="AI136" s="128"/>
      <c r="AJ136" s="128"/>
      <c r="AK136" s="128"/>
      <c r="AL136" s="128"/>
      <c r="AM136" s="128"/>
      <c r="AN136" s="128"/>
      <c r="AO136" s="128"/>
      <c r="AP136" s="128"/>
      <c r="AQ136" s="128"/>
      <c r="AR136" s="128"/>
      <c r="AS136" s="128"/>
      <c r="AT136" s="128"/>
      <c r="AU136" s="128"/>
      <c r="AV136" s="128"/>
      <c r="AW136" s="128"/>
      <c r="AX136" s="128"/>
      <c r="AY136" s="128"/>
      <c r="AZ136" s="128"/>
      <c r="BA136" s="128"/>
      <c r="BB136" s="128"/>
      <c r="BC136" s="128"/>
      <c r="BD136" s="128"/>
      <c r="BE136" s="128"/>
      <c r="BF136" s="128"/>
      <c r="BG136" s="128"/>
      <c r="BH136" s="128"/>
      <c r="BI136" s="128"/>
      <c r="BJ136" s="128"/>
      <c r="BK136" s="128"/>
      <c r="BL136" s="128"/>
      <c r="BM136" s="128"/>
      <c r="BN136" s="128"/>
      <c r="BO136" s="128"/>
      <c r="BP136" s="128"/>
      <c r="BQ136" s="128"/>
    </row>
    <row r="137" spans="1:69" ht="14.25" customHeight="1">
      <c r="A137" s="128"/>
      <c r="B137" s="128"/>
      <c r="C137" s="128"/>
      <c r="D137" s="128"/>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28"/>
      <c r="AA137" s="128"/>
      <c r="AB137" s="128"/>
      <c r="AC137" s="128"/>
      <c r="AD137" s="128"/>
      <c r="AE137" s="128"/>
      <c r="AF137" s="128"/>
      <c r="AG137" s="128"/>
      <c r="AH137" s="128"/>
      <c r="AI137" s="128"/>
      <c r="AJ137" s="128"/>
      <c r="AK137" s="128"/>
      <c r="AL137" s="128"/>
      <c r="AM137" s="128"/>
      <c r="AN137" s="128"/>
      <c r="AO137" s="128"/>
      <c r="AP137" s="128"/>
      <c r="AQ137" s="128"/>
      <c r="AR137" s="128"/>
      <c r="AS137" s="128"/>
      <c r="AT137" s="128"/>
      <c r="AU137" s="128"/>
      <c r="AV137" s="128"/>
      <c r="AW137" s="128"/>
      <c r="AX137" s="128"/>
      <c r="AY137" s="128"/>
      <c r="AZ137" s="128"/>
      <c r="BA137" s="128"/>
      <c r="BB137" s="128"/>
      <c r="BC137" s="128"/>
      <c r="BD137" s="128"/>
      <c r="BE137" s="128"/>
      <c r="BF137" s="128"/>
      <c r="BG137" s="128"/>
      <c r="BH137" s="128"/>
      <c r="BI137" s="128"/>
      <c r="BJ137" s="128"/>
      <c r="BK137" s="128"/>
      <c r="BL137" s="128"/>
      <c r="BM137" s="128"/>
      <c r="BN137" s="128"/>
      <c r="BO137" s="128"/>
      <c r="BP137" s="128"/>
      <c r="BQ137" s="128"/>
    </row>
    <row r="138" spans="1:69" ht="14.25" customHeight="1">
      <c r="A138" s="128"/>
      <c r="B138" s="128"/>
      <c r="C138" s="128"/>
      <c r="D138" s="128"/>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row>
    <row r="139" spans="1:69" ht="14.25" customHeight="1">
      <c r="A139" s="128"/>
      <c r="B139" s="128"/>
      <c r="C139" s="128"/>
      <c r="D139" s="128"/>
      <c r="E139" s="128"/>
      <c r="F139" s="128"/>
      <c r="G139" s="128"/>
      <c r="H139" s="128"/>
      <c r="I139" s="128"/>
      <c r="J139" s="128"/>
      <c r="K139" s="128"/>
      <c r="L139" s="128"/>
      <c r="M139" s="128"/>
      <c r="N139" s="128"/>
      <c r="O139" s="128"/>
      <c r="P139" s="128"/>
      <c r="Q139" s="128"/>
      <c r="R139" s="128"/>
      <c r="S139" s="128"/>
      <c r="T139" s="128"/>
      <c r="U139" s="128"/>
      <c r="V139" s="128"/>
      <c r="W139" s="128"/>
      <c r="X139" s="128"/>
      <c r="Y139" s="128"/>
      <c r="Z139" s="128"/>
      <c r="AA139" s="128"/>
      <c r="AB139" s="128"/>
      <c r="AC139" s="128"/>
      <c r="AD139" s="128"/>
      <c r="AE139" s="128"/>
      <c r="AF139" s="128"/>
      <c r="AG139" s="128"/>
      <c r="AH139" s="128"/>
      <c r="AI139" s="128"/>
      <c r="AJ139" s="128"/>
      <c r="AK139" s="128"/>
      <c r="AL139" s="128"/>
      <c r="AM139" s="128"/>
      <c r="AN139" s="128"/>
      <c r="AO139" s="128"/>
      <c r="AP139" s="128"/>
      <c r="AQ139" s="128"/>
      <c r="AR139" s="128"/>
      <c r="AS139" s="128"/>
      <c r="AT139" s="128"/>
      <c r="AU139" s="128"/>
      <c r="AV139" s="128"/>
      <c r="AW139" s="128"/>
      <c r="AX139" s="128"/>
      <c r="AY139" s="128"/>
      <c r="AZ139" s="128"/>
      <c r="BA139" s="128"/>
      <c r="BB139" s="128"/>
      <c r="BC139" s="128"/>
      <c r="BD139" s="128"/>
      <c r="BE139" s="128"/>
      <c r="BF139" s="128"/>
      <c r="BG139" s="128"/>
      <c r="BH139" s="128"/>
      <c r="BI139" s="128"/>
      <c r="BJ139" s="128"/>
      <c r="BK139" s="128"/>
      <c r="BL139" s="128"/>
      <c r="BM139" s="128"/>
      <c r="BN139" s="128"/>
      <c r="BO139" s="128"/>
      <c r="BP139" s="128"/>
      <c r="BQ139" s="128"/>
    </row>
    <row r="140" spans="1:69" ht="14.25" customHeight="1">
      <c r="A140" s="128"/>
      <c r="B140" s="128"/>
      <c r="C140" s="128"/>
      <c r="D140" s="128"/>
      <c r="E140" s="128"/>
      <c r="F140" s="128"/>
      <c r="G140" s="128"/>
      <c r="H140" s="128"/>
      <c r="I140" s="128"/>
      <c r="J140" s="128"/>
      <c r="K140" s="128"/>
      <c r="L140" s="128"/>
      <c r="M140" s="128"/>
      <c r="N140" s="128"/>
      <c r="O140" s="128"/>
      <c r="P140" s="128"/>
      <c r="Q140" s="128"/>
      <c r="R140" s="128"/>
      <c r="S140" s="128"/>
      <c r="T140" s="128"/>
      <c r="U140" s="128"/>
      <c r="V140" s="128"/>
      <c r="W140" s="128"/>
      <c r="X140" s="128"/>
      <c r="Y140" s="128"/>
      <c r="Z140" s="128"/>
      <c r="AA140" s="128"/>
      <c r="AB140" s="128"/>
      <c r="AC140" s="128"/>
      <c r="AD140" s="128"/>
      <c r="AE140" s="128"/>
      <c r="AF140" s="128"/>
      <c r="AG140" s="128"/>
      <c r="AH140" s="128"/>
      <c r="AI140" s="128"/>
      <c r="AJ140" s="128"/>
      <c r="AK140" s="128"/>
      <c r="AL140" s="128"/>
      <c r="AM140" s="128"/>
      <c r="AN140" s="128"/>
      <c r="AO140" s="128"/>
      <c r="AP140" s="128"/>
      <c r="AQ140" s="128"/>
      <c r="AR140" s="128"/>
      <c r="AS140" s="128"/>
      <c r="AT140" s="128"/>
      <c r="AU140" s="128"/>
      <c r="AV140" s="128"/>
      <c r="AW140" s="128"/>
      <c r="AX140" s="128"/>
      <c r="AY140" s="128"/>
      <c r="AZ140" s="128"/>
      <c r="BA140" s="128"/>
      <c r="BB140" s="128"/>
      <c r="BC140" s="128"/>
      <c r="BD140" s="128"/>
      <c r="BE140" s="128"/>
      <c r="BF140" s="128"/>
      <c r="BG140" s="128"/>
      <c r="BH140" s="128"/>
      <c r="BI140" s="128"/>
      <c r="BJ140" s="128"/>
      <c r="BK140" s="128"/>
      <c r="BL140" s="128"/>
      <c r="BM140" s="128"/>
      <c r="BN140" s="128"/>
      <c r="BO140" s="128"/>
      <c r="BP140" s="128"/>
      <c r="BQ140" s="128"/>
    </row>
    <row r="141" spans="1:69" ht="14.25" customHeight="1">
      <c r="A141" s="128"/>
      <c r="B141" s="128"/>
      <c r="C141" s="128"/>
      <c r="D141" s="128"/>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28"/>
      <c r="AA141" s="128"/>
      <c r="AB141" s="128"/>
      <c r="AC141" s="128"/>
      <c r="AD141" s="128"/>
      <c r="AE141" s="128"/>
      <c r="AF141" s="128"/>
      <c r="AG141" s="128"/>
      <c r="AH141" s="128"/>
      <c r="AI141" s="128"/>
      <c r="AJ141" s="128"/>
      <c r="AK141" s="128"/>
      <c r="AL141" s="128"/>
      <c r="AM141" s="128"/>
      <c r="AN141" s="128"/>
      <c r="AO141" s="128"/>
      <c r="AP141" s="128"/>
      <c r="AQ141" s="128"/>
      <c r="AR141" s="128"/>
      <c r="AS141" s="128"/>
      <c r="AT141" s="128"/>
      <c r="AU141" s="128"/>
      <c r="AV141" s="128"/>
      <c r="AW141" s="128"/>
      <c r="AX141" s="128"/>
      <c r="AY141" s="128"/>
      <c r="AZ141" s="128"/>
      <c r="BA141" s="128"/>
      <c r="BB141" s="128"/>
      <c r="BC141" s="128"/>
      <c r="BD141" s="128"/>
      <c r="BE141" s="128"/>
      <c r="BF141" s="128"/>
      <c r="BG141" s="128"/>
      <c r="BH141" s="128"/>
      <c r="BI141" s="128"/>
      <c r="BJ141" s="128"/>
      <c r="BK141" s="128"/>
      <c r="BL141" s="128"/>
      <c r="BM141" s="128"/>
      <c r="BN141" s="128"/>
      <c r="BO141" s="128"/>
      <c r="BP141" s="128"/>
      <c r="BQ141" s="128"/>
    </row>
    <row r="142" spans="1:69" ht="14.25" customHeight="1">
      <c r="A142" s="128"/>
      <c r="B142" s="128"/>
      <c r="C142" s="128"/>
      <c r="D142" s="128"/>
      <c r="E142" s="128"/>
      <c r="F142" s="128"/>
      <c r="G142" s="128"/>
      <c r="H142" s="128"/>
      <c r="I142" s="128"/>
      <c r="J142" s="128"/>
      <c r="K142" s="128"/>
      <c r="L142" s="128"/>
      <c r="M142" s="128"/>
      <c r="N142" s="128"/>
      <c r="O142" s="128"/>
      <c r="P142" s="128"/>
      <c r="Q142" s="128"/>
      <c r="R142" s="128"/>
      <c r="S142" s="128"/>
      <c r="T142" s="128"/>
      <c r="U142" s="128"/>
      <c r="V142" s="128"/>
      <c r="W142" s="128"/>
      <c r="X142" s="128"/>
      <c r="Y142" s="128"/>
      <c r="Z142" s="128"/>
      <c r="AA142" s="128"/>
      <c r="AB142" s="128"/>
      <c r="AC142" s="128"/>
      <c r="AD142" s="128"/>
      <c r="AE142" s="128"/>
      <c r="AF142" s="128"/>
      <c r="AG142" s="128"/>
      <c r="AH142" s="128"/>
      <c r="AI142" s="128"/>
      <c r="AJ142" s="128"/>
      <c r="AK142" s="128"/>
      <c r="AL142" s="128"/>
      <c r="AM142" s="128"/>
      <c r="AN142" s="128"/>
      <c r="AO142" s="128"/>
      <c r="AP142" s="128"/>
      <c r="AQ142" s="128"/>
      <c r="AR142" s="128"/>
      <c r="AS142" s="128"/>
      <c r="AT142" s="128"/>
      <c r="AU142" s="128"/>
      <c r="AV142" s="128"/>
      <c r="AW142" s="128"/>
      <c r="AX142" s="128"/>
      <c r="AY142" s="128"/>
      <c r="AZ142" s="128"/>
      <c r="BA142" s="128"/>
      <c r="BB142" s="128"/>
      <c r="BC142" s="128"/>
      <c r="BD142" s="128"/>
      <c r="BE142" s="128"/>
      <c r="BF142" s="128"/>
      <c r="BG142" s="128"/>
      <c r="BH142" s="128"/>
      <c r="BI142" s="128"/>
      <c r="BJ142" s="128"/>
      <c r="BK142" s="128"/>
      <c r="BL142" s="128"/>
      <c r="BM142" s="128"/>
      <c r="BN142" s="128"/>
      <c r="BO142" s="128"/>
      <c r="BP142" s="128"/>
      <c r="BQ142" s="128"/>
    </row>
    <row r="143" spans="1:69" ht="14.25" customHeight="1">
      <c r="A143" s="128"/>
      <c r="B143" s="128"/>
      <c r="C143" s="128"/>
      <c r="D143" s="128"/>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28"/>
      <c r="AA143" s="128"/>
      <c r="AB143" s="128"/>
      <c r="AC143" s="128"/>
      <c r="AD143" s="128"/>
      <c r="AE143" s="128"/>
      <c r="AF143" s="128"/>
      <c r="AG143" s="128"/>
      <c r="AH143" s="128"/>
      <c r="AI143" s="128"/>
      <c r="AJ143" s="128"/>
      <c r="AK143" s="128"/>
      <c r="AL143" s="128"/>
      <c r="AM143" s="128"/>
      <c r="AN143" s="128"/>
      <c r="AO143" s="128"/>
      <c r="AP143" s="128"/>
      <c r="AQ143" s="128"/>
      <c r="AR143" s="128"/>
      <c r="AS143" s="128"/>
      <c r="AT143" s="128"/>
      <c r="AU143" s="128"/>
      <c r="AV143" s="128"/>
      <c r="AW143" s="128"/>
      <c r="AX143" s="128"/>
      <c r="AY143" s="128"/>
      <c r="AZ143" s="128"/>
      <c r="BA143" s="128"/>
      <c r="BB143" s="128"/>
      <c r="BC143" s="128"/>
      <c r="BD143" s="128"/>
      <c r="BE143" s="128"/>
      <c r="BF143" s="128"/>
      <c r="BG143" s="128"/>
      <c r="BH143" s="128"/>
      <c r="BI143" s="128"/>
      <c r="BJ143" s="128"/>
      <c r="BK143" s="128"/>
      <c r="BL143" s="128"/>
      <c r="BM143" s="128"/>
      <c r="BN143" s="128"/>
      <c r="BO143" s="128"/>
      <c r="BP143" s="128"/>
      <c r="BQ143" s="128"/>
    </row>
    <row r="144" spans="1:69" ht="14.25" customHeight="1">
      <c r="A144" s="128"/>
      <c r="B144" s="128"/>
      <c r="C144" s="128"/>
      <c r="D144" s="128"/>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c r="AA144" s="128"/>
      <c r="AB144" s="128"/>
      <c r="AC144" s="128"/>
      <c r="AD144" s="128"/>
      <c r="AE144" s="128"/>
      <c r="AF144" s="128"/>
      <c r="AG144" s="128"/>
      <c r="AH144" s="128"/>
      <c r="AI144" s="128"/>
      <c r="AJ144" s="128"/>
      <c r="AK144" s="128"/>
      <c r="AL144" s="128"/>
      <c r="AM144" s="128"/>
      <c r="AN144" s="128"/>
      <c r="AO144" s="128"/>
      <c r="AP144" s="128"/>
      <c r="AQ144" s="128"/>
      <c r="AR144" s="128"/>
      <c r="AS144" s="128"/>
      <c r="AT144" s="128"/>
      <c r="AU144" s="128"/>
      <c r="AV144" s="128"/>
      <c r="AW144" s="128"/>
      <c r="AX144" s="128"/>
      <c r="AY144" s="128"/>
      <c r="AZ144" s="128"/>
      <c r="BA144" s="128"/>
      <c r="BB144" s="128"/>
      <c r="BC144" s="128"/>
      <c r="BD144" s="128"/>
      <c r="BE144" s="128"/>
      <c r="BF144" s="128"/>
      <c r="BG144" s="128"/>
      <c r="BH144" s="128"/>
      <c r="BI144" s="128"/>
      <c r="BJ144" s="128"/>
      <c r="BK144" s="128"/>
      <c r="BL144" s="128"/>
      <c r="BM144" s="128"/>
      <c r="BN144" s="128"/>
      <c r="BO144" s="128"/>
      <c r="BP144" s="128"/>
      <c r="BQ144" s="128"/>
    </row>
    <row r="145" spans="1:69" ht="14.25" customHeight="1">
      <c r="A145" s="128"/>
      <c r="B145" s="128"/>
      <c r="C145" s="128"/>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row>
    <row r="146" spans="1:69" ht="14.25" customHeight="1">
      <c r="A146" s="128"/>
      <c r="B146" s="128"/>
      <c r="C146" s="128"/>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c r="AA146" s="128"/>
      <c r="AB146" s="128"/>
      <c r="AC146" s="128"/>
      <c r="AD146" s="128"/>
      <c r="AE146" s="128"/>
      <c r="AF146" s="128"/>
      <c r="AG146" s="128"/>
      <c r="AH146" s="128"/>
      <c r="AI146" s="128"/>
      <c r="AJ146" s="128"/>
      <c r="AK146" s="128"/>
      <c r="AL146" s="128"/>
      <c r="AM146" s="128"/>
      <c r="AN146" s="128"/>
      <c r="AO146" s="128"/>
      <c r="AP146" s="128"/>
      <c r="AQ146" s="128"/>
      <c r="AR146" s="128"/>
      <c r="AS146" s="128"/>
      <c r="AT146" s="128"/>
      <c r="AU146" s="128"/>
      <c r="AV146" s="128"/>
      <c r="AW146" s="128"/>
      <c r="AX146" s="128"/>
      <c r="AY146" s="128"/>
      <c r="AZ146" s="128"/>
      <c r="BA146" s="128"/>
      <c r="BB146" s="128"/>
      <c r="BC146" s="128"/>
      <c r="BD146" s="128"/>
      <c r="BE146" s="128"/>
      <c r="BF146" s="128"/>
      <c r="BG146" s="128"/>
      <c r="BH146" s="128"/>
      <c r="BI146" s="128"/>
      <c r="BJ146" s="128"/>
      <c r="BK146" s="128"/>
      <c r="BL146" s="128"/>
      <c r="BM146" s="128"/>
      <c r="BN146" s="128"/>
      <c r="BO146" s="128"/>
      <c r="BP146" s="128"/>
      <c r="BQ146" s="128"/>
    </row>
    <row r="147" spans="1:69" ht="14.25" customHeight="1">
      <c r="A147" s="128"/>
      <c r="B147" s="128"/>
      <c r="C147" s="128"/>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c r="AA147" s="128"/>
      <c r="AB147" s="128"/>
      <c r="AC147" s="128"/>
      <c r="AD147" s="128"/>
      <c r="AE147" s="128"/>
      <c r="AF147" s="128"/>
      <c r="AG147" s="128"/>
      <c r="AH147" s="128"/>
      <c r="AI147" s="128"/>
      <c r="AJ147" s="128"/>
      <c r="AK147" s="128"/>
      <c r="AL147" s="128"/>
      <c r="AM147" s="128"/>
      <c r="AN147" s="128"/>
      <c r="AO147" s="128"/>
      <c r="AP147" s="128"/>
      <c r="AQ147" s="128"/>
      <c r="AR147" s="128"/>
      <c r="AS147" s="128"/>
      <c r="AT147" s="128"/>
      <c r="AU147" s="128"/>
      <c r="AV147" s="128"/>
      <c r="AW147" s="128"/>
      <c r="AX147" s="128"/>
      <c r="AY147" s="128"/>
      <c r="AZ147" s="128"/>
      <c r="BA147" s="128"/>
      <c r="BB147" s="128"/>
      <c r="BC147" s="128"/>
      <c r="BD147" s="128"/>
      <c r="BE147" s="128"/>
      <c r="BF147" s="128"/>
      <c r="BG147" s="128"/>
      <c r="BH147" s="128"/>
      <c r="BI147" s="128"/>
      <c r="BJ147" s="128"/>
      <c r="BK147" s="128"/>
      <c r="BL147" s="128"/>
      <c r="BM147" s="128"/>
      <c r="BN147" s="128"/>
      <c r="BO147" s="128"/>
      <c r="BP147" s="128"/>
      <c r="BQ147" s="128"/>
    </row>
    <row r="148" spans="1:69" ht="14.25" customHeight="1">
      <c r="A148" s="128"/>
      <c r="B148" s="128"/>
      <c r="C148" s="128"/>
      <c r="D148" s="128"/>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c r="AA148" s="128"/>
      <c r="AB148" s="128"/>
      <c r="AC148" s="128"/>
      <c r="AD148" s="128"/>
      <c r="AE148" s="128"/>
      <c r="AF148" s="128"/>
      <c r="AG148" s="128"/>
      <c r="AH148" s="128"/>
      <c r="AI148" s="128"/>
      <c r="AJ148" s="128"/>
      <c r="AK148" s="128"/>
      <c r="AL148" s="128"/>
      <c r="AM148" s="128"/>
      <c r="AN148" s="128"/>
      <c r="AO148" s="128"/>
      <c r="AP148" s="128"/>
      <c r="AQ148" s="128"/>
      <c r="AR148" s="128"/>
      <c r="AS148" s="128"/>
      <c r="AT148" s="128"/>
      <c r="AU148" s="128"/>
      <c r="AV148" s="128"/>
      <c r="AW148" s="128"/>
      <c r="AX148" s="128"/>
      <c r="AY148" s="128"/>
      <c r="AZ148" s="128"/>
      <c r="BA148" s="128"/>
      <c r="BB148" s="128"/>
      <c r="BC148" s="128"/>
      <c r="BD148" s="128"/>
      <c r="BE148" s="128"/>
      <c r="BF148" s="128"/>
      <c r="BG148" s="128"/>
      <c r="BH148" s="128"/>
      <c r="BI148" s="128"/>
      <c r="BJ148" s="128"/>
      <c r="BK148" s="128"/>
      <c r="BL148" s="128"/>
      <c r="BM148" s="128"/>
      <c r="BN148" s="128"/>
      <c r="BO148" s="128"/>
      <c r="BP148" s="128"/>
      <c r="BQ148" s="128"/>
    </row>
    <row r="149" spans="1:69" ht="14.25" customHeight="1">
      <c r="A149" s="128"/>
      <c r="B149" s="128"/>
      <c r="C149" s="128"/>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c r="AA149" s="128"/>
      <c r="AB149" s="128"/>
      <c r="AC149" s="128"/>
      <c r="AD149" s="128"/>
      <c r="AE149" s="128"/>
      <c r="AF149" s="128"/>
      <c r="AG149" s="128"/>
      <c r="AH149" s="128"/>
      <c r="AI149" s="128"/>
      <c r="AJ149" s="128"/>
      <c r="AK149" s="128"/>
      <c r="AL149" s="128"/>
      <c r="AM149" s="128"/>
      <c r="AN149" s="128"/>
      <c r="AO149" s="128"/>
      <c r="AP149" s="128"/>
      <c r="AQ149" s="128"/>
      <c r="AR149" s="128"/>
      <c r="AS149" s="128"/>
      <c r="AT149" s="128"/>
      <c r="AU149" s="128"/>
      <c r="AV149" s="128"/>
      <c r="AW149" s="128"/>
      <c r="AX149" s="128"/>
      <c r="AY149" s="128"/>
      <c r="AZ149" s="128"/>
      <c r="BA149" s="128"/>
      <c r="BB149" s="128"/>
      <c r="BC149" s="128"/>
      <c r="BD149" s="128"/>
      <c r="BE149" s="128"/>
      <c r="BF149" s="128"/>
      <c r="BG149" s="128"/>
      <c r="BH149" s="128"/>
      <c r="BI149" s="128"/>
      <c r="BJ149" s="128"/>
      <c r="BK149" s="128"/>
      <c r="BL149" s="128"/>
      <c r="BM149" s="128"/>
      <c r="BN149" s="128"/>
      <c r="BO149" s="128"/>
      <c r="BP149" s="128"/>
      <c r="BQ149" s="128"/>
    </row>
    <row r="150" spans="1:69" ht="14.25" customHeight="1">
      <c r="A150" s="128"/>
      <c r="B150" s="128"/>
      <c r="C150" s="128"/>
      <c r="D150" s="128"/>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c r="AA150" s="128"/>
      <c r="AB150" s="128"/>
      <c r="AC150" s="128"/>
      <c r="AD150" s="128"/>
      <c r="AE150" s="128"/>
      <c r="AF150" s="128"/>
      <c r="AG150" s="128"/>
      <c r="AH150" s="128"/>
      <c r="AI150" s="128"/>
      <c r="AJ150" s="128"/>
      <c r="AK150" s="128"/>
      <c r="AL150" s="128"/>
      <c r="AM150" s="128"/>
      <c r="AN150" s="128"/>
      <c r="AO150" s="128"/>
      <c r="AP150" s="128"/>
      <c r="AQ150" s="128"/>
      <c r="AR150" s="128"/>
      <c r="AS150" s="128"/>
      <c r="AT150" s="128"/>
      <c r="AU150" s="128"/>
      <c r="AV150" s="128"/>
      <c r="AW150" s="128"/>
      <c r="AX150" s="128"/>
      <c r="AY150" s="128"/>
      <c r="AZ150" s="128"/>
      <c r="BA150" s="128"/>
      <c r="BB150" s="128"/>
      <c r="BC150" s="128"/>
      <c r="BD150" s="128"/>
      <c r="BE150" s="128"/>
      <c r="BF150" s="128"/>
      <c r="BG150" s="128"/>
      <c r="BH150" s="128"/>
      <c r="BI150" s="128"/>
      <c r="BJ150" s="128"/>
      <c r="BK150" s="128"/>
      <c r="BL150" s="128"/>
      <c r="BM150" s="128"/>
      <c r="BN150" s="128"/>
      <c r="BO150" s="128"/>
      <c r="BP150" s="128"/>
      <c r="BQ150" s="128"/>
    </row>
    <row r="151" spans="1:69" ht="14.25" customHeight="1">
      <c r="A151" s="128"/>
      <c r="B151" s="128"/>
      <c r="C151" s="128"/>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row>
    <row r="152" spans="1:69" ht="14.25" customHeight="1">
      <c r="A152" s="128"/>
      <c r="B152" s="128"/>
      <c r="C152" s="128"/>
      <c r="D152" s="128"/>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c r="AA152" s="128"/>
      <c r="AB152" s="128"/>
      <c r="AC152" s="128"/>
      <c r="AD152" s="128"/>
      <c r="AE152" s="128"/>
      <c r="AF152" s="128"/>
      <c r="AG152" s="128"/>
      <c r="AH152" s="128"/>
      <c r="AI152" s="128"/>
      <c r="AJ152" s="128"/>
      <c r="AK152" s="128"/>
      <c r="AL152" s="128"/>
      <c r="AM152" s="128"/>
      <c r="AN152" s="128"/>
      <c r="AO152" s="128"/>
      <c r="AP152" s="128"/>
      <c r="AQ152" s="128"/>
      <c r="AR152" s="128"/>
      <c r="AS152" s="128"/>
      <c r="AT152" s="128"/>
      <c r="AU152" s="128"/>
      <c r="AV152" s="128"/>
      <c r="AW152" s="128"/>
      <c r="AX152" s="128"/>
      <c r="AY152" s="128"/>
      <c r="AZ152" s="128"/>
      <c r="BA152" s="128"/>
      <c r="BB152" s="128"/>
      <c r="BC152" s="128"/>
      <c r="BD152" s="128"/>
      <c r="BE152" s="128"/>
      <c r="BF152" s="128"/>
      <c r="BG152" s="128"/>
      <c r="BH152" s="128"/>
      <c r="BI152" s="128"/>
      <c r="BJ152" s="128"/>
      <c r="BK152" s="128"/>
      <c r="BL152" s="128"/>
      <c r="BM152" s="128"/>
      <c r="BN152" s="128"/>
      <c r="BO152" s="128"/>
      <c r="BP152" s="128"/>
      <c r="BQ152" s="128"/>
    </row>
    <row r="153" spans="1:69" ht="14.25" customHeight="1">
      <c r="A153" s="128"/>
      <c r="B153" s="128"/>
      <c r="C153" s="128"/>
      <c r="D153" s="128"/>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28"/>
      <c r="AA153" s="128"/>
      <c r="AB153" s="128"/>
      <c r="AC153" s="128"/>
      <c r="AD153" s="128"/>
      <c r="AE153" s="128"/>
      <c r="AF153" s="128"/>
      <c r="AG153" s="128"/>
      <c r="AH153" s="128"/>
      <c r="AI153" s="128"/>
      <c r="AJ153" s="128"/>
      <c r="AK153" s="128"/>
      <c r="AL153" s="128"/>
      <c r="AM153" s="128"/>
      <c r="AN153" s="128"/>
      <c r="AO153" s="128"/>
      <c r="AP153" s="128"/>
      <c r="AQ153" s="128"/>
      <c r="AR153" s="128"/>
      <c r="AS153" s="128"/>
      <c r="AT153" s="128"/>
      <c r="AU153" s="128"/>
      <c r="AV153" s="128"/>
      <c r="AW153" s="128"/>
      <c r="AX153" s="128"/>
      <c r="AY153" s="128"/>
      <c r="AZ153" s="128"/>
      <c r="BA153" s="128"/>
      <c r="BB153" s="128"/>
      <c r="BC153" s="128"/>
      <c r="BD153" s="128"/>
      <c r="BE153" s="128"/>
      <c r="BF153" s="128"/>
      <c r="BG153" s="128"/>
      <c r="BH153" s="128"/>
      <c r="BI153" s="128"/>
      <c r="BJ153" s="128"/>
      <c r="BK153" s="128"/>
      <c r="BL153" s="128"/>
      <c r="BM153" s="128"/>
      <c r="BN153" s="128"/>
      <c r="BO153" s="128"/>
      <c r="BP153" s="128"/>
      <c r="BQ153" s="128"/>
    </row>
    <row r="154" spans="1:69" ht="14.25" customHeight="1">
      <c r="A154" s="128"/>
      <c r="B154" s="128"/>
      <c r="C154" s="128"/>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c r="AA154" s="128"/>
      <c r="AB154" s="128"/>
      <c r="AC154" s="128"/>
      <c r="AD154" s="128"/>
      <c r="AE154" s="128"/>
      <c r="AF154" s="128"/>
      <c r="AG154" s="128"/>
      <c r="AH154" s="128"/>
      <c r="AI154" s="128"/>
      <c r="AJ154" s="128"/>
      <c r="AK154" s="128"/>
      <c r="AL154" s="128"/>
      <c r="AM154" s="128"/>
      <c r="AN154" s="128"/>
      <c r="AO154" s="128"/>
      <c r="AP154" s="128"/>
      <c r="AQ154" s="128"/>
      <c r="AR154" s="128"/>
      <c r="AS154" s="128"/>
      <c r="AT154" s="128"/>
      <c r="AU154" s="128"/>
      <c r="AV154" s="128"/>
      <c r="AW154" s="128"/>
      <c r="AX154" s="128"/>
      <c r="AY154" s="128"/>
      <c r="AZ154" s="128"/>
      <c r="BA154" s="128"/>
      <c r="BB154" s="128"/>
      <c r="BC154" s="128"/>
      <c r="BD154" s="128"/>
      <c r="BE154" s="128"/>
      <c r="BF154" s="128"/>
      <c r="BG154" s="128"/>
      <c r="BH154" s="128"/>
      <c r="BI154" s="128"/>
      <c r="BJ154" s="128"/>
      <c r="BK154" s="128"/>
      <c r="BL154" s="128"/>
      <c r="BM154" s="128"/>
      <c r="BN154" s="128"/>
      <c r="BO154" s="128"/>
      <c r="BP154" s="128"/>
      <c r="BQ154" s="128"/>
    </row>
    <row r="155" spans="1:69" ht="14.25" customHeight="1">
      <c r="A155" s="128"/>
      <c r="B155" s="128"/>
      <c r="C155" s="128"/>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c r="AA155" s="128"/>
      <c r="AB155" s="128"/>
      <c r="AC155" s="128"/>
      <c r="AD155" s="128"/>
      <c r="AE155" s="128"/>
      <c r="AF155" s="128"/>
      <c r="AG155" s="128"/>
      <c r="AH155" s="128"/>
      <c r="AI155" s="128"/>
      <c r="AJ155" s="128"/>
      <c r="AK155" s="128"/>
      <c r="AL155" s="128"/>
      <c r="AM155" s="128"/>
      <c r="AN155" s="128"/>
      <c r="AO155" s="128"/>
      <c r="AP155" s="128"/>
      <c r="AQ155" s="128"/>
      <c r="AR155" s="128"/>
      <c r="AS155" s="128"/>
      <c r="AT155" s="128"/>
      <c r="AU155" s="128"/>
      <c r="AV155" s="128"/>
      <c r="AW155" s="128"/>
      <c r="AX155" s="128"/>
      <c r="AY155" s="128"/>
      <c r="AZ155" s="128"/>
      <c r="BA155" s="128"/>
      <c r="BB155" s="128"/>
      <c r="BC155" s="128"/>
      <c r="BD155" s="128"/>
      <c r="BE155" s="128"/>
      <c r="BF155" s="128"/>
      <c r="BG155" s="128"/>
      <c r="BH155" s="128"/>
      <c r="BI155" s="128"/>
      <c r="BJ155" s="128"/>
      <c r="BK155" s="128"/>
      <c r="BL155" s="128"/>
      <c r="BM155" s="128"/>
      <c r="BN155" s="128"/>
      <c r="BO155" s="128"/>
      <c r="BP155" s="128"/>
      <c r="BQ155" s="128"/>
    </row>
    <row r="156" spans="1:69" ht="14.25" customHeight="1">
      <c r="A156" s="128"/>
      <c r="B156" s="128"/>
      <c r="C156" s="128"/>
      <c r="D156" s="128"/>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c r="AA156" s="128"/>
      <c r="AB156" s="128"/>
      <c r="AC156" s="128"/>
      <c r="AD156" s="128"/>
      <c r="AE156" s="128"/>
      <c r="AF156" s="128"/>
      <c r="AG156" s="128"/>
      <c r="AH156" s="128"/>
      <c r="AI156" s="128"/>
      <c r="AJ156" s="128"/>
      <c r="AK156" s="128"/>
      <c r="AL156" s="128"/>
      <c r="AM156" s="128"/>
      <c r="AN156" s="128"/>
      <c r="AO156" s="128"/>
      <c r="AP156" s="128"/>
      <c r="AQ156" s="128"/>
      <c r="AR156" s="128"/>
      <c r="AS156" s="128"/>
      <c r="AT156" s="128"/>
      <c r="AU156" s="128"/>
      <c r="AV156" s="128"/>
      <c r="AW156" s="128"/>
      <c r="AX156" s="128"/>
      <c r="AY156" s="128"/>
      <c r="AZ156" s="128"/>
      <c r="BA156" s="128"/>
      <c r="BB156" s="128"/>
      <c r="BC156" s="128"/>
      <c r="BD156" s="128"/>
      <c r="BE156" s="128"/>
      <c r="BF156" s="128"/>
      <c r="BG156" s="128"/>
      <c r="BH156" s="128"/>
      <c r="BI156" s="128"/>
      <c r="BJ156" s="128"/>
      <c r="BK156" s="128"/>
      <c r="BL156" s="128"/>
      <c r="BM156" s="128"/>
      <c r="BN156" s="128"/>
      <c r="BO156" s="128"/>
      <c r="BP156" s="128"/>
      <c r="BQ156" s="128"/>
    </row>
    <row r="157" spans="1:69" ht="14.25" customHeight="1">
      <c r="A157" s="128"/>
      <c r="B157" s="128"/>
      <c r="C157" s="128"/>
      <c r="D157" s="128"/>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row>
    <row r="158" spans="1:69" ht="14.25" customHeight="1">
      <c r="A158" s="128"/>
      <c r="B158" s="128"/>
      <c r="C158" s="128"/>
      <c r="D158" s="128"/>
      <c r="E158" s="128"/>
      <c r="F158" s="128"/>
      <c r="G158" s="128"/>
      <c r="H158" s="128"/>
      <c r="I158" s="128"/>
      <c r="J158" s="128"/>
      <c r="K158" s="128"/>
      <c r="L158" s="128"/>
      <c r="M158" s="128"/>
      <c r="N158" s="128"/>
      <c r="O158" s="128"/>
      <c r="P158" s="128"/>
      <c r="Q158" s="128"/>
      <c r="R158" s="128"/>
      <c r="S158" s="128"/>
      <c r="T158" s="128"/>
      <c r="U158" s="128"/>
      <c r="V158" s="128"/>
      <c r="W158" s="128"/>
      <c r="X158" s="128"/>
      <c r="Y158" s="128"/>
      <c r="Z158" s="128"/>
      <c r="AA158" s="128"/>
      <c r="AB158" s="128"/>
      <c r="AC158" s="128"/>
      <c r="AD158" s="128"/>
      <c r="AE158" s="128"/>
      <c r="AF158" s="128"/>
      <c r="AG158" s="128"/>
      <c r="AH158" s="128"/>
      <c r="AI158" s="128"/>
      <c r="AJ158" s="128"/>
      <c r="AK158" s="128"/>
      <c r="AL158" s="128"/>
      <c r="AM158" s="128"/>
      <c r="AN158" s="128"/>
      <c r="AO158" s="128"/>
      <c r="AP158" s="128"/>
      <c r="AQ158" s="128"/>
      <c r="AR158" s="128"/>
      <c r="AS158" s="128"/>
      <c r="AT158" s="128"/>
      <c r="AU158" s="128"/>
      <c r="AV158" s="128"/>
      <c r="AW158" s="128"/>
      <c r="AX158" s="128"/>
      <c r="AY158" s="128"/>
      <c r="AZ158" s="128"/>
      <c r="BA158" s="128"/>
      <c r="BB158" s="128"/>
      <c r="BC158" s="128"/>
      <c r="BD158" s="128"/>
      <c r="BE158" s="128"/>
      <c r="BF158" s="128"/>
      <c r="BG158" s="128"/>
      <c r="BH158" s="128"/>
      <c r="BI158" s="128"/>
      <c r="BJ158" s="128"/>
      <c r="BK158" s="128"/>
      <c r="BL158" s="128"/>
      <c r="BM158" s="128"/>
      <c r="BN158" s="128"/>
      <c r="BO158" s="128"/>
      <c r="BP158" s="128"/>
      <c r="BQ158" s="128"/>
    </row>
    <row r="159" spans="1:69" ht="14.25" customHeight="1">
      <c r="A159" s="128"/>
      <c r="B159" s="128"/>
      <c r="C159" s="128"/>
      <c r="D159" s="128"/>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28"/>
      <c r="AA159" s="128"/>
      <c r="AB159" s="128"/>
      <c r="AC159" s="128"/>
      <c r="AD159" s="128"/>
      <c r="AE159" s="128"/>
      <c r="AF159" s="128"/>
      <c r="AG159" s="128"/>
      <c r="AH159" s="128"/>
      <c r="AI159" s="128"/>
      <c r="AJ159" s="128"/>
      <c r="AK159" s="128"/>
      <c r="AL159" s="128"/>
      <c r="AM159" s="128"/>
      <c r="AN159" s="128"/>
      <c r="AO159" s="128"/>
      <c r="AP159" s="128"/>
      <c r="AQ159" s="128"/>
      <c r="AR159" s="128"/>
      <c r="AS159" s="128"/>
      <c r="AT159" s="128"/>
      <c r="AU159" s="128"/>
      <c r="AV159" s="128"/>
      <c r="AW159" s="128"/>
      <c r="AX159" s="128"/>
      <c r="AY159" s="128"/>
      <c r="AZ159" s="128"/>
      <c r="BA159" s="128"/>
      <c r="BB159" s="128"/>
      <c r="BC159" s="128"/>
      <c r="BD159" s="128"/>
      <c r="BE159" s="128"/>
      <c r="BF159" s="128"/>
      <c r="BG159" s="128"/>
      <c r="BH159" s="128"/>
      <c r="BI159" s="128"/>
      <c r="BJ159" s="128"/>
      <c r="BK159" s="128"/>
      <c r="BL159" s="128"/>
      <c r="BM159" s="128"/>
      <c r="BN159" s="128"/>
      <c r="BO159" s="128"/>
      <c r="BP159" s="128"/>
      <c r="BQ159" s="128"/>
    </row>
    <row r="160" spans="1:69" ht="14.25" customHeight="1">
      <c r="A160" s="128"/>
      <c r="B160" s="128"/>
      <c r="C160" s="128"/>
      <c r="D160" s="128"/>
      <c r="E160" s="128"/>
      <c r="F160" s="128"/>
      <c r="G160" s="128"/>
      <c r="H160" s="128"/>
      <c r="I160" s="128"/>
      <c r="J160" s="128"/>
      <c r="K160" s="128"/>
      <c r="L160" s="128"/>
      <c r="M160" s="128"/>
      <c r="N160" s="128"/>
      <c r="O160" s="128"/>
      <c r="P160" s="128"/>
      <c r="Q160" s="128"/>
      <c r="R160" s="128"/>
      <c r="S160" s="128"/>
      <c r="T160" s="128"/>
      <c r="U160" s="128"/>
      <c r="V160" s="128"/>
      <c r="W160" s="128"/>
      <c r="X160" s="128"/>
      <c r="Y160" s="128"/>
      <c r="Z160" s="128"/>
      <c r="AA160" s="128"/>
      <c r="AB160" s="128"/>
      <c r="AC160" s="128"/>
      <c r="AD160" s="128"/>
      <c r="AE160" s="128"/>
      <c r="AF160" s="128"/>
      <c r="AG160" s="128"/>
      <c r="AH160" s="128"/>
      <c r="AI160" s="128"/>
      <c r="AJ160" s="128"/>
      <c r="AK160" s="128"/>
      <c r="AL160" s="128"/>
      <c r="AM160" s="128"/>
      <c r="AN160" s="128"/>
      <c r="AO160" s="128"/>
      <c r="AP160" s="128"/>
      <c r="AQ160" s="128"/>
      <c r="AR160" s="128"/>
      <c r="AS160" s="128"/>
      <c r="AT160" s="128"/>
      <c r="AU160" s="128"/>
      <c r="AV160" s="128"/>
      <c r="AW160" s="128"/>
      <c r="AX160" s="128"/>
      <c r="AY160" s="128"/>
      <c r="AZ160" s="128"/>
      <c r="BA160" s="128"/>
      <c r="BB160" s="128"/>
      <c r="BC160" s="128"/>
      <c r="BD160" s="128"/>
      <c r="BE160" s="128"/>
      <c r="BF160" s="128"/>
      <c r="BG160" s="128"/>
      <c r="BH160" s="128"/>
      <c r="BI160" s="128"/>
      <c r="BJ160" s="128"/>
      <c r="BK160" s="128"/>
      <c r="BL160" s="128"/>
      <c r="BM160" s="128"/>
      <c r="BN160" s="128"/>
      <c r="BO160" s="128"/>
      <c r="BP160" s="128"/>
      <c r="BQ160" s="128"/>
    </row>
    <row r="161" spans="1:69" ht="14.25" customHeight="1">
      <c r="A161" s="128"/>
      <c r="B161" s="128"/>
      <c r="C161" s="128"/>
      <c r="D161" s="128"/>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28"/>
      <c r="AA161" s="128"/>
      <c r="AB161" s="128"/>
      <c r="AC161" s="128"/>
      <c r="AD161" s="128"/>
      <c r="AE161" s="128"/>
      <c r="AF161" s="128"/>
      <c r="AG161" s="128"/>
      <c r="AH161" s="128"/>
      <c r="AI161" s="128"/>
      <c r="AJ161" s="128"/>
      <c r="AK161" s="128"/>
      <c r="AL161" s="128"/>
      <c r="AM161" s="128"/>
      <c r="AN161" s="128"/>
      <c r="AO161" s="128"/>
      <c r="AP161" s="128"/>
      <c r="AQ161" s="128"/>
      <c r="AR161" s="128"/>
      <c r="AS161" s="128"/>
      <c r="AT161" s="128"/>
      <c r="AU161" s="128"/>
      <c r="AV161" s="128"/>
      <c r="AW161" s="128"/>
      <c r="AX161" s="128"/>
      <c r="AY161" s="128"/>
      <c r="AZ161" s="128"/>
      <c r="BA161" s="128"/>
      <c r="BB161" s="128"/>
      <c r="BC161" s="128"/>
      <c r="BD161" s="128"/>
      <c r="BE161" s="128"/>
      <c r="BF161" s="128"/>
      <c r="BG161" s="128"/>
      <c r="BH161" s="128"/>
      <c r="BI161" s="128"/>
      <c r="BJ161" s="128"/>
      <c r="BK161" s="128"/>
      <c r="BL161" s="128"/>
      <c r="BM161" s="128"/>
      <c r="BN161" s="128"/>
      <c r="BO161" s="128"/>
      <c r="BP161" s="128"/>
      <c r="BQ161" s="128"/>
    </row>
    <row r="162" spans="1:69" ht="14.25" customHeight="1">
      <c r="A162" s="128"/>
      <c r="B162" s="128"/>
      <c r="C162" s="128"/>
      <c r="D162" s="128"/>
      <c r="E162" s="128"/>
      <c r="F162" s="128"/>
      <c r="G162" s="128"/>
      <c r="H162" s="128"/>
      <c r="I162" s="128"/>
      <c r="J162" s="128"/>
      <c r="K162" s="128"/>
      <c r="L162" s="128"/>
      <c r="M162" s="128"/>
      <c r="N162" s="128"/>
      <c r="O162" s="128"/>
      <c r="P162" s="128"/>
      <c r="Q162" s="128"/>
      <c r="R162" s="128"/>
      <c r="S162" s="128"/>
      <c r="T162" s="128"/>
      <c r="U162" s="128"/>
      <c r="V162" s="128"/>
      <c r="W162" s="128"/>
      <c r="X162" s="128"/>
      <c r="Y162" s="128"/>
      <c r="Z162" s="128"/>
      <c r="AA162" s="128"/>
      <c r="AB162" s="128"/>
      <c r="AC162" s="128"/>
      <c r="AD162" s="128"/>
      <c r="AE162" s="128"/>
      <c r="AF162" s="128"/>
      <c r="AG162" s="128"/>
      <c r="AH162" s="128"/>
      <c r="AI162" s="128"/>
      <c r="AJ162" s="128"/>
      <c r="AK162" s="128"/>
      <c r="AL162" s="128"/>
      <c r="AM162" s="128"/>
      <c r="AN162" s="128"/>
      <c r="AO162" s="128"/>
      <c r="AP162" s="128"/>
      <c r="AQ162" s="128"/>
      <c r="AR162" s="128"/>
      <c r="AS162" s="128"/>
      <c r="AT162" s="128"/>
      <c r="AU162" s="128"/>
      <c r="AV162" s="128"/>
      <c r="AW162" s="128"/>
      <c r="AX162" s="128"/>
      <c r="AY162" s="128"/>
      <c r="AZ162" s="128"/>
      <c r="BA162" s="128"/>
      <c r="BB162" s="128"/>
      <c r="BC162" s="128"/>
      <c r="BD162" s="128"/>
      <c r="BE162" s="128"/>
      <c r="BF162" s="128"/>
      <c r="BG162" s="128"/>
      <c r="BH162" s="128"/>
      <c r="BI162" s="128"/>
      <c r="BJ162" s="128"/>
      <c r="BK162" s="128"/>
      <c r="BL162" s="128"/>
      <c r="BM162" s="128"/>
      <c r="BN162" s="128"/>
      <c r="BO162" s="128"/>
      <c r="BP162" s="128"/>
      <c r="BQ162" s="128"/>
    </row>
    <row r="163" spans="1:69" ht="14.25" customHeight="1">
      <c r="A163" s="128"/>
      <c r="B163" s="128"/>
      <c r="C163" s="128"/>
      <c r="D163" s="128"/>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28"/>
      <c r="AA163" s="128"/>
      <c r="AB163" s="128"/>
      <c r="AC163" s="128"/>
      <c r="AD163" s="128"/>
      <c r="AE163" s="128"/>
      <c r="AF163" s="128"/>
      <c r="AG163" s="128"/>
      <c r="AH163" s="128"/>
      <c r="AI163" s="128"/>
      <c r="AJ163" s="128"/>
      <c r="AK163" s="128"/>
      <c r="AL163" s="128"/>
      <c r="AM163" s="128"/>
      <c r="AN163" s="128"/>
      <c r="AO163" s="128"/>
      <c r="AP163" s="128"/>
      <c r="AQ163" s="128"/>
      <c r="AR163" s="128"/>
      <c r="AS163" s="128"/>
      <c r="AT163" s="128"/>
      <c r="AU163" s="128"/>
      <c r="AV163" s="128"/>
      <c r="AW163" s="128"/>
      <c r="AX163" s="128"/>
      <c r="AY163" s="128"/>
      <c r="AZ163" s="128"/>
      <c r="BA163" s="128"/>
      <c r="BB163" s="128"/>
      <c r="BC163" s="128"/>
      <c r="BD163" s="128"/>
      <c r="BE163" s="128"/>
      <c r="BF163" s="128"/>
      <c r="BG163" s="128"/>
      <c r="BH163" s="128"/>
      <c r="BI163" s="128"/>
      <c r="BJ163" s="128"/>
      <c r="BK163" s="128"/>
      <c r="BL163" s="128"/>
      <c r="BM163" s="128"/>
      <c r="BN163" s="128"/>
      <c r="BO163" s="128"/>
      <c r="BP163" s="128"/>
      <c r="BQ163" s="128"/>
    </row>
    <row r="164" spans="1:69" ht="14.25" customHeight="1">
      <c r="A164" s="128"/>
      <c r="B164" s="128"/>
      <c r="C164" s="128"/>
      <c r="D164" s="128"/>
      <c r="E164" s="128"/>
      <c r="F164" s="128"/>
      <c r="G164" s="128"/>
      <c r="H164" s="128"/>
      <c r="I164" s="128"/>
      <c r="J164" s="128"/>
      <c r="K164" s="128"/>
      <c r="L164" s="128"/>
      <c r="M164" s="128"/>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row>
    <row r="165" spans="1:69" ht="14.25" customHeight="1">
      <c r="A165" s="128"/>
      <c r="B165" s="128"/>
      <c r="C165" s="128"/>
      <c r="D165" s="128"/>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28"/>
      <c r="AA165" s="128"/>
      <c r="AB165" s="128"/>
      <c r="AC165" s="128"/>
      <c r="AD165" s="128"/>
      <c r="AE165" s="128"/>
      <c r="AF165" s="128"/>
      <c r="AG165" s="128"/>
      <c r="AH165" s="128"/>
      <c r="AI165" s="128"/>
      <c r="AJ165" s="128"/>
      <c r="AK165" s="128"/>
      <c r="AL165" s="128"/>
      <c r="AM165" s="128"/>
      <c r="AN165" s="128"/>
      <c r="AO165" s="128"/>
      <c r="AP165" s="128"/>
      <c r="AQ165" s="128"/>
      <c r="AR165" s="128"/>
      <c r="AS165" s="128"/>
      <c r="AT165" s="128"/>
      <c r="AU165" s="128"/>
      <c r="AV165" s="128"/>
      <c r="AW165" s="128"/>
      <c r="AX165" s="128"/>
      <c r="AY165" s="128"/>
      <c r="AZ165" s="128"/>
      <c r="BA165" s="128"/>
      <c r="BB165" s="128"/>
      <c r="BC165" s="128"/>
      <c r="BD165" s="128"/>
      <c r="BE165" s="128"/>
      <c r="BF165" s="128"/>
      <c r="BG165" s="128"/>
      <c r="BH165" s="128"/>
      <c r="BI165" s="128"/>
      <c r="BJ165" s="128"/>
      <c r="BK165" s="128"/>
      <c r="BL165" s="128"/>
      <c r="BM165" s="128"/>
      <c r="BN165" s="128"/>
      <c r="BO165" s="128"/>
      <c r="BP165" s="128"/>
      <c r="BQ165" s="128"/>
    </row>
    <row r="166" spans="1:69" ht="14.25" customHeight="1">
      <c r="A166" s="128"/>
      <c r="B166" s="128"/>
      <c r="C166" s="128"/>
      <c r="D166" s="128"/>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c r="AA166" s="128"/>
      <c r="AB166" s="128"/>
      <c r="AC166" s="128"/>
      <c r="AD166" s="128"/>
      <c r="AE166" s="128"/>
      <c r="AF166" s="128"/>
      <c r="AG166" s="128"/>
      <c r="AH166" s="128"/>
      <c r="AI166" s="128"/>
      <c r="AJ166" s="128"/>
      <c r="AK166" s="128"/>
      <c r="AL166" s="128"/>
      <c r="AM166" s="128"/>
      <c r="AN166" s="128"/>
      <c r="AO166" s="128"/>
      <c r="AP166" s="128"/>
      <c r="AQ166" s="128"/>
      <c r="AR166" s="128"/>
      <c r="AS166" s="128"/>
      <c r="AT166" s="128"/>
      <c r="AU166" s="128"/>
      <c r="AV166" s="128"/>
      <c r="AW166" s="128"/>
      <c r="AX166" s="128"/>
      <c r="AY166" s="128"/>
      <c r="AZ166" s="128"/>
      <c r="BA166" s="128"/>
      <c r="BB166" s="128"/>
      <c r="BC166" s="128"/>
      <c r="BD166" s="128"/>
      <c r="BE166" s="128"/>
      <c r="BF166" s="128"/>
      <c r="BG166" s="128"/>
      <c r="BH166" s="128"/>
      <c r="BI166" s="128"/>
      <c r="BJ166" s="128"/>
      <c r="BK166" s="128"/>
      <c r="BL166" s="128"/>
      <c r="BM166" s="128"/>
      <c r="BN166" s="128"/>
      <c r="BO166" s="128"/>
      <c r="BP166" s="128"/>
      <c r="BQ166" s="128"/>
    </row>
    <row r="167" spans="1:69" ht="14.25" customHeight="1">
      <c r="A167" s="128"/>
      <c r="B167" s="128"/>
      <c r="C167" s="128"/>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c r="AA167" s="128"/>
      <c r="AB167" s="128"/>
      <c r="AC167" s="128"/>
      <c r="AD167" s="128"/>
      <c r="AE167" s="128"/>
      <c r="AF167" s="128"/>
      <c r="AG167" s="128"/>
      <c r="AH167" s="128"/>
      <c r="AI167" s="128"/>
      <c r="AJ167" s="128"/>
      <c r="AK167" s="128"/>
      <c r="AL167" s="128"/>
      <c r="AM167" s="128"/>
      <c r="AN167" s="128"/>
      <c r="AO167" s="128"/>
      <c r="AP167" s="128"/>
      <c r="AQ167" s="128"/>
      <c r="AR167" s="128"/>
      <c r="AS167" s="128"/>
      <c r="AT167" s="128"/>
      <c r="AU167" s="128"/>
      <c r="AV167" s="128"/>
      <c r="AW167" s="128"/>
      <c r="AX167" s="128"/>
      <c r="AY167" s="128"/>
      <c r="AZ167" s="128"/>
      <c r="BA167" s="128"/>
      <c r="BB167" s="128"/>
      <c r="BC167" s="128"/>
      <c r="BD167" s="128"/>
      <c r="BE167" s="128"/>
      <c r="BF167" s="128"/>
      <c r="BG167" s="128"/>
      <c r="BH167" s="128"/>
      <c r="BI167" s="128"/>
      <c r="BJ167" s="128"/>
      <c r="BK167" s="128"/>
      <c r="BL167" s="128"/>
      <c r="BM167" s="128"/>
      <c r="BN167" s="128"/>
      <c r="BO167" s="128"/>
      <c r="BP167" s="128"/>
      <c r="BQ167" s="128"/>
    </row>
    <row r="168" spans="1:69" ht="14.25" customHeight="1">
      <c r="A168" s="128"/>
      <c r="B168" s="128"/>
      <c r="C168" s="128"/>
      <c r="D168" s="128"/>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c r="AA168" s="128"/>
      <c r="AB168" s="128"/>
      <c r="AC168" s="128"/>
      <c r="AD168" s="128"/>
      <c r="AE168" s="128"/>
      <c r="AF168" s="128"/>
      <c r="AG168" s="128"/>
      <c r="AH168" s="128"/>
      <c r="AI168" s="128"/>
      <c r="AJ168" s="128"/>
      <c r="AK168" s="128"/>
      <c r="AL168" s="128"/>
      <c r="AM168" s="128"/>
      <c r="AN168" s="128"/>
      <c r="AO168" s="128"/>
      <c r="AP168" s="128"/>
      <c r="AQ168" s="128"/>
      <c r="AR168" s="128"/>
      <c r="AS168" s="128"/>
      <c r="AT168" s="128"/>
      <c r="AU168" s="128"/>
      <c r="AV168" s="128"/>
      <c r="AW168" s="128"/>
      <c r="AX168" s="128"/>
      <c r="AY168" s="128"/>
      <c r="AZ168" s="128"/>
      <c r="BA168" s="128"/>
      <c r="BB168" s="128"/>
      <c r="BC168" s="128"/>
      <c r="BD168" s="128"/>
      <c r="BE168" s="128"/>
      <c r="BF168" s="128"/>
      <c r="BG168" s="128"/>
      <c r="BH168" s="128"/>
      <c r="BI168" s="128"/>
      <c r="BJ168" s="128"/>
      <c r="BK168" s="128"/>
      <c r="BL168" s="128"/>
      <c r="BM168" s="128"/>
      <c r="BN168" s="128"/>
      <c r="BO168" s="128"/>
      <c r="BP168" s="128"/>
      <c r="BQ168" s="128"/>
    </row>
    <row r="169" spans="1:69" ht="14.25" customHeight="1">
      <c r="A169" s="128"/>
      <c r="B169" s="128"/>
      <c r="C169" s="128"/>
      <c r="D169" s="128"/>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28"/>
      <c r="AA169" s="128"/>
      <c r="AB169" s="128"/>
      <c r="AC169" s="128"/>
      <c r="AD169" s="128"/>
      <c r="AE169" s="128"/>
      <c r="AF169" s="128"/>
      <c r="AG169" s="128"/>
      <c r="AH169" s="128"/>
      <c r="AI169" s="128"/>
      <c r="AJ169" s="128"/>
      <c r="AK169" s="128"/>
      <c r="AL169" s="128"/>
      <c r="AM169" s="128"/>
      <c r="AN169" s="128"/>
      <c r="AO169" s="128"/>
      <c r="AP169" s="128"/>
      <c r="AQ169" s="128"/>
      <c r="AR169" s="128"/>
      <c r="AS169" s="128"/>
      <c r="AT169" s="128"/>
      <c r="AU169" s="128"/>
      <c r="AV169" s="128"/>
      <c r="AW169" s="128"/>
      <c r="AX169" s="128"/>
      <c r="AY169" s="128"/>
      <c r="AZ169" s="128"/>
      <c r="BA169" s="128"/>
      <c r="BB169" s="128"/>
      <c r="BC169" s="128"/>
      <c r="BD169" s="128"/>
      <c r="BE169" s="128"/>
      <c r="BF169" s="128"/>
      <c r="BG169" s="128"/>
      <c r="BH169" s="128"/>
      <c r="BI169" s="128"/>
      <c r="BJ169" s="128"/>
      <c r="BK169" s="128"/>
      <c r="BL169" s="128"/>
      <c r="BM169" s="128"/>
      <c r="BN169" s="128"/>
      <c r="BO169" s="128"/>
      <c r="BP169" s="128"/>
      <c r="BQ169" s="128"/>
    </row>
    <row r="170" spans="1:69" ht="14.25" customHeight="1">
      <c r="A170" s="128"/>
      <c r="B170" s="128"/>
      <c r="C170" s="128"/>
      <c r="D170" s="128"/>
      <c r="E170" s="128"/>
      <c r="F170" s="128"/>
      <c r="G170" s="128"/>
      <c r="H170" s="128"/>
      <c r="I170" s="128"/>
      <c r="J170" s="128"/>
      <c r="K170" s="128"/>
      <c r="L170" s="128"/>
      <c r="M170" s="128"/>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row>
    <row r="171" spans="1:69" ht="14.25" customHeight="1">
      <c r="A171" s="128"/>
      <c r="B171" s="128"/>
      <c r="C171" s="128"/>
      <c r="D171" s="128"/>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28"/>
      <c r="AA171" s="128"/>
      <c r="AB171" s="128"/>
      <c r="AC171" s="128"/>
      <c r="AD171" s="128"/>
      <c r="AE171" s="128"/>
      <c r="AF171" s="128"/>
      <c r="AG171" s="128"/>
      <c r="AH171" s="128"/>
      <c r="AI171" s="128"/>
      <c r="AJ171" s="128"/>
      <c r="AK171" s="128"/>
      <c r="AL171" s="128"/>
      <c r="AM171" s="128"/>
      <c r="AN171" s="128"/>
      <c r="AO171" s="128"/>
      <c r="AP171" s="128"/>
      <c r="AQ171" s="128"/>
      <c r="AR171" s="128"/>
      <c r="AS171" s="128"/>
      <c r="AT171" s="128"/>
      <c r="AU171" s="128"/>
      <c r="AV171" s="128"/>
      <c r="AW171" s="128"/>
      <c r="AX171" s="128"/>
      <c r="AY171" s="128"/>
      <c r="AZ171" s="128"/>
      <c r="BA171" s="128"/>
      <c r="BB171" s="128"/>
      <c r="BC171" s="128"/>
      <c r="BD171" s="128"/>
      <c r="BE171" s="128"/>
      <c r="BF171" s="128"/>
      <c r="BG171" s="128"/>
      <c r="BH171" s="128"/>
      <c r="BI171" s="128"/>
      <c r="BJ171" s="128"/>
      <c r="BK171" s="128"/>
      <c r="BL171" s="128"/>
      <c r="BM171" s="128"/>
      <c r="BN171" s="128"/>
      <c r="BO171" s="128"/>
      <c r="BP171" s="128"/>
      <c r="BQ171" s="128"/>
    </row>
    <row r="172" spans="1:69" ht="14.25" customHeight="1">
      <c r="A172" s="128"/>
      <c r="B172" s="128"/>
      <c r="C172" s="128"/>
      <c r="D172" s="128"/>
      <c r="E172" s="128"/>
      <c r="F172" s="128"/>
      <c r="G172" s="128"/>
      <c r="H172" s="128"/>
      <c r="I172" s="128"/>
      <c r="J172" s="128"/>
      <c r="K172" s="128"/>
      <c r="L172" s="128"/>
      <c r="M172" s="128"/>
      <c r="N172" s="128"/>
      <c r="O172" s="128"/>
      <c r="P172" s="128"/>
      <c r="Q172" s="128"/>
      <c r="R172" s="128"/>
      <c r="S172" s="128"/>
      <c r="T172" s="128"/>
      <c r="U172" s="128"/>
      <c r="V172" s="128"/>
      <c r="W172" s="128"/>
      <c r="X172" s="128"/>
      <c r="Y172" s="128"/>
      <c r="Z172" s="128"/>
      <c r="AA172" s="128"/>
      <c r="AB172" s="128"/>
      <c r="AC172" s="128"/>
      <c r="AD172" s="128"/>
      <c r="AE172" s="128"/>
      <c r="AF172" s="128"/>
      <c r="AG172" s="128"/>
      <c r="AH172" s="128"/>
      <c r="AI172" s="128"/>
      <c r="AJ172" s="128"/>
      <c r="AK172" s="128"/>
      <c r="AL172" s="128"/>
      <c r="AM172" s="128"/>
      <c r="AN172" s="128"/>
      <c r="AO172" s="128"/>
      <c r="AP172" s="128"/>
      <c r="AQ172" s="128"/>
      <c r="AR172" s="128"/>
      <c r="AS172" s="128"/>
      <c r="AT172" s="128"/>
      <c r="AU172" s="128"/>
      <c r="AV172" s="128"/>
      <c r="AW172" s="128"/>
      <c r="AX172" s="128"/>
      <c r="AY172" s="128"/>
      <c r="AZ172" s="128"/>
      <c r="BA172" s="128"/>
      <c r="BB172" s="128"/>
      <c r="BC172" s="128"/>
      <c r="BD172" s="128"/>
      <c r="BE172" s="128"/>
      <c r="BF172" s="128"/>
      <c r="BG172" s="128"/>
      <c r="BH172" s="128"/>
      <c r="BI172" s="128"/>
      <c r="BJ172" s="128"/>
      <c r="BK172" s="128"/>
      <c r="BL172" s="128"/>
      <c r="BM172" s="128"/>
      <c r="BN172" s="128"/>
      <c r="BO172" s="128"/>
      <c r="BP172" s="128"/>
      <c r="BQ172" s="128"/>
    </row>
    <row r="173" spans="1:69" ht="14.25" customHeight="1">
      <c r="A173" s="128"/>
      <c r="B173" s="128"/>
      <c r="C173" s="128"/>
      <c r="D173" s="128"/>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28"/>
      <c r="AA173" s="128"/>
      <c r="AB173" s="128"/>
      <c r="AC173" s="128"/>
      <c r="AD173" s="128"/>
      <c r="AE173" s="128"/>
      <c r="AF173" s="128"/>
      <c r="AG173" s="128"/>
      <c r="AH173" s="128"/>
      <c r="AI173" s="128"/>
      <c r="AJ173" s="128"/>
      <c r="AK173" s="128"/>
      <c r="AL173" s="128"/>
      <c r="AM173" s="128"/>
      <c r="AN173" s="128"/>
      <c r="AO173" s="128"/>
      <c r="AP173" s="128"/>
      <c r="AQ173" s="128"/>
      <c r="AR173" s="128"/>
      <c r="AS173" s="128"/>
      <c r="AT173" s="128"/>
      <c r="AU173" s="128"/>
      <c r="AV173" s="128"/>
      <c r="AW173" s="128"/>
      <c r="AX173" s="128"/>
      <c r="AY173" s="128"/>
      <c r="AZ173" s="128"/>
      <c r="BA173" s="128"/>
      <c r="BB173" s="128"/>
      <c r="BC173" s="128"/>
      <c r="BD173" s="128"/>
      <c r="BE173" s="128"/>
      <c r="BF173" s="128"/>
      <c r="BG173" s="128"/>
      <c r="BH173" s="128"/>
      <c r="BI173" s="128"/>
      <c r="BJ173" s="128"/>
      <c r="BK173" s="128"/>
      <c r="BL173" s="128"/>
      <c r="BM173" s="128"/>
      <c r="BN173" s="128"/>
      <c r="BO173" s="128"/>
      <c r="BP173" s="128"/>
      <c r="BQ173" s="128"/>
    </row>
    <row r="174" spans="1:69" ht="14.25" customHeight="1">
      <c r="A174" s="128"/>
      <c r="B174" s="128"/>
      <c r="C174" s="128"/>
      <c r="D174" s="128"/>
      <c r="E174" s="128"/>
      <c r="F174" s="128"/>
      <c r="G174" s="128"/>
      <c r="H174" s="128"/>
      <c r="I174" s="128"/>
      <c r="J174" s="128"/>
      <c r="K174" s="128"/>
      <c r="L174" s="128"/>
      <c r="M174" s="128"/>
      <c r="N174" s="128"/>
      <c r="O174" s="128"/>
      <c r="P174" s="128"/>
      <c r="Q174" s="128"/>
      <c r="R174" s="128"/>
      <c r="S174" s="128"/>
      <c r="T174" s="128"/>
      <c r="U174" s="128"/>
      <c r="V174" s="128"/>
      <c r="W174" s="128"/>
      <c r="X174" s="128"/>
      <c r="Y174" s="128"/>
      <c r="Z174" s="128"/>
      <c r="AA174" s="128"/>
      <c r="AB174" s="128"/>
      <c r="AC174" s="128"/>
      <c r="AD174" s="128"/>
      <c r="AE174" s="128"/>
      <c r="AF174" s="128"/>
      <c r="AG174" s="128"/>
      <c r="AH174" s="128"/>
      <c r="AI174" s="128"/>
      <c r="AJ174" s="128"/>
      <c r="AK174" s="128"/>
      <c r="AL174" s="128"/>
      <c r="AM174" s="128"/>
      <c r="AN174" s="128"/>
      <c r="AO174" s="128"/>
      <c r="AP174" s="128"/>
      <c r="AQ174" s="128"/>
      <c r="AR174" s="128"/>
      <c r="AS174" s="128"/>
      <c r="AT174" s="128"/>
      <c r="AU174" s="128"/>
      <c r="AV174" s="128"/>
      <c r="AW174" s="128"/>
      <c r="AX174" s="128"/>
      <c r="AY174" s="128"/>
      <c r="AZ174" s="128"/>
      <c r="BA174" s="128"/>
      <c r="BB174" s="128"/>
      <c r="BC174" s="128"/>
      <c r="BD174" s="128"/>
      <c r="BE174" s="128"/>
      <c r="BF174" s="128"/>
      <c r="BG174" s="128"/>
      <c r="BH174" s="128"/>
      <c r="BI174" s="128"/>
      <c r="BJ174" s="128"/>
      <c r="BK174" s="128"/>
      <c r="BL174" s="128"/>
      <c r="BM174" s="128"/>
      <c r="BN174" s="128"/>
      <c r="BO174" s="128"/>
      <c r="BP174" s="128"/>
      <c r="BQ174" s="128"/>
    </row>
    <row r="175" spans="1:69" ht="14.25" customHeight="1">
      <c r="A175" s="128"/>
      <c r="B175" s="128"/>
      <c r="C175" s="128"/>
      <c r="D175" s="128"/>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28"/>
      <c r="AA175" s="128"/>
      <c r="AB175" s="128"/>
      <c r="AC175" s="128"/>
      <c r="AD175" s="128"/>
      <c r="AE175" s="128"/>
      <c r="AF175" s="128"/>
      <c r="AG175" s="128"/>
      <c r="AH175" s="128"/>
      <c r="AI175" s="128"/>
      <c r="AJ175" s="128"/>
      <c r="AK175" s="128"/>
      <c r="AL175" s="128"/>
      <c r="AM175" s="128"/>
      <c r="AN175" s="128"/>
      <c r="AO175" s="128"/>
      <c r="AP175" s="128"/>
      <c r="AQ175" s="128"/>
      <c r="AR175" s="128"/>
      <c r="AS175" s="128"/>
      <c r="AT175" s="128"/>
      <c r="AU175" s="128"/>
      <c r="AV175" s="128"/>
      <c r="AW175" s="128"/>
      <c r="AX175" s="128"/>
      <c r="AY175" s="128"/>
      <c r="AZ175" s="128"/>
      <c r="BA175" s="128"/>
      <c r="BB175" s="128"/>
      <c r="BC175" s="128"/>
      <c r="BD175" s="128"/>
      <c r="BE175" s="128"/>
      <c r="BF175" s="128"/>
      <c r="BG175" s="128"/>
      <c r="BH175" s="128"/>
      <c r="BI175" s="128"/>
      <c r="BJ175" s="128"/>
      <c r="BK175" s="128"/>
      <c r="BL175" s="128"/>
      <c r="BM175" s="128"/>
      <c r="BN175" s="128"/>
      <c r="BO175" s="128"/>
      <c r="BP175" s="128"/>
      <c r="BQ175" s="128"/>
    </row>
    <row r="176" spans="1:69" ht="14.25" customHeight="1">
      <c r="A176" s="128"/>
      <c r="B176" s="128"/>
      <c r="C176" s="128"/>
      <c r="D176" s="128"/>
      <c r="E176" s="128"/>
      <c r="F176" s="128"/>
      <c r="G176" s="128"/>
      <c r="H176" s="128"/>
      <c r="I176" s="128"/>
      <c r="J176" s="128"/>
      <c r="K176" s="128"/>
      <c r="L176" s="128"/>
      <c r="M176" s="128"/>
      <c r="N176" s="128"/>
      <c r="O176" s="128"/>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row>
    <row r="177" spans="1:69" ht="14.25" customHeight="1">
      <c r="A177" s="128"/>
      <c r="B177" s="128"/>
      <c r="C177" s="12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c r="AA177" s="128"/>
      <c r="AB177" s="128"/>
      <c r="AC177" s="128"/>
      <c r="AD177" s="128"/>
      <c r="AE177" s="128"/>
      <c r="AF177" s="128"/>
      <c r="AG177" s="128"/>
      <c r="AH177" s="128"/>
      <c r="AI177" s="128"/>
      <c r="AJ177" s="128"/>
      <c r="AK177" s="128"/>
      <c r="AL177" s="128"/>
      <c r="AM177" s="128"/>
      <c r="AN177" s="128"/>
      <c r="AO177" s="128"/>
      <c r="AP177" s="128"/>
      <c r="AQ177" s="128"/>
      <c r="AR177" s="128"/>
      <c r="AS177" s="128"/>
      <c r="AT177" s="128"/>
      <c r="AU177" s="128"/>
      <c r="AV177" s="128"/>
      <c r="AW177" s="128"/>
      <c r="AX177" s="128"/>
      <c r="AY177" s="128"/>
      <c r="AZ177" s="128"/>
      <c r="BA177" s="128"/>
      <c r="BB177" s="128"/>
      <c r="BC177" s="128"/>
      <c r="BD177" s="128"/>
      <c r="BE177" s="128"/>
      <c r="BF177" s="128"/>
      <c r="BG177" s="128"/>
      <c r="BH177" s="128"/>
      <c r="BI177" s="128"/>
      <c r="BJ177" s="128"/>
      <c r="BK177" s="128"/>
      <c r="BL177" s="128"/>
      <c r="BM177" s="128"/>
      <c r="BN177" s="128"/>
      <c r="BO177" s="128"/>
      <c r="BP177" s="128"/>
      <c r="BQ177" s="128"/>
    </row>
    <row r="178" spans="1:69" ht="14.25" customHeight="1">
      <c r="A178" s="128"/>
      <c r="B178" s="128"/>
      <c r="C178" s="128"/>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c r="AA178" s="128"/>
      <c r="AB178" s="128"/>
      <c r="AC178" s="128"/>
      <c r="AD178" s="128"/>
      <c r="AE178" s="128"/>
      <c r="AF178" s="128"/>
      <c r="AG178" s="128"/>
      <c r="AH178" s="128"/>
      <c r="AI178" s="128"/>
      <c r="AJ178" s="128"/>
      <c r="AK178" s="128"/>
      <c r="AL178" s="128"/>
      <c r="AM178" s="128"/>
      <c r="AN178" s="128"/>
      <c r="AO178" s="128"/>
      <c r="AP178" s="128"/>
      <c r="AQ178" s="128"/>
      <c r="AR178" s="128"/>
      <c r="AS178" s="128"/>
      <c r="AT178" s="128"/>
      <c r="AU178" s="128"/>
      <c r="AV178" s="128"/>
      <c r="AW178" s="128"/>
      <c r="AX178" s="128"/>
      <c r="AY178" s="128"/>
      <c r="AZ178" s="128"/>
      <c r="BA178" s="128"/>
      <c r="BB178" s="128"/>
      <c r="BC178" s="128"/>
      <c r="BD178" s="128"/>
      <c r="BE178" s="128"/>
      <c r="BF178" s="128"/>
      <c r="BG178" s="128"/>
      <c r="BH178" s="128"/>
      <c r="BI178" s="128"/>
      <c r="BJ178" s="128"/>
      <c r="BK178" s="128"/>
      <c r="BL178" s="128"/>
      <c r="BM178" s="128"/>
      <c r="BN178" s="128"/>
      <c r="BO178" s="128"/>
      <c r="BP178" s="128"/>
      <c r="BQ178" s="128"/>
    </row>
    <row r="179" spans="1:69" ht="14.25" customHeight="1">
      <c r="A179" s="128"/>
      <c r="B179" s="128"/>
      <c r="C179" s="128"/>
      <c r="D179" s="128"/>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28"/>
      <c r="AA179" s="128"/>
      <c r="AB179" s="128"/>
      <c r="AC179" s="128"/>
      <c r="AD179" s="128"/>
      <c r="AE179" s="128"/>
      <c r="AF179" s="128"/>
      <c r="AG179" s="128"/>
      <c r="AH179" s="128"/>
      <c r="AI179" s="128"/>
      <c r="AJ179" s="128"/>
      <c r="AK179" s="128"/>
      <c r="AL179" s="128"/>
      <c r="AM179" s="128"/>
      <c r="AN179" s="128"/>
      <c r="AO179" s="128"/>
      <c r="AP179" s="128"/>
      <c r="AQ179" s="128"/>
      <c r="AR179" s="128"/>
      <c r="AS179" s="128"/>
      <c r="AT179" s="128"/>
      <c r="AU179" s="128"/>
      <c r="AV179" s="128"/>
      <c r="AW179" s="128"/>
      <c r="AX179" s="128"/>
      <c r="AY179" s="128"/>
      <c r="AZ179" s="128"/>
      <c r="BA179" s="128"/>
      <c r="BB179" s="128"/>
      <c r="BC179" s="128"/>
      <c r="BD179" s="128"/>
      <c r="BE179" s="128"/>
      <c r="BF179" s="128"/>
      <c r="BG179" s="128"/>
      <c r="BH179" s="128"/>
      <c r="BI179" s="128"/>
      <c r="BJ179" s="128"/>
      <c r="BK179" s="128"/>
      <c r="BL179" s="128"/>
      <c r="BM179" s="128"/>
      <c r="BN179" s="128"/>
      <c r="BO179" s="128"/>
      <c r="BP179" s="128"/>
      <c r="BQ179" s="128"/>
    </row>
    <row r="180" spans="1:69" ht="14.25" customHeight="1">
      <c r="A180" s="128"/>
      <c r="B180" s="128"/>
      <c r="C180" s="128"/>
      <c r="D180" s="128"/>
      <c r="E180" s="128"/>
      <c r="F180" s="128"/>
      <c r="G180" s="128"/>
      <c r="H180" s="128"/>
      <c r="I180" s="128"/>
      <c r="J180" s="128"/>
      <c r="K180" s="128"/>
      <c r="L180" s="128"/>
      <c r="M180" s="128"/>
      <c r="N180" s="128"/>
      <c r="O180" s="128"/>
      <c r="P180" s="128"/>
      <c r="Q180" s="128"/>
      <c r="R180" s="128"/>
      <c r="S180" s="128"/>
      <c r="T180" s="128"/>
      <c r="U180" s="128"/>
      <c r="V180" s="128"/>
      <c r="W180" s="128"/>
      <c r="X180" s="128"/>
      <c r="Y180" s="128"/>
      <c r="Z180" s="128"/>
      <c r="AA180" s="128"/>
      <c r="AB180" s="128"/>
      <c r="AC180" s="128"/>
      <c r="AD180" s="128"/>
      <c r="AE180" s="128"/>
      <c r="AF180" s="128"/>
      <c r="AG180" s="128"/>
      <c r="AH180" s="128"/>
      <c r="AI180" s="128"/>
      <c r="AJ180" s="128"/>
      <c r="AK180" s="128"/>
      <c r="AL180" s="128"/>
      <c r="AM180" s="128"/>
      <c r="AN180" s="128"/>
      <c r="AO180" s="128"/>
      <c r="AP180" s="128"/>
      <c r="AQ180" s="128"/>
      <c r="AR180" s="128"/>
      <c r="AS180" s="128"/>
      <c r="AT180" s="128"/>
      <c r="AU180" s="128"/>
      <c r="AV180" s="128"/>
      <c r="AW180" s="128"/>
      <c r="AX180" s="128"/>
      <c r="AY180" s="128"/>
      <c r="AZ180" s="128"/>
      <c r="BA180" s="128"/>
      <c r="BB180" s="128"/>
      <c r="BC180" s="128"/>
      <c r="BD180" s="128"/>
      <c r="BE180" s="128"/>
      <c r="BF180" s="128"/>
      <c r="BG180" s="128"/>
      <c r="BH180" s="128"/>
      <c r="BI180" s="128"/>
      <c r="BJ180" s="128"/>
      <c r="BK180" s="128"/>
      <c r="BL180" s="128"/>
      <c r="BM180" s="128"/>
      <c r="BN180" s="128"/>
      <c r="BO180" s="128"/>
      <c r="BP180" s="128"/>
      <c r="BQ180" s="128"/>
    </row>
    <row r="181" spans="1:69" ht="14.25" customHeight="1">
      <c r="A181" s="128"/>
      <c r="B181" s="128"/>
      <c r="C181" s="128"/>
      <c r="D181" s="128"/>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28"/>
      <c r="AA181" s="128"/>
      <c r="AB181" s="128"/>
      <c r="AC181" s="128"/>
      <c r="AD181" s="128"/>
      <c r="AE181" s="128"/>
      <c r="AF181" s="128"/>
      <c r="AG181" s="128"/>
      <c r="AH181" s="128"/>
      <c r="AI181" s="128"/>
      <c r="AJ181" s="128"/>
      <c r="AK181" s="128"/>
      <c r="AL181" s="128"/>
      <c r="AM181" s="128"/>
      <c r="AN181" s="128"/>
      <c r="AO181" s="128"/>
      <c r="AP181" s="128"/>
      <c r="AQ181" s="128"/>
      <c r="AR181" s="128"/>
      <c r="AS181" s="128"/>
      <c r="AT181" s="128"/>
      <c r="AU181" s="128"/>
      <c r="AV181" s="128"/>
      <c r="AW181" s="128"/>
      <c r="AX181" s="128"/>
      <c r="AY181" s="128"/>
      <c r="AZ181" s="128"/>
      <c r="BA181" s="128"/>
      <c r="BB181" s="128"/>
      <c r="BC181" s="128"/>
      <c r="BD181" s="128"/>
      <c r="BE181" s="128"/>
      <c r="BF181" s="128"/>
      <c r="BG181" s="128"/>
      <c r="BH181" s="128"/>
      <c r="BI181" s="128"/>
      <c r="BJ181" s="128"/>
      <c r="BK181" s="128"/>
      <c r="BL181" s="128"/>
      <c r="BM181" s="128"/>
      <c r="BN181" s="128"/>
      <c r="BO181" s="128"/>
      <c r="BP181" s="128"/>
      <c r="BQ181" s="128"/>
    </row>
    <row r="182" spans="1:69" ht="14.25" customHeight="1">
      <c r="A182" s="128"/>
      <c r="B182" s="128"/>
      <c r="C182" s="128"/>
      <c r="D182" s="128"/>
      <c r="E182" s="128"/>
      <c r="F182" s="128"/>
      <c r="G182" s="128"/>
      <c r="H182" s="128"/>
      <c r="I182" s="128"/>
      <c r="J182" s="128"/>
      <c r="K182" s="128"/>
      <c r="L182" s="128"/>
      <c r="M182" s="128"/>
      <c r="N182" s="128"/>
      <c r="O182" s="128"/>
      <c r="P182" s="128"/>
      <c r="Q182" s="128"/>
      <c r="R182" s="128"/>
      <c r="S182" s="128"/>
      <c r="T182" s="128"/>
      <c r="U182" s="128"/>
      <c r="V182" s="128"/>
      <c r="W182" s="128"/>
      <c r="X182" s="128"/>
      <c r="Y182" s="128"/>
      <c r="Z182" s="128"/>
      <c r="AA182" s="128"/>
      <c r="AB182" s="128"/>
      <c r="AC182" s="128"/>
      <c r="AD182" s="128"/>
      <c r="AE182" s="128"/>
      <c r="AF182" s="128"/>
      <c r="AG182" s="128"/>
      <c r="AH182" s="128"/>
      <c r="AI182" s="128"/>
      <c r="AJ182" s="128"/>
      <c r="AK182" s="128"/>
      <c r="AL182" s="128"/>
      <c r="AM182" s="128"/>
      <c r="AN182" s="128"/>
      <c r="AO182" s="128"/>
      <c r="AP182" s="128"/>
      <c r="AQ182" s="128"/>
      <c r="AR182" s="128"/>
      <c r="AS182" s="128"/>
      <c r="AT182" s="128"/>
      <c r="AU182" s="128"/>
      <c r="AV182" s="128"/>
      <c r="AW182" s="128"/>
      <c r="AX182" s="128"/>
      <c r="AY182" s="128"/>
      <c r="AZ182" s="128"/>
      <c r="BA182" s="128"/>
      <c r="BB182" s="128"/>
      <c r="BC182" s="128"/>
      <c r="BD182" s="128"/>
      <c r="BE182" s="128"/>
      <c r="BF182" s="128"/>
      <c r="BG182" s="128"/>
      <c r="BH182" s="128"/>
      <c r="BI182" s="128"/>
      <c r="BJ182" s="128"/>
      <c r="BK182" s="128"/>
      <c r="BL182" s="128"/>
      <c r="BM182" s="128"/>
      <c r="BN182" s="128"/>
      <c r="BO182" s="128"/>
      <c r="BP182" s="128"/>
      <c r="BQ182" s="128"/>
    </row>
    <row r="183" spans="1:69" ht="14.25" customHeight="1">
      <c r="A183" s="128"/>
      <c r="B183" s="128"/>
      <c r="C183" s="128"/>
      <c r="D183" s="128"/>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28"/>
      <c r="AA183" s="128"/>
      <c r="AB183" s="128"/>
      <c r="AC183" s="128"/>
      <c r="AD183" s="128"/>
      <c r="AE183" s="128"/>
      <c r="AF183" s="128"/>
      <c r="AG183" s="128"/>
      <c r="AH183" s="128"/>
      <c r="AI183" s="128"/>
      <c r="AJ183" s="128"/>
      <c r="AK183" s="128"/>
      <c r="AL183" s="128"/>
      <c r="AM183" s="128"/>
      <c r="AN183" s="128"/>
      <c r="AO183" s="128"/>
      <c r="AP183" s="128"/>
      <c r="AQ183" s="128"/>
      <c r="AR183" s="128"/>
      <c r="AS183" s="128"/>
      <c r="AT183" s="128"/>
      <c r="AU183" s="128"/>
      <c r="AV183" s="128"/>
      <c r="AW183" s="128"/>
      <c r="AX183" s="128"/>
      <c r="AY183" s="128"/>
      <c r="AZ183" s="128"/>
      <c r="BA183" s="128"/>
      <c r="BB183" s="128"/>
      <c r="BC183" s="128"/>
      <c r="BD183" s="128"/>
      <c r="BE183" s="128"/>
      <c r="BF183" s="128"/>
      <c r="BG183" s="128"/>
      <c r="BH183" s="128"/>
      <c r="BI183" s="128"/>
      <c r="BJ183" s="128"/>
      <c r="BK183" s="128"/>
      <c r="BL183" s="128"/>
      <c r="BM183" s="128"/>
      <c r="BN183" s="128"/>
      <c r="BO183" s="128"/>
      <c r="BP183" s="128"/>
      <c r="BQ183" s="128"/>
    </row>
    <row r="184" spans="1:69" ht="14.25" customHeight="1">
      <c r="A184" s="128"/>
      <c r="B184" s="128"/>
      <c r="C184" s="128"/>
      <c r="D184" s="128"/>
      <c r="E184" s="128"/>
      <c r="F184" s="128"/>
      <c r="G184" s="128"/>
      <c r="H184" s="128"/>
      <c r="I184" s="128"/>
      <c r="J184" s="128"/>
      <c r="K184" s="128"/>
      <c r="L184" s="128"/>
      <c r="M184" s="128"/>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row>
    <row r="185" spans="1:69" ht="14.25" customHeight="1">
      <c r="A185" s="128"/>
      <c r="B185" s="128"/>
      <c r="C185" s="128"/>
      <c r="D185" s="128"/>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28"/>
      <c r="AA185" s="128"/>
      <c r="AB185" s="128"/>
      <c r="AC185" s="128"/>
      <c r="AD185" s="128"/>
      <c r="AE185" s="128"/>
      <c r="AF185" s="128"/>
      <c r="AG185" s="128"/>
      <c r="AH185" s="128"/>
      <c r="AI185" s="128"/>
      <c r="AJ185" s="128"/>
      <c r="AK185" s="128"/>
      <c r="AL185" s="128"/>
      <c r="AM185" s="128"/>
      <c r="AN185" s="128"/>
      <c r="AO185" s="128"/>
      <c r="AP185" s="128"/>
      <c r="AQ185" s="128"/>
      <c r="AR185" s="128"/>
      <c r="AS185" s="128"/>
      <c r="AT185" s="128"/>
      <c r="AU185" s="128"/>
      <c r="AV185" s="128"/>
      <c r="AW185" s="128"/>
      <c r="AX185" s="128"/>
      <c r="AY185" s="128"/>
      <c r="AZ185" s="128"/>
      <c r="BA185" s="128"/>
      <c r="BB185" s="128"/>
      <c r="BC185" s="128"/>
      <c r="BD185" s="128"/>
      <c r="BE185" s="128"/>
      <c r="BF185" s="128"/>
      <c r="BG185" s="128"/>
      <c r="BH185" s="128"/>
      <c r="BI185" s="128"/>
      <c r="BJ185" s="128"/>
      <c r="BK185" s="128"/>
      <c r="BL185" s="128"/>
      <c r="BM185" s="128"/>
      <c r="BN185" s="128"/>
      <c r="BO185" s="128"/>
      <c r="BP185" s="128"/>
      <c r="BQ185" s="128"/>
    </row>
    <row r="186" spans="1:69" ht="14.25" customHeight="1">
      <c r="A186" s="128"/>
      <c r="B186" s="128"/>
      <c r="C186" s="128"/>
      <c r="D186" s="128"/>
      <c r="E186" s="128"/>
      <c r="F186" s="128"/>
      <c r="G186" s="128"/>
      <c r="H186" s="128"/>
      <c r="I186" s="128"/>
      <c r="J186" s="128"/>
      <c r="K186" s="128"/>
      <c r="L186" s="128"/>
      <c r="M186" s="128"/>
      <c r="N186" s="128"/>
      <c r="O186" s="128"/>
      <c r="P186" s="128"/>
      <c r="Q186" s="128"/>
      <c r="R186" s="128"/>
      <c r="S186" s="128"/>
      <c r="T186" s="128"/>
      <c r="U186" s="128"/>
      <c r="V186" s="128"/>
      <c r="W186" s="128"/>
      <c r="X186" s="128"/>
      <c r="Y186" s="128"/>
      <c r="Z186" s="128"/>
      <c r="AA186" s="128"/>
      <c r="AB186" s="128"/>
      <c r="AC186" s="128"/>
      <c r="AD186" s="128"/>
      <c r="AE186" s="128"/>
      <c r="AF186" s="128"/>
      <c r="AG186" s="128"/>
      <c r="AH186" s="128"/>
      <c r="AI186" s="128"/>
      <c r="AJ186" s="128"/>
      <c r="AK186" s="128"/>
      <c r="AL186" s="128"/>
      <c r="AM186" s="128"/>
      <c r="AN186" s="128"/>
      <c r="AO186" s="128"/>
      <c r="AP186" s="128"/>
      <c r="AQ186" s="128"/>
      <c r="AR186" s="128"/>
      <c r="AS186" s="128"/>
      <c r="AT186" s="128"/>
      <c r="AU186" s="128"/>
      <c r="AV186" s="128"/>
      <c r="AW186" s="128"/>
      <c r="AX186" s="128"/>
      <c r="AY186" s="128"/>
      <c r="AZ186" s="128"/>
      <c r="BA186" s="128"/>
      <c r="BB186" s="128"/>
      <c r="BC186" s="128"/>
      <c r="BD186" s="128"/>
      <c r="BE186" s="128"/>
      <c r="BF186" s="128"/>
      <c r="BG186" s="128"/>
      <c r="BH186" s="128"/>
      <c r="BI186" s="128"/>
      <c r="BJ186" s="128"/>
      <c r="BK186" s="128"/>
      <c r="BL186" s="128"/>
      <c r="BM186" s="128"/>
      <c r="BN186" s="128"/>
      <c r="BO186" s="128"/>
      <c r="BP186" s="128"/>
      <c r="BQ186" s="128"/>
    </row>
    <row r="187" spans="1:69" ht="14.25" customHeight="1">
      <c r="A187" s="128"/>
      <c r="B187" s="128"/>
      <c r="C187" s="128"/>
      <c r="D187" s="128"/>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c r="AA187" s="128"/>
      <c r="AB187" s="128"/>
      <c r="AC187" s="128"/>
      <c r="AD187" s="128"/>
      <c r="AE187" s="128"/>
      <c r="AF187" s="128"/>
      <c r="AG187" s="128"/>
      <c r="AH187" s="128"/>
      <c r="AI187" s="128"/>
      <c r="AJ187" s="128"/>
      <c r="AK187" s="128"/>
      <c r="AL187" s="128"/>
      <c r="AM187" s="128"/>
      <c r="AN187" s="128"/>
      <c r="AO187" s="128"/>
      <c r="AP187" s="128"/>
      <c r="AQ187" s="128"/>
      <c r="AR187" s="128"/>
      <c r="AS187" s="128"/>
      <c r="AT187" s="128"/>
      <c r="AU187" s="128"/>
      <c r="AV187" s="128"/>
      <c r="AW187" s="128"/>
      <c r="AX187" s="128"/>
      <c r="AY187" s="128"/>
      <c r="AZ187" s="128"/>
      <c r="BA187" s="128"/>
      <c r="BB187" s="128"/>
      <c r="BC187" s="128"/>
      <c r="BD187" s="128"/>
      <c r="BE187" s="128"/>
      <c r="BF187" s="128"/>
      <c r="BG187" s="128"/>
      <c r="BH187" s="128"/>
      <c r="BI187" s="128"/>
      <c r="BJ187" s="128"/>
      <c r="BK187" s="128"/>
      <c r="BL187" s="128"/>
      <c r="BM187" s="128"/>
      <c r="BN187" s="128"/>
      <c r="BO187" s="128"/>
      <c r="BP187" s="128"/>
      <c r="BQ187" s="128"/>
    </row>
    <row r="188" spans="1:69" ht="14.25" customHeight="1">
      <c r="A188" s="128"/>
      <c r="B188" s="128"/>
      <c r="C188" s="128"/>
      <c r="D188" s="128"/>
      <c r="E188" s="128"/>
      <c r="F188" s="128"/>
      <c r="G188" s="128"/>
      <c r="H188" s="128"/>
      <c r="I188" s="128"/>
      <c r="J188" s="128"/>
      <c r="K188" s="128"/>
      <c r="L188" s="128"/>
      <c r="M188" s="128"/>
      <c r="N188" s="128"/>
      <c r="O188" s="128"/>
      <c r="P188" s="128"/>
      <c r="Q188" s="128"/>
      <c r="R188" s="128"/>
      <c r="S188" s="128"/>
      <c r="T188" s="128"/>
      <c r="U188" s="128"/>
      <c r="V188" s="128"/>
      <c r="W188" s="128"/>
      <c r="X188" s="128"/>
      <c r="Y188" s="128"/>
      <c r="Z188" s="128"/>
      <c r="AA188" s="128"/>
      <c r="AB188" s="128"/>
      <c r="AC188" s="128"/>
      <c r="AD188" s="128"/>
      <c r="AE188" s="128"/>
      <c r="AF188" s="128"/>
      <c r="AG188" s="128"/>
      <c r="AH188" s="128"/>
      <c r="AI188" s="128"/>
      <c r="AJ188" s="128"/>
      <c r="AK188" s="128"/>
      <c r="AL188" s="128"/>
      <c r="AM188" s="128"/>
      <c r="AN188" s="128"/>
      <c r="AO188" s="128"/>
      <c r="AP188" s="128"/>
      <c r="AQ188" s="128"/>
      <c r="AR188" s="128"/>
      <c r="AS188" s="128"/>
      <c r="AT188" s="128"/>
      <c r="AU188" s="128"/>
      <c r="AV188" s="128"/>
      <c r="AW188" s="128"/>
      <c r="AX188" s="128"/>
      <c r="AY188" s="128"/>
      <c r="AZ188" s="128"/>
      <c r="BA188" s="128"/>
      <c r="BB188" s="128"/>
      <c r="BC188" s="128"/>
      <c r="BD188" s="128"/>
      <c r="BE188" s="128"/>
      <c r="BF188" s="128"/>
      <c r="BG188" s="128"/>
      <c r="BH188" s="128"/>
      <c r="BI188" s="128"/>
      <c r="BJ188" s="128"/>
      <c r="BK188" s="128"/>
      <c r="BL188" s="128"/>
      <c r="BM188" s="128"/>
      <c r="BN188" s="128"/>
      <c r="BO188" s="128"/>
      <c r="BP188" s="128"/>
      <c r="BQ188" s="128"/>
    </row>
    <row r="189" spans="1:69" ht="14.25" customHeight="1">
      <c r="A189" s="128"/>
      <c r="B189" s="128"/>
      <c r="C189" s="128"/>
      <c r="D189" s="128"/>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28"/>
      <c r="AA189" s="128"/>
      <c r="AB189" s="128"/>
      <c r="AC189" s="128"/>
      <c r="AD189" s="128"/>
      <c r="AE189" s="128"/>
      <c r="AF189" s="128"/>
      <c r="AG189" s="128"/>
      <c r="AH189" s="128"/>
      <c r="AI189" s="128"/>
      <c r="AJ189" s="128"/>
      <c r="AK189" s="128"/>
      <c r="AL189" s="128"/>
      <c r="AM189" s="128"/>
      <c r="AN189" s="128"/>
      <c r="AO189" s="128"/>
      <c r="AP189" s="128"/>
      <c r="AQ189" s="128"/>
      <c r="AR189" s="128"/>
      <c r="AS189" s="128"/>
      <c r="AT189" s="128"/>
      <c r="AU189" s="128"/>
      <c r="AV189" s="128"/>
      <c r="AW189" s="128"/>
      <c r="AX189" s="128"/>
      <c r="AY189" s="128"/>
      <c r="AZ189" s="128"/>
      <c r="BA189" s="128"/>
      <c r="BB189" s="128"/>
      <c r="BC189" s="128"/>
      <c r="BD189" s="128"/>
      <c r="BE189" s="128"/>
      <c r="BF189" s="128"/>
      <c r="BG189" s="128"/>
      <c r="BH189" s="128"/>
      <c r="BI189" s="128"/>
      <c r="BJ189" s="128"/>
      <c r="BK189" s="128"/>
      <c r="BL189" s="128"/>
      <c r="BM189" s="128"/>
      <c r="BN189" s="128"/>
      <c r="BO189" s="128"/>
      <c r="BP189" s="128"/>
      <c r="BQ189" s="128"/>
    </row>
    <row r="190" spans="1:69" ht="14.25" customHeight="1">
      <c r="A190" s="128"/>
      <c r="B190" s="128"/>
      <c r="C190" s="128"/>
      <c r="D190" s="128"/>
      <c r="E190" s="128"/>
      <c r="F190" s="128"/>
      <c r="G190" s="128"/>
      <c r="H190" s="128"/>
      <c r="I190" s="128"/>
      <c r="J190" s="128"/>
      <c r="K190" s="128"/>
      <c r="L190" s="128"/>
      <c r="M190" s="128"/>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row>
    <row r="191" spans="1:69" ht="14.25" customHeight="1">
      <c r="A191" s="128"/>
      <c r="B191" s="128"/>
      <c r="C191" s="128"/>
      <c r="D191" s="128"/>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28"/>
      <c r="AA191" s="128"/>
      <c r="AB191" s="128"/>
      <c r="AC191" s="128"/>
      <c r="AD191" s="128"/>
      <c r="AE191" s="128"/>
      <c r="AF191" s="128"/>
      <c r="AG191" s="128"/>
      <c r="AH191" s="128"/>
      <c r="AI191" s="128"/>
      <c r="AJ191" s="128"/>
      <c r="AK191" s="128"/>
      <c r="AL191" s="128"/>
      <c r="AM191" s="128"/>
      <c r="AN191" s="128"/>
      <c r="AO191" s="128"/>
      <c r="AP191" s="128"/>
      <c r="AQ191" s="128"/>
      <c r="AR191" s="128"/>
      <c r="AS191" s="128"/>
      <c r="AT191" s="128"/>
      <c r="AU191" s="128"/>
      <c r="AV191" s="128"/>
      <c r="AW191" s="128"/>
      <c r="AX191" s="128"/>
      <c r="AY191" s="128"/>
      <c r="AZ191" s="128"/>
      <c r="BA191" s="128"/>
      <c r="BB191" s="128"/>
      <c r="BC191" s="128"/>
      <c r="BD191" s="128"/>
      <c r="BE191" s="128"/>
      <c r="BF191" s="128"/>
      <c r="BG191" s="128"/>
      <c r="BH191" s="128"/>
      <c r="BI191" s="128"/>
      <c r="BJ191" s="128"/>
      <c r="BK191" s="128"/>
      <c r="BL191" s="128"/>
      <c r="BM191" s="128"/>
      <c r="BN191" s="128"/>
      <c r="BO191" s="128"/>
      <c r="BP191" s="128"/>
      <c r="BQ191" s="128"/>
    </row>
    <row r="192" spans="1:69" ht="14.25" customHeight="1">
      <c r="A192" s="128"/>
      <c r="B192" s="128"/>
      <c r="C192" s="128"/>
      <c r="D192" s="128"/>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c r="AA192" s="128"/>
      <c r="AB192" s="128"/>
      <c r="AC192" s="128"/>
      <c r="AD192" s="128"/>
      <c r="AE192" s="128"/>
      <c r="AF192" s="128"/>
      <c r="AG192" s="128"/>
      <c r="AH192" s="128"/>
      <c r="AI192" s="128"/>
      <c r="AJ192" s="128"/>
      <c r="AK192" s="128"/>
      <c r="AL192" s="128"/>
      <c r="AM192" s="128"/>
      <c r="AN192" s="128"/>
      <c r="AO192" s="128"/>
      <c r="AP192" s="128"/>
      <c r="AQ192" s="128"/>
      <c r="AR192" s="128"/>
      <c r="AS192" s="128"/>
      <c r="AT192" s="128"/>
      <c r="AU192" s="128"/>
      <c r="AV192" s="128"/>
      <c r="AW192" s="128"/>
      <c r="AX192" s="128"/>
      <c r="AY192" s="128"/>
      <c r="AZ192" s="128"/>
      <c r="BA192" s="128"/>
      <c r="BB192" s="128"/>
      <c r="BC192" s="128"/>
      <c r="BD192" s="128"/>
      <c r="BE192" s="128"/>
      <c r="BF192" s="128"/>
      <c r="BG192" s="128"/>
      <c r="BH192" s="128"/>
      <c r="BI192" s="128"/>
      <c r="BJ192" s="128"/>
      <c r="BK192" s="128"/>
      <c r="BL192" s="128"/>
      <c r="BM192" s="128"/>
      <c r="BN192" s="128"/>
      <c r="BO192" s="128"/>
      <c r="BP192" s="128"/>
      <c r="BQ192" s="128"/>
    </row>
    <row r="193" spans="1:69" ht="14.25" customHeight="1">
      <c r="A193" s="128"/>
      <c r="B193" s="128"/>
      <c r="C193" s="128"/>
      <c r="D193" s="128"/>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28"/>
      <c r="AA193" s="128"/>
      <c r="AB193" s="128"/>
      <c r="AC193" s="128"/>
      <c r="AD193" s="128"/>
      <c r="AE193" s="128"/>
      <c r="AF193" s="128"/>
      <c r="AG193" s="128"/>
      <c r="AH193" s="128"/>
      <c r="AI193" s="128"/>
      <c r="AJ193" s="128"/>
      <c r="AK193" s="128"/>
      <c r="AL193" s="128"/>
      <c r="AM193" s="128"/>
      <c r="AN193" s="128"/>
      <c r="AO193" s="128"/>
      <c r="AP193" s="128"/>
      <c r="AQ193" s="128"/>
      <c r="AR193" s="128"/>
      <c r="AS193" s="128"/>
      <c r="AT193" s="128"/>
      <c r="AU193" s="128"/>
      <c r="AV193" s="128"/>
      <c r="AW193" s="128"/>
      <c r="AX193" s="128"/>
      <c r="AY193" s="128"/>
      <c r="AZ193" s="128"/>
      <c r="BA193" s="128"/>
      <c r="BB193" s="128"/>
      <c r="BC193" s="128"/>
      <c r="BD193" s="128"/>
      <c r="BE193" s="128"/>
      <c r="BF193" s="128"/>
      <c r="BG193" s="128"/>
      <c r="BH193" s="128"/>
      <c r="BI193" s="128"/>
      <c r="BJ193" s="128"/>
      <c r="BK193" s="128"/>
      <c r="BL193" s="128"/>
      <c r="BM193" s="128"/>
      <c r="BN193" s="128"/>
      <c r="BO193" s="128"/>
      <c r="BP193" s="128"/>
      <c r="BQ193" s="128"/>
    </row>
    <row r="194" spans="1:69" ht="14.25" customHeight="1">
      <c r="A194" s="128"/>
      <c r="B194" s="128"/>
      <c r="C194" s="128"/>
      <c r="D194" s="128"/>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c r="AA194" s="128"/>
      <c r="AB194" s="128"/>
      <c r="AC194" s="128"/>
      <c r="AD194" s="128"/>
      <c r="AE194" s="128"/>
      <c r="AF194" s="128"/>
      <c r="AG194" s="128"/>
      <c r="AH194" s="128"/>
      <c r="AI194" s="128"/>
      <c r="AJ194" s="128"/>
      <c r="AK194" s="128"/>
      <c r="AL194" s="128"/>
      <c r="AM194" s="128"/>
      <c r="AN194" s="128"/>
      <c r="AO194" s="128"/>
      <c r="AP194" s="128"/>
      <c r="AQ194" s="128"/>
      <c r="AR194" s="128"/>
      <c r="AS194" s="128"/>
      <c r="AT194" s="128"/>
      <c r="AU194" s="128"/>
      <c r="AV194" s="128"/>
      <c r="AW194" s="128"/>
      <c r="AX194" s="128"/>
      <c r="AY194" s="128"/>
      <c r="AZ194" s="128"/>
      <c r="BA194" s="128"/>
      <c r="BB194" s="128"/>
      <c r="BC194" s="128"/>
      <c r="BD194" s="128"/>
      <c r="BE194" s="128"/>
      <c r="BF194" s="128"/>
      <c r="BG194" s="128"/>
      <c r="BH194" s="128"/>
      <c r="BI194" s="128"/>
      <c r="BJ194" s="128"/>
      <c r="BK194" s="128"/>
      <c r="BL194" s="128"/>
      <c r="BM194" s="128"/>
      <c r="BN194" s="128"/>
      <c r="BO194" s="128"/>
      <c r="BP194" s="128"/>
      <c r="BQ194" s="128"/>
    </row>
    <row r="195" spans="1:69" ht="14.25" customHeight="1">
      <c r="A195" s="128"/>
      <c r="B195" s="128"/>
      <c r="C195" s="128"/>
      <c r="D195" s="128"/>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28"/>
      <c r="AA195" s="128"/>
      <c r="AB195" s="128"/>
      <c r="AC195" s="128"/>
      <c r="AD195" s="128"/>
      <c r="AE195" s="128"/>
      <c r="AF195" s="128"/>
      <c r="AG195" s="128"/>
      <c r="AH195" s="128"/>
      <c r="AI195" s="128"/>
      <c r="AJ195" s="128"/>
      <c r="AK195" s="128"/>
      <c r="AL195" s="128"/>
      <c r="AM195" s="128"/>
      <c r="AN195" s="128"/>
      <c r="AO195" s="128"/>
      <c r="AP195" s="128"/>
      <c r="AQ195" s="128"/>
      <c r="AR195" s="128"/>
      <c r="AS195" s="128"/>
      <c r="AT195" s="128"/>
      <c r="AU195" s="128"/>
      <c r="AV195" s="128"/>
      <c r="AW195" s="128"/>
      <c r="AX195" s="128"/>
      <c r="AY195" s="128"/>
      <c r="AZ195" s="128"/>
      <c r="BA195" s="128"/>
      <c r="BB195" s="128"/>
      <c r="BC195" s="128"/>
      <c r="BD195" s="128"/>
      <c r="BE195" s="128"/>
      <c r="BF195" s="128"/>
      <c r="BG195" s="128"/>
      <c r="BH195" s="128"/>
      <c r="BI195" s="128"/>
      <c r="BJ195" s="128"/>
      <c r="BK195" s="128"/>
      <c r="BL195" s="128"/>
      <c r="BM195" s="128"/>
      <c r="BN195" s="128"/>
      <c r="BO195" s="128"/>
      <c r="BP195" s="128"/>
      <c r="BQ195" s="128"/>
    </row>
    <row r="196" spans="1:69" ht="14.25" customHeight="1">
      <c r="A196" s="128"/>
      <c r="B196" s="128"/>
      <c r="C196" s="128"/>
      <c r="D196" s="128"/>
      <c r="E196" s="128"/>
      <c r="F196" s="128"/>
      <c r="G196" s="128"/>
      <c r="H196" s="128"/>
      <c r="I196" s="128"/>
      <c r="J196" s="128"/>
      <c r="K196" s="128"/>
      <c r="L196" s="128"/>
      <c r="M196" s="128"/>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row>
    <row r="197" spans="1:69" ht="14.25" customHeight="1">
      <c r="A197" s="128"/>
      <c r="B197" s="128"/>
      <c r="C197" s="128"/>
      <c r="D197" s="128"/>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28"/>
      <c r="AA197" s="128"/>
      <c r="AB197" s="128"/>
      <c r="AC197" s="128"/>
      <c r="AD197" s="128"/>
      <c r="AE197" s="128"/>
      <c r="AF197" s="128"/>
      <c r="AG197" s="128"/>
      <c r="AH197" s="128"/>
      <c r="AI197" s="128"/>
      <c r="AJ197" s="128"/>
      <c r="AK197" s="128"/>
      <c r="AL197" s="128"/>
      <c r="AM197" s="128"/>
      <c r="AN197" s="128"/>
      <c r="AO197" s="128"/>
      <c r="AP197" s="128"/>
      <c r="AQ197" s="128"/>
      <c r="AR197" s="128"/>
      <c r="AS197" s="128"/>
      <c r="AT197" s="128"/>
      <c r="AU197" s="128"/>
      <c r="AV197" s="128"/>
      <c r="AW197" s="128"/>
      <c r="AX197" s="128"/>
      <c r="AY197" s="128"/>
      <c r="AZ197" s="128"/>
      <c r="BA197" s="128"/>
      <c r="BB197" s="128"/>
      <c r="BC197" s="128"/>
      <c r="BD197" s="128"/>
      <c r="BE197" s="128"/>
      <c r="BF197" s="128"/>
      <c r="BG197" s="128"/>
      <c r="BH197" s="128"/>
      <c r="BI197" s="128"/>
      <c r="BJ197" s="128"/>
      <c r="BK197" s="128"/>
      <c r="BL197" s="128"/>
      <c r="BM197" s="128"/>
      <c r="BN197" s="128"/>
      <c r="BO197" s="128"/>
      <c r="BP197" s="128"/>
      <c r="BQ197" s="128"/>
    </row>
    <row r="198" spans="1:69" ht="14.25" customHeight="1">
      <c r="A198" s="128"/>
      <c r="B198" s="128"/>
      <c r="C198" s="128"/>
      <c r="D198" s="128"/>
      <c r="E198" s="128"/>
      <c r="F198" s="128"/>
      <c r="G198" s="128"/>
      <c r="H198" s="128"/>
      <c r="I198" s="128"/>
      <c r="J198" s="128"/>
      <c r="K198" s="128"/>
      <c r="L198" s="128"/>
      <c r="M198" s="128"/>
      <c r="N198" s="128"/>
      <c r="O198" s="128"/>
      <c r="P198" s="128"/>
      <c r="Q198" s="128"/>
      <c r="R198" s="128"/>
      <c r="S198" s="128"/>
      <c r="T198" s="128"/>
      <c r="U198" s="128"/>
      <c r="V198" s="128"/>
      <c r="W198" s="128"/>
      <c r="X198" s="128"/>
      <c r="Y198" s="128"/>
      <c r="Z198" s="128"/>
      <c r="AA198" s="128"/>
      <c r="AB198" s="128"/>
      <c r="AC198" s="128"/>
      <c r="AD198" s="128"/>
      <c r="AE198" s="128"/>
      <c r="AF198" s="128"/>
      <c r="AG198" s="128"/>
      <c r="AH198" s="128"/>
      <c r="AI198" s="128"/>
      <c r="AJ198" s="128"/>
      <c r="AK198" s="128"/>
      <c r="AL198" s="128"/>
      <c r="AM198" s="128"/>
      <c r="AN198" s="128"/>
      <c r="AO198" s="128"/>
      <c r="AP198" s="128"/>
      <c r="AQ198" s="128"/>
      <c r="AR198" s="128"/>
      <c r="AS198" s="128"/>
      <c r="AT198" s="128"/>
      <c r="AU198" s="128"/>
      <c r="AV198" s="128"/>
      <c r="AW198" s="128"/>
      <c r="AX198" s="128"/>
      <c r="AY198" s="128"/>
      <c r="AZ198" s="128"/>
      <c r="BA198" s="128"/>
      <c r="BB198" s="128"/>
      <c r="BC198" s="128"/>
      <c r="BD198" s="128"/>
      <c r="BE198" s="128"/>
      <c r="BF198" s="128"/>
      <c r="BG198" s="128"/>
      <c r="BH198" s="128"/>
      <c r="BI198" s="128"/>
      <c r="BJ198" s="128"/>
      <c r="BK198" s="128"/>
      <c r="BL198" s="128"/>
      <c r="BM198" s="128"/>
      <c r="BN198" s="128"/>
      <c r="BO198" s="128"/>
      <c r="BP198" s="128"/>
      <c r="BQ198" s="128"/>
    </row>
    <row r="199" spans="1:69" ht="14.25" customHeight="1">
      <c r="A199" s="128"/>
      <c r="B199" s="128"/>
      <c r="C199" s="128"/>
      <c r="D199" s="128"/>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28"/>
      <c r="AA199" s="128"/>
      <c r="AB199" s="128"/>
      <c r="AC199" s="128"/>
      <c r="AD199" s="128"/>
      <c r="AE199" s="128"/>
      <c r="AF199" s="128"/>
      <c r="AG199" s="128"/>
      <c r="AH199" s="128"/>
      <c r="AI199" s="128"/>
      <c r="AJ199" s="128"/>
      <c r="AK199" s="128"/>
      <c r="AL199" s="128"/>
      <c r="AM199" s="128"/>
      <c r="AN199" s="128"/>
      <c r="AO199" s="128"/>
      <c r="AP199" s="128"/>
      <c r="AQ199" s="128"/>
      <c r="AR199" s="128"/>
      <c r="AS199" s="128"/>
      <c r="AT199" s="128"/>
      <c r="AU199" s="128"/>
      <c r="AV199" s="128"/>
      <c r="AW199" s="128"/>
      <c r="AX199" s="128"/>
      <c r="AY199" s="128"/>
      <c r="AZ199" s="128"/>
      <c r="BA199" s="128"/>
      <c r="BB199" s="128"/>
      <c r="BC199" s="128"/>
      <c r="BD199" s="128"/>
      <c r="BE199" s="128"/>
      <c r="BF199" s="128"/>
      <c r="BG199" s="128"/>
      <c r="BH199" s="128"/>
      <c r="BI199" s="128"/>
      <c r="BJ199" s="128"/>
      <c r="BK199" s="128"/>
      <c r="BL199" s="128"/>
      <c r="BM199" s="128"/>
      <c r="BN199" s="128"/>
      <c r="BO199" s="128"/>
      <c r="BP199" s="128"/>
      <c r="BQ199" s="128"/>
    </row>
    <row r="200" spans="1:69" ht="14.25" customHeight="1">
      <c r="A200" s="128"/>
      <c r="B200" s="128"/>
      <c r="C200" s="128"/>
      <c r="D200" s="128"/>
      <c r="E200" s="128"/>
      <c r="F200" s="128"/>
      <c r="G200" s="128"/>
      <c r="H200" s="128"/>
      <c r="I200" s="128"/>
      <c r="J200" s="128"/>
      <c r="K200" s="128"/>
      <c r="L200" s="128"/>
      <c r="M200" s="128"/>
      <c r="N200" s="128"/>
      <c r="O200" s="128"/>
      <c r="P200" s="128"/>
      <c r="Q200" s="128"/>
      <c r="R200" s="128"/>
      <c r="S200" s="128"/>
      <c r="T200" s="128"/>
      <c r="U200" s="128"/>
      <c r="V200" s="128"/>
      <c r="W200" s="128"/>
      <c r="X200" s="128"/>
      <c r="Y200" s="128"/>
      <c r="Z200" s="128"/>
      <c r="AA200" s="128"/>
      <c r="AB200" s="128"/>
      <c r="AC200" s="128"/>
      <c r="AD200" s="128"/>
      <c r="AE200" s="128"/>
      <c r="AF200" s="128"/>
      <c r="AG200" s="128"/>
      <c r="AH200" s="128"/>
      <c r="AI200" s="128"/>
      <c r="AJ200" s="128"/>
      <c r="AK200" s="128"/>
      <c r="AL200" s="128"/>
      <c r="AM200" s="128"/>
      <c r="AN200" s="128"/>
      <c r="AO200" s="128"/>
      <c r="AP200" s="128"/>
      <c r="AQ200" s="128"/>
      <c r="AR200" s="128"/>
      <c r="AS200" s="128"/>
      <c r="AT200" s="128"/>
      <c r="AU200" s="128"/>
      <c r="AV200" s="128"/>
      <c r="AW200" s="128"/>
      <c r="AX200" s="128"/>
      <c r="AY200" s="128"/>
      <c r="AZ200" s="128"/>
      <c r="BA200" s="128"/>
      <c r="BB200" s="128"/>
      <c r="BC200" s="128"/>
      <c r="BD200" s="128"/>
      <c r="BE200" s="128"/>
      <c r="BF200" s="128"/>
      <c r="BG200" s="128"/>
      <c r="BH200" s="128"/>
      <c r="BI200" s="128"/>
      <c r="BJ200" s="128"/>
      <c r="BK200" s="128"/>
      <c r="BL200" s="128"/>
      <c r="BM200" s="128"/>
      <c r="BN200" s="128"/>
      <c r="BO200" s="128"/>
      <c r="BP200" s="128"/>
      <c r="BQ200" s="128"/>
    </row>
    <row r="201" spans="1:69" ht="14.25" customHeight="1">
      <c r="A201" s="128"/>
      <c r="B201" s="128"/>
      <c r="C201" s="128"/>
      <c r="D201" s="128"/>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28"/>
      <c r="AA201" s="128"/>
      <c r="AB201" s="128"/>
      <c r="AC201" s="128"/>
      <c r="AD201" s="128"/>
      <c r="AE201" s="128"/>
      <c r="AF201" s="128"/>
      <c r="AG201" s="128"/>
      <c r="AH201" s="128"/>
      <c r="AI201" s="128"/>
      <c r="AJ201" s="128"/>
      <c r="AK201" s="128"/>
      <c r="AL201" s="128"/>
      <c r="AM201" s="128"/>
      <c r="AN201" s="128"/>
      <c r="AO201" s="128"/>
      <c r="AP201" s="128"/>
      <c r="AQ201" s="128"/>
      <c r="AR201" s="128"/>
      <c r="AS201" s="128"/>
      <c r="AT201" s="128"/>
      <c r="AU201" s="128"/>
      <c r="AV201" s="128"/>
      <c r="AW201" s="128"/>
      <c r="AX201" s="128"/>
      <c r="AY201" s="128"/>
      <c r="AZ201" s="128"/>
      <c r="BA201" s="128"/>
      <c r="BB201" s="128"/>
      <c r="BC201" s="128"/>
      <c r="BD201" s="128"/>
      <c r="BE201" s="128"/>
      <c r="BF201" s="128"/>
      <c r="BG201" s="128"/>
      <c r="BH201" s="128"/>
      <c r="BI201" s="128"/>
      <c r="BJ201" s="128"/>
      <c r="BK201" s="128"/>
      <c r="BL201" s="128"/>
      <c r="BM201" s="128"/>
      <c r="BN201" s="128"/>
      <c r="BO201" s="128"/>
      <c r="BP201" s="128"/>
      <c r="BQ201" s="128"/>
    </row>
    <row r="202" spans="1:69" ht="14.25" customHeight="1">
      <c r="A202" s="128"/>
      <c r="B202" s="128"/>
      <c r="C202" s="128"/>
      <c r="D202" s="128"/>
      <c r="E202" s="128"/>
      <c r="F202" s="128"/>
      <c r="G202" s="128"/>
      <c r="H202" s="128"/>
      <c r="I202" s="128"/>
      <c r="J202" s="128"/>
      <c r="K202" s="128"/>
      <c r="L202" s="128"/>
      <c r="M202" s="128"/>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row>
    <row r="203" spans="1:69" ht="14.25" customHeight="1">
      <c r="A203" s="128"/>
      <c r="B203" s="128"/>
      <c r="C203" s="128"/>
      <c r="D203" s="128"/>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28"/>
      <c r="AA203" s="128"/>
      <c r="AB203" s="128"/>
      <c r="AC203" s="128"/>
      <c r="AD203" s="128"/>
      <c r="AE203" s="128"/>
      <c r="AF203" s="128"/>
      <c r="AG203" s="128"/>
      <c r="AH203" s="128"/>
      <c r="AI203" s="128"/>
      <c r="AJ203" s="128"/>
      <c r="AK203" s="128"/>
      <c r="AL203" s="128"/>
      <c r="AM203" s="128"/>
      <c r="AN203" s="128"/>
      <c r="AO203" s="128"/>
      <c r="AP203" s="128"/>
      <c r="AQ203" s="128"/>
      <c r="AR203" s="128"/>
      <c r="AS203" s="128"/>
      <c r="AT203" s="128"/>
      <c r="AU203" s="128"/>
      <c r="AV203" s="128"/>
      <c r="AW203" s="128"/>
      <c r="AX203" s="128"/>
      <c r="AY203" s="128"/>
      <c r="AZ203" s="128"/>
      <c r="BA203" s="128"/>
      <c r="BB203" s="128"/>
      <c r="BC203" s="128"/>
      <c r="BD203" s="128"/>
      <c r="BE203" s="128"/>
      <c r="BF203" s="128"/>
      <c r="BG203" s="128"/>
      <c r="BH203" s="128"/>
      <c r="BI203" s="128"/>
      <c r="BJ203" s="128"/>
      <c r="BK203" s="128"/>
      <c r="BL203" s="128"/>
      <c r="BM203" s="128"/>
      <c r="BN203" s="128"/>
      <c r="BO203" s="128"/>
      <c r="BP203" s="128"/>
      <c r="BQ203" s="128"/>
    </row>
    <row r="204" spans="1:69" ht="14.25" customHeight="1">
      <c r="A204" s="128"/>
      <c r="B204" s="128"/>
      <c r="C204" s="128"/>
      <c r="D204" s="128"/>
      <c r="E204" s="128"/>
      <c r="F204" s="128"/>
      <c r="G204" s="128"/>
      <c r="H204" s="128"/>
      <c r="I204" s="128"/>
      <c r="J204" s="128"/>
      <c r="K204" s="128"/>
      <c r="L204" s="128"/>
      <c r="M204" s="128"/>
      <c r="N204" s="128"/>
      <c r="O204" s="128"/>
      <c r="P204" s="128"/>
      <c r="Q204" s="128"/>
      <c r="R204" s="128"/>
      <c r="S204" s="128"/>
      <c r="T204" s="128"/>
      <c r="U204" s="128"/>
      <c r="V204" s="128"/>
      <c r="W204" s="128"/>
      <c r="X204" s="128"/>
      <c r="Y204" s="128"/>
      <c r="Z204" s="128"/>
      <c r="AA204" s="128"/>
      <c r="AB204" s="128"/>
      <c r="AC204" s="128"/>
      <c r="AD204" s="128"/>
      <c r="AE204" s="128"/>
      <c r="AF204" s="128"/>
      <c r="AG204" s="128"/>
      <c r="AH204" s="128"/>
      <c r="AI204" s="128"/>
      <c r="AJ204" s="128"/>
      <c r="AK204" s="128"/>
      <c r="AL204" s="128"/>
      <c r="AM204" s="128"/>
      <c r="AN204" s="128"/>
      <c r="AO204" s="128"/>
      <c r="AP204" s="128"/>
      <c r="AQ204" s="128"/>
      <c r="AR204" s="128"/>
      <c r="AS204" s="128"/>
      <c r="AT204" s="128"/>
      <c r="AU204" s="128"/>
      <c r="AV204" s="128"/>
      <c r="AW204" s="128"/>
      <c r="AX204" s="128"/>
      <c r="AY204" s="128"/>
      <c r="AZ204" s="128"/>
      <c r="BA204" s="128"/>
      <c r="BB204" s="128"/>
      <c r="BC204" s="128"/>
      <c r="BD204" s="128"/>
      <c r="BE204" s="128"/>
      <c r="BF204" s="128"/>
      <c r="BG204" s="128"/>
      <c r="BH204" s="128"/>
      <c r="BI204" s="128"/>
      <c r="BJ204" s="128"/>
      <c r="BK204" s="128"/>
      <c r="BL204" s="128"/>
      <c r="BM204" s="128"/>
      <c r="BN204" s="128"/>
      <c r="BO204" s="128"/>
      <c r="BP204" s="128"/>
      <c r="BQ204" s="128"/>
    </row>
    <row r="205" spans="1:69" ht="14.25" customHeight="1">
      <c r="A205" s="128"/>
      <c r="B205" s="128"/>
      <c r="C205" s="128"/>
      <c r="D205" s="128"/>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28"/>
      <c r="AA205" s="128"/>
      <c r="AB205" s="128"/>
      <c r="AC205" s="128"/>
      <c r="AD205" s="128"/>
      <c r="AE205" s="128"/>
      <c r="AF205" s="128"/>
      <c r="AG205" s="128"/>
      <c r="AH205" s="128"/>
      <c r="AI205" s="128"/>
      <c r="AJ205" s="128"/>
      <c r="AK205" s="128"/>
      <c r="AL205" s="128"/>
      <c r="AM205" s="128"/>
      <c r="AN205" s="128"/>
      <c r="AO205" s="128"/>
      <c r="AP205" s="128"/>
      <c r="AQ205" s="128"/>
      <c r="AR205" s="128"/>
      <c r="AS205" s="128"/>
      <c r="AT205" s="128"/>
      <c r="AU205" s="128"/>
      <c r="AV205" s="128"/>
      <c r="AW205" s="128"/>
      <c r="AX205" s="128"/>
      <c r="AY205" s="128"/>
      <c r="AZ205" s="128"/>
      <c r="BA205" s="128"/>
      <c r="BB205" s="128"/>
      <c r="BC205" s="128"/>
      <c r="BD205" s="128"/>
      <c r="BE205" s="128"/>
      <c r="BF205" s="128"/>
      <c r="BG205" s="128"/>
      <c r="BH205" s="128"/>
      <c r="BI205" s="128"/>
      <c r="BJ205" s="128"/>
      <c r="BK205" s="128"/>
      <c r="BL205" s="128"/>
      <c r="BM205" s="128"/>
      <c r="BN205" s="128"/>
      <c r="BO205" s="128"/>
      <c r="BP205" s="128"/>
      <c r="BQ205" s="128"/>
    </row>
    <row r="206" spans="1:69" ht="14.25" customHeight="1">
      <c r="A206" s="128"/>
      <c r="B206" s="128"/>
      <c r="C206" s="128"/>
      <c r="D206" s="128"/>
      <c r="E206" s="128"/>
      <c r="F206" s="128"/>
      <c r="G206" s="128"/>
      <c r="H206" s="128"/>
      <c r="I206" s="128"/>
      <c r="J206" s="128"/>
      <c r="K206" s="128"/>
      <c r="L206" s="128"/>
      <c r="M206" s="128"/>
      <c r="N206" s="128"/>
      <c r="O206" s="128"/>
      <c r="P206" s="128"/>
      <c r="Q206" s="128"/>
      <c r="R206" s="128"/>
      <c r="S206" s="128"/>
      <c r="T206" s="128"/>
      <c r="U206" s="128"/>
      <c r="V206" s="128"/>
      <c r="W206" s="128"/>
      <c r="X206" s="128"/>
      <c r="Y206" s="128"/>
      <c r="Z206" s="128"/>
      <c r="AA206" s="128"/>
      <c r="AB206" s="128"/>
      <c r="AC206" s="128"/>
      <c r="AD206" s="128"/>
      <c r="AE206" s="128"/>
      <c r="AF206" s="128"/>
      <c r="AG206" s="128"/>
      <c r="AH206" s="128"/>
      <c r="AI206" s="128"/>
      <c r="AJ206" s="128"/>
      <c r="AK206" s="128"/>
      <c r="AL206" s="128"/>
      <c r="AM206" s="128"/>
      <c r="AN206" s="128"/>
      <c r="AO206" s="128"/>
      <c r="AP206" s="128"/>
      <c r="AQ206" s="128"/>
      <c r="AR206" s="128"/>
      <c r="AS206" s="128"/>
      <c r="AT206" s="128"/>
      <c r="AU206" s="128"/>
      <c r="AV206" s="128"/>
      <c r="AW206" s="128"/>
      <c r="AX206" s="128"/>
      <c r="AY206" s="128"/>
      <c r="AZ206" s="128"/>
      <c r="BA206" s="128"/>
      <c r="BB206" s="128"/>
      <c r="BC206" s="128"/>
      <c r="BD206" s="128"/>
      <c r="BE206" s="128"/>
      <c r="BF206" s="128"/>
      <c r="BG206" s="128"/>
      <c r="BH206" s="128"/>
      <c r="BI206" s="128"/>
      <c r="BJ206" s="128"/>
      <c r="BK206" s="128"/>
      <c r="BL206" s="128"/>
      <c r="BM206" s="128"/>
      <c r="BN206" s="128"/>
      <c r="BO206" s="128"/>
      <c r="BP206" s="128"/>
      <c r="BQ206" s="128"/>
    </row>
    <row r="207" spans="1:69" ht="14.25" customHeight="1">
      <c r="A207" s="128"/>
      <c r="B207" s="128"/>
      <c r="C207" s="128"/>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c r="AA207" s="128"/>
      <c r="AB207" s="128"/>
      <c r="AC207" s="128"/>
      <c r="AD207" s="128"/>
      <c r="AE207" s="128"/>
      <c r="AF207" s="128"/>
      <c r="AG207" s="128"/>
      <c r="AH207" s="128"/>
      <c r="AI207" s="128"/>
      <c r="AJ207" s="128"/>
      <c r="AK207" s="128"/>
      <c r="AL207" s="128"/>
      <c r="AM207" s="128"/>
      <c r="AN207" s="128"/>
      <c r="AO207" s="128"/>
      <c r="AP207" s="128"/>
      <c r="AQ207" s="128"/>
      <c r="AR207" s="128"/>
      <c r="AS207" s="128"/>
      <c r="AT207" s="128"/>
      <c r="AU207" s="128"/>
      <c r="AV207" s="128"/>
      <c r="AW207" s="128"/>
      <c r="AX207" s="128"/>
      <c r="AY207" s="128"/>
      <c r="AZ207" s="128"/>
      <c r="BA207" s="128"/>
      <c r="BB207" s="128"/>
      <c r="BC207" s="128"/>
      <c r="BD207" s="128"/>
      <c r="BE207" s="128"/>
      <c r="BF207" s="128"/>
      <c r="BG207" s="128"/>
      <c r="BH207" s="128"/>
      <c r="BI207" s="128"/>
      <c r="BJ207" s="128"/>
      <c r="BK207" s="128"/>
      <c r="BL207" s="128"/>
      <c r="BM207" s="128"/>
      <c r="BN207" s="128"/>
      <c r="BO207" s="128"/>
      <c r="BP207" s="128"/>
      <c r="BQ207" s="128"/>
    </row>
    <row r="208" spans="1:69" ht="14.25" customHeight="1">
      <c r="A208" s="128"/>
      <c r="B208" s="128"/>
      <c r="C208" s="128"/>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row>
    <row r="209" spans="1:69" ht="14.25" customHeight="1">
      <c r="A209" s="128"/>
      <c r="B209" s="128"/>
      <c r="C209" s="128"/>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c r="AA209" s="128"/>
      <c r="AB209" s="128"/>
      <c r="AC209" s="128"/>
      <c r="AD209" s="128"/>
      <c r="AE209" s="128"/>
      <c r="AF209" s="128"/>
      <c r="AG209" s="128"/>
      <c r="AH209" s="128"/>
      <c r="AI209" s="128"/>
      <c r="AJ209" s="128"/>
      <c r="AK209" s="128"/>
      <c r="AL209" s="128"/>
      <c r="AM209" s="128"/>
      <c r="AN209" s="128"/>
      <c r="AO209" s="128"/>
      <c r="AP209" s="128"/>
      <c r="AQ209" s="128"/>
      <c r="AR209" s="128"/>
      <c r="AS209" s="128"/>
      <c r="AT209" s="128"/>
      <c r="AU209" s="128"/>
      <c r="AV209" s="128"/>
      <c r="AW209" s="128"/>
      <c r="AX209" s="128"/>
      <c r="AY209" s="128"/>
      <c r="AZ209" s="128"/>
      <c r="BA209" s="128"/>
      <c r="BB209" s="128"/>
      <c r="BC209" s="128"/>
      <c r="BD209" s="128"/>
      <c r="BE209" s="128"/>
      <c r="BF209" s="128"/>
      <c r="BG209" s="128"/>
      <c r="BH209" s="128"/>
      <c r="BI209" s="128"/>
      <c r="BJ209" s="128"/>
      <c r="BK209" s="128"/>
      <c r="BL209" s="128"/>
      <c r="BM209" s="128"/>
      <c r="BN209" s="128"/>
      <c r="BO209" s="128"/>
      <c r="BP209" s="128"/>
      <c r="BQ209" s="128"/>
    </row>
    <row r="210" spans="1:69" ht="14.25" customHeight="1">
      <c r="A210" s="128"/>
      <c r="B210" s="128"/>
      <c r="C210" s="128"/>
      <c r="D210" s="128"/>
      <c r="E210" s="128"/>
      <c r="F210" s="128"/>
      <c r="G210" s="128"/>
      <c r="H210" s="128"/>
      <c r="I210" s="128"/>
      <c r="J210" s="128"/>
      <c r="K210" s="128"/>
      <c r="L210" s="128"/>
      <c r="M210" s="128"/>
      <c r="N210" s="128"/>
      <c r="O210" s="128"/>
      <c r="P210" s="128"/>
      <c r="Q210" s="128"/>
      <c r="R210" s="128"/>
      <c r="S210" s="128"/>
      <c r="T210" s="128"/>
      <c r="U210" s="128"/>
      <c r="V210" s="128"/>
      <c r="W210" s="128"/>
      <c r="X210" s="128"/>
      <c r="Y210" s="128"/>
      <c r="Z210" s="128"/>
      <c r="AA210" s="128"/>
      <c r="AB210" s="128"/>
      <c r="AC210" s="128"/>
      <c r="AD210" s="128"/>
      <c r="AE210" s="128"/>
      <c r="AF210" s="128"/>
      <c r="AG210" s="128"/>
      <c r="AH210" s="128"/>
      <c r="AI210" s="128"/>
      <c r="AJ210" s="128"/>
      <c r="AK210" s="128"/>
      <c r="AL210" s="128"/>
      <c r="AM210" s="128"/>
      <c r="AN210" s="128"/>
      <c r="AO210" s="128"/>
      <c r="AP210" s="128"/>
      <c r="AQ210" s="128"/>
      <c r="AR210" s="128"/>
      <c r="AS210" s="128"/>
      <c r="AT210" s="128"/>
      <c r="AU210" s="128"/>
      <c r="AV210" s="128"/>
      <c r="AW210" s="128"/>
      <c r="AX210" s="128"/>
      <c r="AY210" s="128"/>
      <c r="AZ210" s="128"/>
      <c r="BA210" s="128"/>
      <c r="BB210" s="128"/>
      <c r="BC210" s="128"/>
      <c r="BD210" s="128"/>
      <c r="BE210" s="128"/>
      <c r="BF210" s="128"/>
      <c r="BG210" s="128"/>
      <c r="BH210" s="128"/>
      <c r="BI210" s="128"/>
      <c r="BJ210" s="128"/>
      <c r="BK210" s="128"/>
      <c r="BL210" s="128"/>
      <c r="BM210" s="128"/>
      <c r="BN210" s="128"/>
      <c r="BO210" s="128"/>
      <c r="BP210" s="128"/>
      <c r="BQ210" s="128"/>
    </row>
    <row r="211" spans="1:69" ht="14.25" customHeight="1">
      <c r="A211" s="128"/>
      <c r="B211" s="128"/>
      <c r="C211" s="128"/>
      <c r="D211" s="128"/>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28"/>
      <c r="AA211" s="128"/>
      <c r="AB211" s="128"/>
      <c r="AC211" s="128"/>
      <c r="AD211" s="128"/>
      <c r="AE211" s="128"/>
      <c r="AF211" s="128"/>
      <c r="AG211" s="128"/>
      <c r="AH211" s="128"/>
      <c r="AI211" s="128"/>
      <c r="AJ211" s="128"/>
      <c r="AK211" s="128"/>
      <c r="AL211" s="128"/>
      <c r="AM211" s="128"/>
      <c r="AN211" s="128"/>
      <c r="AO211" s="128"/>
      <c r="AP211" s="128"/>
      <c r="AQ211" s="128"/>
      <c r="AR211" s="128"/>
      <c r="AS211" s="128"/>
      <c r="AT211" s="128"/>
      <c r="AU211" s="128"/>
      <c r="AV211" s="128"/>
      <c r="AW211" s="128"/>
      <c r="AX211" s="128"/>
      <c r="AY211" s="128"/>
      <c r="AZ211" s="128"/>
      <c r="BA211" s="128"/>
      <c r="BB211" s="128"/>
      <c r="BC211" s="128"/>
      <c r="BD211" s="128"/>
      <c r="BE211" s="128"/>
      <c r="BF211" s="128"/>
      <c r="BG211" s="128"/>
      <c r="BH211" s="128"/>
      <c r="BI211" s="128"/>
      <c r="BJ211" s="128"/>
      <c r="BK211" s="128"/>
      <c r="BL211" s="128"/>
      <c r="BM211" s="128"/>
      <c r="BN211" s="128"/>
      <c r="BO211" s="128"/>
      <c r="BP211" s="128"/>
      <c r="BQ211" s="128"/>
    </row>
    <row r="212" spans="1:69" ht="14.25" customHeight="1">
      <c r="A212" s="128"/>
      <c r="B212" s="128"/>
      <c r="C212" s="128"/>
      <c r="D212" s="128"/>
      <c r="E212" s="128"/>
      <c r="F212" s="128"/>
      <c r="G212" s="128"/>
      <c r="H212" s="128"/>
      <c r="I212" s="128"/>
      <c r="J212" s="128"/>
      <c r="K212" s="128"/>
      <c r="L212" s="128"/>
      <c r="M212" s="128"/>
      <c r="N212" s="128"/>
      <c r="O212" s="128"/>
      <c r="P212" s="128"/>
      <c r="Q212" s="128"/>
      <c r="R212" s="128"/>
      <c r="S212" s="128"/>
      <c r="T212" s="128"/>
      <c r="U212" s="128"/>
      <c r="V212" s="128"/>
      <c r="W212" s="128"/>
      <c r="X212" s="128"/>
      <c r="Y212" s="128"/>
      <c r="Z212" s="128"/>
      <c r="AA212" s="128"/>
      <c r="AB212" s="128"/>
      <c r="AC212" s="128"/>
      <c r="AD212" s="128"/>
      <c r="AE212" s="128"/>
      <c r="AF212" s="128"/>
      <c r="AG212" s="128"/>
      <c r="AH212" s="128"/>
      <c r="AI212" s="128"/>
      <c r="AJ212" s="128"/>
      <c r="AK212" s="128"/>
      <c r="AL212" s="128"/>
      <c r="AM212" s="128"/>
      <c r="AN212" s="128"/>
      <c r="AO212" s="128"/>
      <c r="AP212" s="128"/>
      <c r="AQ212" s="128"/>
      <c r="AR212" s="128"/>
      <c r="AS212" s="128"/>
      <c r="AT212" s="128"/>
      <c r="AU212" s="128"/>
      <c r="AV212" s="128"/>
      <c r="AW212" s="128"/>
      <c r="AX212" s="128"/>
      <c r="AY212" s="128"/>
      <c r="AZ212" s="128"/>
      <c r="BA212" s="128"/>
      <c r="BB212" s="128"/>
      <c r="BC212" s="128"/>
      <c r="BD212" s="128"/>
      <c r="BE212" s="128"/>
      <c r="BF212" s="128"/>
      <c r="BG212" s="128"/>
      <c r="BH212" s="128"/>
      <c r="BI212" s="128"/>
      <c r="BJ212" s="128"/>
      <c r="BK212" s="128"/>
      <c r="BL212" s="128"/>
      <c r="BM212" s="128"/>
      <c r="BN212" s="128"/>
      <c r="BO212" s="128"/>
      <c r="BP212" s="128"/>
      <c r="BQ212" s="128"/>
    </row>
    <row r="213" spans="1:69" ht="14.25" customHeight="1">
      <c r="A213" s="128"/>
      <c r="B213" s="128"/>
      <c r="C213" s="128"/>
      <c r="D213" s="128"/>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28"/>
      <c r="AA213" s="128"/>
      <c r="AB213" s="128"/>
      <c r="AC213" s="128"/>
      <c r="AD213" s="128"/>
      <c r="AE213" s="128"/>
      <c r="AF213" s="128"/>
      <c r="AG213" s="128"/>
      <c r="AH213" s="128"/>
      <c r="AI213" s="128"/>
      <c r="AJ213" s="128"/>
      <c r="AK213" s="128"/>
      <c r="AL213" s="128"/>
      <c r="AM213" s="128"/>
      <c r="AN213" s="128"/>
      <c r="AO213" s="128"/>
      <c r="AP213" s="128"/>
      <c r="AQ213" s="128"/>
      <c r="AR213" s="128"/>
      <c r="AS213" s="128"/>
      <c r="AT213" s="128"/>
      <c r="AU213" s="128"/>
      <c r="AV213" s="128"/>
      <c r="AW213" s="128"/>
      <c r="AX213" s="128"/>
      <c r="AY213" s="128"/>
      <c r="AZ213" s="128"/>
      <c r="BA213" s="128"/>
      <c r="BB213" s="128"/>
      <c r="BC213" s="128"/>
      <c r="BD213" s="128"/>
      <c r="BE213" s="128"/>
      <c r="BF213" s="128"/>
      <c r="BG213" s="128"/>
      <c r="BH213" s="128"/>
      <c r="BI213" s="128"/>
      <c r="BJ213" s="128"/>
      <c r="BK213" s="128"/>
      <c r="BL213" s="128"/>
      <c r="BM213" s="128"/>
      <c r="BN213" s="128"/>
      <c r="BO213" s="128"/>
      <c r="BP213" s="128"/>
      <c r="BQ213" s="128"/>
    </row>
    <row r="214" spans="1:69" ht="14.25" customHeight="1">
      <c r="A214" s="128"/>
      <c r="B214" s="128"/>
      <c r="C214" s="128"/>
      <c r="D214" s="128"/>
      <c r="E214" s="128"/>
      <c r="F214" s="128"/>
      <c r="G214" s="128"/>
      <c r="H214" s="128"/>
      <c r="I214" s="128"/>
      <c r="J214" s="128"/>
      <c r="K214" s="128"/>
      <c r="L214" s="128"/>
      <c r="M214" s="128"/>
      <c r="N214" s="128"/>
      <c r="O214" s="128"/>
      <c r="P214" s="128"/>
      <c r="Q214" s="128"/>
      <c r="R214" s="128"/>
      <c r="S214" s="128"/>
      <c r="T214" s="128"/>
      <c r="U214" s="128"/>
      <c r="V214" s="128"/>
      <c r="W214" s="128"/>
      <c r="X214" s="128"/>
      <c r="Y214" s="128"/>
      <c r="Z214" s="128"/>
      <c r="AA214" s="128"/>
      <c r="AB214" s="128"/>
      <c r="AC214" s="128"/>
      <c r="AD214" s="128"/>
      <c r="AE214" s="128"/>
      <c r="AF214" s="128"/>
      <c r="AG214" s="128"/>
      <c r="AH214" s="128"/>
      <c r="AI214" s="128"/>
      <c r="AJ214" s="128"/>
      <c r="AK214" s="128"/>
      <c r="AL214" s="128"/>
      <c r="AM214" s="128"/>
      <c r="AN214" s="128"/>
      <c r="AO214" s="128"/>
      <c r="AP214" s="128"/>
      <c r="AQ214" s="128"/>
      <c r="AR214" s="128"/>
      <c r="AS214" s="128"/>
      <c r="AT214" s="128"/>
      <c r="AU214" s="128"/>
      <c r="AV214" s="128"/>
      <c r="AW214" s="128"/>
      <c r="AX214" s="128"/>
      <c r="AY214" s="128"/>
      <c r="AZ214" s="128"/>
      <c r="BA214" s="128"/>
      <c r="BB214" s="128"/>
      <c r="BC214" s="128"/>
      <c r="BD214" s="128"/>
      <c r="BE214" s="128"/>
      <c r="BF214" s="128"/>
      <c r="BG214" s="128"/>
      <c r="BH214" s="128"/>
      <c r="BI214" s="128"/>
      <c r="BJ214" s="128"/>
      <c r="BK214" s="128"/>
      <c r="BL214" s="128"/>
      <c r="BM214" s="128"/>
      <c r="BN214" s="128"/>
      <c r="BO214" s="128"/>
      <c r="BP214" s="128"/>
      <c r="BQ214" s="128"/>
    </row>
    <row r="215" spans="1:69" ht="14.25" customHeight="1">
      <c r="A215" s="128"/>
      <c r="B215" s="128"/>
      <c r="C215" s="128"/>
      <c r="D215" s="128"/>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row>
    <row r="216" spans="1:69" ht="14.25" customHeight="1">
      <c r="A216" s="128"/>
      <c r="B216" s="128"/>
      <c r="C216" s="128"/>
      <c r="D216" s="128"/>
      <c r="E216" s="128"/>
      <c r="F216" s="128"/>
      <c r="G216" s="128"/>
      <c r="H216" s="128"/>
      <c r="I216" s="128"/>
      <c r="J216" s="128"/>
      <c r="K216" s="128"/>
      <c r="L216" s="128"/>
      <c r="M216" s="128"/>
      <c r="N216" s="128"/>
      <c r="O216" s="128"/>
      <c r="P216" s="128"/>
      <c r="Q216" s="128"/>
      <c r="R216" s="128"/>
      <c r="S216" s="128"/>
      <c r="T216" s="128"/>
      <c r="U216" s="128"/>
      <c r="V216" s="128"/>
      <c r="W216" s="128"/>
      <c r="X216" s="128"/>
      <c r="Y216" s="128"/>
      <c r="Z216" s="128"/>
      <c r="AA216" s="128"/>
      <c r="AB216" s="128"/>
      <c r="AC216" s="128"/>
      <c r="AD216" s="128"/>
      <c r="AE216" s="128"/>
      <c r="AF216" s="128"/>
      <c r="AG216" s="128"/>
      <c r="AH216" s="128"/>
      <c r="AI216" s="128"/>
      <c r="AJ216" s="128"/>
      <c r="AK216" s="128"/>
      <c r="AL216" s="128"/>
      <c r="AM216" s="128"/>
      <c r="AN216" s="128"/>
      <c r="AO216" s="128"/>
      <c r="AP216" s="128"/>
      <c r="AQ216" s="128"/>
      <c r="AR216" s="128"/>
      <c r="AS216" s="128"/>
      <c r="AT216" s="128"/>
      <c r="AU216" s="128"/>
      <c r="AV216" s="128"/>
      <c r="AW216" s="128"/>
      <c r="AX216" s="128"/>
      <c r="AY216" s="128"/>
      <c r="AZ216" s="128"/>
      <c r="BA216" s="128"/>
      <c r="BB216" s="128"/>
      <c r="BC216" s="128"/>
      <c r="BD216" s="128"/>
      <c r="BE216" s="128"/>
      <c r="BF216" s="128"/>
      <c r="BG216" s="128"/>
      <c r="BH216" s="128"/>
      <c r="BI216" s="128"/>
      <c r="BJ216" s="128"/>
      <c r="BK216" s="128"/>
      <c r="BL216" s="128"/>
      <c r="BM216" s="128"/>
      <c r="BN216" s="128"/>
      <c r="BO216" s="128"/>
      <c r="BP216" s="128"/>
      <c r="BQ216" s="128"/>
    </row>
    <row r="217" spans="1:69" ht="14.25" customHeight="1">
      <c r="A217" s="128"/>
      <c r="B217" s="128"/>
      <c r="C217" s="128"/>
      <c r="D217" s="128"/>
      <c r="E217" s="128"/>
      <c r="F217" s="128"/>
      <c r="G217" s="128"/>
      <c r="H217" s="128"/>
      <c r="I217" s="128"/>
      <c r="J217" s="128"/>
      <c r="K217" s="128"/>
      <c r="L217" s="128"/>
      <c r="M217" s="128"/>
      <c r="N217" s="128"/>
      <c r="O217" s="128"/>
      <c r="P217" s="128"/>
      <c r="Q217" s="128"/>
      <c r="R217" s="128"/>
      <c r="S217" s="128"/>
      <c r="T217" s="128"/>
      <c r="U217" s="128"/>
      <c r="V217" s="128"/>
      <c r="W217" s="128"/>
      <c r="X217" s="128"/>
      <c r="Y217" s="128"/>
      <c r="Z217" s="128"/>
      <c r="AA217" s="128"/>
      <c r="AB217" s="128"/>
      <c r="AC217" s="128"/>
      <c r="AD217" s="128"/>
      <c r="AE217" s="128"/>
      <c r="AF217" s="128"/>
      <c r="AG217" s="128"/>
      <c r="AH217" s="128"/>
      <c r="AI217" s="128"/>
      <c r="AJ217" s="128"/>
      <c r="AK217" s="128"/>
      <c r="AL217" s="128"/>
      <c r="AM217" s="128"/>
      <c r="AN217" s="128"/>
      <c r="AO217" s="128"/>
      <c r="AP217" s="128"/>
      <c r="AQ217" s="128"/>
      <c r="AR217" s="128"/>
      <c r="AS217" s="128"/>
      <c r="AT217" s="128"/>
      <c r="AU217" s="128"/>
      <c r="AV217" s="128"/>
      <c r="AW217" s="128"/>
      <c r="AX217" s="128"/>
      <c r="AY217" s="128"/>
      <c r="AZ217" s="128"/>
      <c r="BA217" s="128"/>
      <c r="BB217" s="128"/>
      <c r="BC217" s="128"/>
      <c r="BD217" s="128"/>
      <c r="BE217" s="128"/>
      <c r="BF217" s="128"/>
      <c r="BG217" s="128"/>
      <c r="BH217" s="128"/>
      <c r="BI217" s="128"/>
      <c r="BJ217" s="128"/>
      <c r="BK217" s="128"/>
      <c r="BL217" s="128"/>
      <c r="BM217" s="128"/>
      <c r="BN217" s="128"/>
      <c r="BO217" s="128"/>
      <c r="BP217" s="128"/>
      <c r="BQ217" s="128"/>
    </row>
    <row r="218" spans="1:69" ht="14.25" customHeight="1">
      <c r="A218" s="128"/>
      <c r="B218" s="128"/>
      <c r="C218" s="128"/>
      <c r="D218" s="128"/>
      <c r="E218" s="128"/>
      <c r="F218" s="128"/>
      <c r="G218" s="128"/>
      <c r="H218" s="128"/>
      <c r="I218" s="128"/>
      <c r="J218" s="128"/>
      <c r="K218" s="128"/>
      <c r="L218" s="128"/>
      <c r="M218" s="128"/>
      <c r="N218" s="128"/>
      <c r="O218" s="128"/>
      <c r="P218" s="128"/>
      <c r="Q218" s="128"/>
      <c r="R218" s="128"/>
      <c r="S218" s="128"/>
      <c r="T218" s="128"/>
      <c r="U218" s="128"/>
      <c r="V218" s="128"/>
      <c r="W218" s="128"/>
      <c r="X218" s="128"/>
      <c r="Y218" s="128"/>
      <c r="Z218" s="128"/>
      <c r="AA218" s="128"/>
      <c r="AB218" s="128"/>
      <c r="AC218" s="128"/>
      <c r="AD218" s="128"/>
      <c r="AE218" s="128"/>
      <c r="AF218" s="128"/>
      <c r="AG218" s="128"/>
      <c r="AH218" s="128"/>
      <c r="AI218" s="128"/>
      <c r="AJ218" s="128"/>
      <c r="AK218" s="128"/>
      <c r="AL218" s="128"/>
      <c r="AM218" s="128"/>
      <c r="AN218" s="128"/>
      <c r="AO218" s="128"/>
      <c r="AP218" s="128"/>
      <c r="AQ218" s="128"/>
      <c r="AR218" s="128"/>
      <c r="AS218" s="128"/>
      <c r="AT218" s="128"/>
      <c r="AU218" s="128"/>
      <c r="AV218" s="128"/>
      <c r="AW218" s="128"/>
      <c r="AX218" s="128"/>
      <c r="AY218" s="128"/>
      <c r="AZ218" s="128"/>
      <c r="BA218" s="128"/>
      <c r="BB218" s="128"/>
      <c r="BC218" s="128"/>
      <c r="BD218" s="128"/>
      <c r="BE218" s="128"/>
      <c r="BF218" s="128"/>
      <c r="BG218" s="128"/>
      <c r="BH218" s="128"/>
      <c r="BI218" s="128"/>
      <c r="BJ218" s="128"/>
      <c r="BK218" s="128"/>
      <c r="BL218" s="128"/>
      <c r="BM218" s="128"/>
      <c r="BN218" s="128"/>
      <c r="BO218" s="128"/>
      <c r="BP218" s="128"/>
      <c r="BQ218" s="128"/>
    </row>
    <row r="219" spans="1:69" ht="14.25" customHeight="1">
      <c r="A219" s="128"/>
      <c r="B219" s="128"/>
      <c r="C219" s="128"/>
      <c r="D219" s="128"/>
      <c r="E219" s="128"/>
      <c r="F219" s="128"/>
      <c r="G219" s="128"/>
      <c r="H219" s="128"/>
      <c r="I219" s="128"/>
      <c r="J219" s="128"/>
      <c r="K219" s="128"/>
      <c r="L219" s="128"/>
      <c r="M219" s="128"/>
      <c r="N219" s="128"/>
      <c r="O219" s="128"/>
      <c r="P219" s="128"/>
      <c r="Q219" s="128"/>
      <c r="R219" s="128"/>
      <c r="S219" s="128"/>
      <c r="T219" s="128"/>
      <c r="U219" s="128"/>
      <c r="V219" s="128"/>
      <c r="W219" s="128"/>
      <c r="X219" s="128"/>
      <c r="Y219" s="128"/>
      <c r="Z219" s="128"/>
      <c r="AA219" s="128"/>
      <c r="AB219" s="128"/>
      <c r="AC219" s="128"/>
      <c r="AD219" s="128"/>
      <c r="AE219" s="128"/>
      <c r="AF219" s="128"/>
      <c r="AG219" s="128"/>
      <c r="AH219" s="128"/>
      <c r="AI219" s="128"/>
      <c r="AJ219" s="128"/>
      <c r="AK219" s="128"/>
      <c r="AL219" s="128"/>
      <c r="AM219" s="128"/>
      <c r="AN219" s="128"/>
      <c r="AO219" s="128"/>
      <c r="AP219" s="128"/>
      <c r="AQ219" s="128"/>
      <c r="AR219" s="128"/>
      <c r="AS219" s="128"/>
      <c r="AT219" s="128"/>
      <c r="AU219" s="128"/>
      <c r="AV219" s="128"/>
      <c r="AW219" s="128"/>
      <c r="AX219" s="128"/>
      <c r="AY219" s="128"/>
      <c r="AZ219" s="128"/>
      <c r="BA219" s="128"/>
      <c r="BB219" s="128"/>
      <c r="BC219" s="128"/>
      <c r="BD219" s="128"/>
      <c r="BE219" s="128"/>
      <c r="BF219" s="128"/>
      <c r="BG219" s="128"/>
      <c r="BH219" s="128"/>
      <c r="BI219" s="128"/>
      <c r="BJ219" s="128"/>
      <c r="BK219" s="128"/>
      <c r="BL219" s="128"/>
      <c r="BM219" s="128"/>
      <c r="BN219" s="128"/>
      <c r="BO219" s="128"/>
      <c r="BP219" s="128"/>
      <c r="BQ219" s="128"/>
    </row>
    <row r="220" spans="1:69" ht="14.25" customHeight="1">
      <c r="A220" s="128"/>
      <c r="B220" s="128"/>
      <c r="C220" s="128"/>
      <c r="D220" s="128"/>
      <c r="E220" s="128"/>
      <c r="F220" s="128"/>
      <c r="G220" s="128"/>
      <c r="H220" s="128"/>
      <c r="I220" s="128"/>
      <c r="J220" s="128"/>
      <c r="K220" s="128"/>
      <c r="L220" s="128"/>
      <c r="M220" s="128"/>
      <c r="N220" s="128"/>
      <c r="O220" s="128"/>
      <c r="P220" s="128"/>
      <c r="Q220" s="128"/>
      <c r="R220" s="128"/>
      <c r="S220" s="128"/>
      <c r="T220" s="128"/>
      <c r="U220" s="128"/>
      <c r="V220" s="128"/>
      <c r="W220" s="128"/>
      <c r="X220" s="128"/>
      <c r="Y220" s="128"/>
      <c r="Z220" s="128"/>
      <c r="AA220" s="128"/>
      <c r="AB220" s="128"/>
      <c r="AC220" s="128"/>
      <c r="AD220" s="128"/>
      <c r="AE220" s="128"/>
      <c r="AF220" s="128"/>
      <c r="AG220" s="128"/>
      <c r="AH220" s="128"/>
      <c r="AI220" s="128"/>
      <c r="AJ220" s="128"/>
      <c r="AK220" s="128"/>
      <c r="AL220" s="128"/>
      <c r="AM220" s="128"/>
      <c r="AN220" s="128"/>
      <c r="AO220" s="128"/>
      <c r="AP220" s="128"/>
      <c r="AQ220" s="128"/>
      <c r="AR220" s="128"/>
      <c r="AS220" s="128"/>
      <c r="AT220" s="128"/>
      <c r="AU220" s="128"/>
      <c r="AV220" s="128"/>
      <c r="AW220" s="128"/>
      <c r="AX220" s="128"/>
      <c r="AY220" s="128"/>
      <c r="AZ220" s="128"/>
      <c r="BA220" s="128"/>
      <c r="BB220" s="128"/>
      <c r="BC220" s="128"/>
      <c r="BD220" s="128"/>
      <c r="BE220" s="128"/>
      <c r="BF220" s="128"/>
      <c r="BG220" s="128"/>
      <c r="BH220" s="128"/>
      <c r="BI220" s="128"/>
      <c r="BJ220" s="128"/>
      <c r="BK220" s="128"/>
      <c r="BL220" s="128"/>
      <c r="BM220" s="128"/>
      <c r="BN220" s="128"/>
      <c r="BO220" s="128"/>
      <c r="BP220" s="128"/>
      <c r="BQ220" s="128"/>
    </row>
    <row r="221" spans="1:69" ht="14.25" customHeight="1">
      <c r="A221" s="128"/>
      <c r="B221" s="128"/>
      <c r="C221" s="128"/>
      <c r="D221" s="128"/>
      <c r="E221" s="128"/>
      <c r="F221" s="128"/>
      <c r="G221" s="128"/>
      <c r="H221" s="128"/>
      <c r="I221" s="128"/>
      <c r="J221" s="128"/>
      <c r="K221" s="128"/>
      <c r="L221" s="128"/>
      <c r="M221" s="128"/>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row>
    <row r="222" spans="1:69" ht="14.25" customHeight="1">
      <c r="A222" s="128"/>
      <c r="B222" s="128"/>
      <c r="C222" s="128"/>
      <c r="D222" s="128"/>
      <c r="E222" s="128"/>
      <c r="F222" s="128"/>
      <c r="G222" s="128"/>
      <c r="H222" s="128"/>
      <c r="I222" s="128"/>
      <c r="J222" s="128"/>
      <c r="K222" s="128"/>
      <c r="L222" s="128"/>
      <c r="M222" s="128"/>
      <c r="N222" s="128"/>
      <c r="O222" s="128"/>
      <c r="P222" s="128"/>
      <c r="Q222" s="128"/>
      <c r="R222" s="128"/>
      <c r="S222" s="128"/>
      <c r="T222" s="128"/>
      <c r="U222" s="128"/>
      <c r="V222" s="128"/>
      <c r="W222" s="128"/>
      <c r="X222" s="128"/>
      <c r="Y222" s="128"/>
      <c r="Z222" s="128"/>
      <c r="AA222" s="128"/>
      <c r="AB222" s="128"/>
      <c r="AC222" s="128"/>
      <c r="AD222" s="128"/>
      <c r="AE222" s="128"/>
      <c r="AF222" s="128"/>
      <c r="AG222" s="128"/>
      <c r="AH222" s="128"/>
      <c r="AI222" s="128"/>
      <c r="AJ222" s="128"/>
      <c r="AK222" s="128"/>
      <c r="AL222" s="128"/>
      <c r="AM222" s="128"/>
      <c r="AN222" s="128"/>
      <c r="AO222" s="128"/>
      <c r="AP222" s="128"/>
      <c r="AQ222" s="128"/>
      <c r="AR222" s="128"/>
      <c r="AS222" s="128"/>
      <c r="AT222" s="128"/>
      <c r="AU222" s="128"/>
      <c r="AV222" s="128"/>
      <c r="AW222" s="128"/>
      <c r="AX222" s="128"/>
      <c r="AY222" s="128"/>
      <c r="AZ222" s="128"/>
      <c r="BA222" s="128"/>
      <c r="BB222" s="128"/>
      <c r="BC222" s="128"/>
      <c r="BD222" s="128"/>
      <c r="BE222" s="128"/>
      <c r="BF222" s="128"/>
      <c r="BG222" s="128"/>
      <c r="BH222" s="128"/>
      <c r="BI222" s="128"/>
      <c r="BJ222" s="128"/>
      <c r="BK222" s="128"/>
      <c r="BL222" s="128"/>
      <c r="BM222" s="128"/>
      <c r="BN222" s="128"/>
      <c r="BO222" s="128"/>
      <c r="BP222" s="128"/>
      <c r="BQ222" s="128"/>
    </row>
    <row r="223" spans="1:69" ht="14.25" customHeight="1">
      <c r="A223" s="128"/>
      <c r="B223" s="128"/>
      <c r="C223" s="128"/>
      <c r="D223" s="128"/>
      <c r="E223" s="128"/>
      <c r="F223" s="128"/>
      <c r="G223" s="128"/>
      <c r="H223" s="128"/>
      <c r="I223" s="128"/>
      <c r="J223" s="128"/>
      <c r="K223" s="128"/>
      <c r="L223" s="128"/>
      <c r="M223" s="128"/>
      <c r="N223" s="128"/>
      <c r="O223" s="128"/>
      <c r="P223" s="128"/>
      <c r="Q223" s="128"/>
      <c r="R223" s="128"/>
      <c r="S223" s="128"/>
      <c r="T223" s="128"/>
      <c r="U223" s="128"/>
      <c r="V223" s="128"/>
      <c r="W223" s="128"/>
      <c r="X223" s="128"/>
      <c r="Y223" s="128"/>
      <c r="Z223" s="128"/>
      <c r="AA223" s="128"/>
      <c r="AB223" s="128"/>
      <c r="AC223" s="128"/>
      <c r="AD223" s="128"/>
      <c r="AE223" s="128"/>
      <c r="AF223" s="128"/>
      <c r="AG223" s="128"/>
      <c r="AH223" s="128"/>
      <c r="AI223" s="128"/>
      <c r="AJ223" s="128"/>
      <c r="AK223" s="128"/>
      <c r="AL223" s="128"/>
      <c r="AM223" s="128"/>
      <c r="AN223" s="128"/>
      <c r="AO223" s="128"/>
      <c r="AP223" s="128"/>
      <c r="AQ223" s="128"/>
      <c r="AR223" s="128"/>
      <c r="AS223" s="128"/>
      <c r="AT223" s="128"/>
      <c r="AU223" s="128"/>
      <c r="AV223" s="128"/>
      <c r="AW223" s="128"/>
      <c r="AX223" s="128"/>
      <c r="AY223" s="128"/>
      <c r="AZ223" s="128"/>
      <c r="BA223" s="128"/>
      <c r="BB223" s="128"/>
      <c r="BC223" s="128"/>
      <c r="BD223" s="128"/>
      <c r="BE223" s="128"/>
      <c r="BF223" s="128"/>
      <c r="BG223" s="128"/>
      <c r="BH223" s="128"/>
      <c r="BI223" s="128"/>
      <c r="BJ223" s="128"/>
      <c r="BK223" s="128"/>
      <c r="BL223" s="128"/>
      <c r="BM223" s="128"/>
      <c r="BN223" s="128"/>
      <c r="BO223" s="128"/>
      <c r="BP223" s="128"/>
      <c r="BQ223" s="128"/>
    </row>
    <row r="224" spans="1:69" ht="14.25" customHeight="1">
      <c r="A224" s="128"/>
      <c r="B224" s="128"/>
      <c r="C224" s="128"/>
      <c r="D224" s="128"/>
      <c r="E224" s="128"/>
      <c r="F224" s="128"/>
      <c r="G224" s="128"/>
      <c r="H224" s="128"/>
      <c r="I224" s="128"/>
      <c r="J224" s="128"/>
      <c r="K224" s="128"/>
      <c r="L224" s="128"/>
      <c r="M224" s="128"/>
      <c r="N224" s="128"/>
      <c r="O224" s="128"/>
      <c r="P224" s="128"/>
      <c r="Q224" s="128"/>
      <c r="R224" s="128"/>
      <c r="S224" s="128"/>
      <c r="T224" s="128"/>
      <c r="U224" s="128"/>
      <c r="V224" s="128"/>
      <c r="W224" s="128"/>
      <c r="X224" s="128"/>
      <c r="Y224" s="128"/>
      <c r="Z224" s="128"/>
      <c r="AA224" s="128"/>
      <c r="AB224" s="128"/>
      <c r="AC224" s="128"/>
      <c r="AD224" s="128"/>
      <c r="AE224" s="128"/>
      <c r="AF224" s="128"/>
      <c r="AG224" s="128"/>
      <c r="AH224" s="128"/>
      <c r="AI224" s="128"/>
      <c r="AJ224" s="128"/>
      <c r="AK224" s="128"/>
      <c r="AL224" s="128"/>
      <c r="AM224" s="128"/>
      <c r="AN224" s="128"/>
      <c r="AO224" s="128"/>
      <c r="AP224" s="128"/>
      <c r="AQ224" s="128"/>
      <c r="AR224" s="128"/>
      <c r="AS224" s="128"/>
      <c r="AT224" s="128"/>
      <c r="AU224" s="128"/>
      <c r="AV224" s="128"/>
      <c r="AW224" s="128"/>
      <c r="AX224" s="128"/>
      <c r="AY224" s="128"/>
      <c r="AZ224" s="128"/>
      <c r="BA224" s="128"/>
      <c r="BB224" s="128"/>
      <c r="BC224" s="128"/>
      <c r="BD224" s="128"/>
      <c r="BE224" s="128"/>
      <c r="BF224" s="128"/>
      <c r="BG224" s="128"/>
      <c r="BH224" s="128"/>
      <c r="BI224" s="128"/>
      <c r="BJ224" s="128"/>
      <c r="BK224" s="128"/>
      <c r="BL224" s="128"/>
      <c r="BM224" s="128"/>
      <c r="BN224" s="128"/>
      <c r="BO224" s="128"/>
      <c r="BP224" s="128"/>
      <c r="BQ224" s="128"/>
    </row>
    <row r="225" spans="1:69" ht="14.25" customHeight="1">
      <c r="A225" s="128"/>
      <c r="B225" s="128"/>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128"/>
      <c r="AH225" s="128"/>
      <c r="AI225" s="128"/>
      <c r="AJ225" s="128"/>
      <c r="AK225" s="128"/>
      <c r="AL225" s="128"/>
      <c r="AM225" s="128"/>
      <c r="AN225" s="128"/>
      <c r="AO225" s="128"/>
      <c r="AP225" s="128"/>
      <c r="AQ225" s="128"/>
      <c r="AR225" s="128"/>
      <c r="AS225" s="128"/>
      <c r="AT225" s="128"/>
      <c r="AU225" s="128"/>
      <c r="AV225" s="128"/>
      <c r="AW225" s="128"/>
      <c r="AX225" s="128"/>
      <c r="AY225" s="128"/>
      <c r="AZ225" s="128"/>
      <c r="BA225" s="128"/>
      <c r="BB225" s="128"/>
      <c r="BC225" s="128"/>
      <c r="BD225" s="128"/>
      <c r="BE225" s="128"/>
      <c r="BF225" s="128"/>
      <c r="BG225" s="128"/>
      <c r="BH225" s="128"/>
      <c r="BI225" s="128"/>
      <c r="BJ225" s="128"/>
      <c r="BK225" s="128"/>
      <c r="BL225" s="128"/>
      <c r="BM225" s="128"/>
      <c r="BN225" s="128"/>
      <c r="BO225" s="128"/>
      <c r="BP225" s="128"/>
      <c r="BQ225" s="128"/>
    </row>
    <row r="226" spans="1:69" ht="14.25" customHeight="1">
      <c r="A226" s="128"/>
      <c r="B226" s="128"/>
      <c r="C226" s="128"/>
      <c r="D226" s="128"/>
      <c r="E226" s="128"/>
      <c r="F226" s="128"/>
      <c r="G226" s="128"/>
      <c r="H226" s="128"/>
      <c r="I226" s="128"/>
      <c r="J226" s="128"/>
      <c r="K226" s="128"/>
      <c r="L226" s="128"/>
      <c r="M226" s="128"/>
      <c r="N226" s="128"/>
      <c r="O226" s="128"/>
      <c r="P226" s="128"/>
      <c r="Q226" s="128"/>
      <c r="R226" s="128"/>
      <c r="S226" s="128"/>
      <c r="T226" s="128"/>
      <c r="U226" s="128"/>
      <c r="V226" s="128"/>
      <c r="W226" s="128"/>
      <c r="X226" s="128"/>
      <c r="Y226" s="128"/>
      <c r="Z226" s="128"/>
      <c r="AA226" s="128"/>
      <c r="AB226" s="128"/>
      <c r="AC226" s="128"/>
      <c r="AD226" s="128"/>
      <c r="AE226" s="128"/>
      <c r="AF226" s="128"/>
      <c r="AG226" s="128"/>
      <c r="AH226" s="128"/>
      <c r="AI226" s="128"/>
      <c r="AJ226" s="128"/>
      <c r="AK226" s="128"/>
      <c r="AL226" s="128"/>
      <c r="AM226" s="128"/>
      <c r="AN226" s="128"/>
      <c r="AO226" s="128"/>
      <c r="AP226" s="128"/>
      <c r="AQ226" s="128"/>
      <c r="AR226" s="128"/>
      <c r="AS226" s="128"/>
      <c r="AT226" s="128"/>
      <c r="AU226" s="128"/>
      <c r="AV226" s="128"/>
      <c r="AW226" s="128"/>
      <c r="AX226" s="128"/>
      <c r="AY226" s="128"/>
      <c r="AZ226" s="128"/>
      <c r="BA226" s="128"/>
      <c r="BB226" s="128"/>
      <c r="BC226" s="128"/>
      <c r="BD226" s="128"/>
      <c r="BE226" s="128"/>
      <c r="BF226" s="128"/>
      <c r="BG226" s="128"/>
      <c r="BH226" s="128"/>
      <c r="BI226" s="128"/>
      <c r="BJ226" s="128"/>
      <c r="BK226" s="128"/>
      <c r="BL226" s="128"/>
      <c r="BM226" s="128"/>
      <c r="BN226" s="128"/>
      <c r="BO226" s="128"/>
      <c r="BP226" s="128"/>
      <c r="BQ226" s="128"/>
    </row>
    <row r="227" spans="1:69" ht="14.25" customHeight="1">
      <c r="A227" s="128"/>
      <c r="B227" s="128"/>
      <c r="C227" s="128"/>
      <c r="D227" s="128"/>
      <c r="E227" s="128"/>
      <c r="F227" s="128"/>
      <c r="G227" s="128"/>
      <c r="H227" s="128"/>
      <c r="I227" s="128"/>
      <c r="J227" s="128"/>
      <c r="K227" s="128"/>
      <c r="L227" s="128"/>
      <c r="M227" s="128"/>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row>
    <row r="228" spans="1:69" ht="14.25" customHeight="1">
      <c r="A228" s="128"/>
      <c r="B228" s="128"/>
      <c r="C228" s="128"/>
      <c r="D228" s="128"/>
      <c r="E228" s="128"/>
      <c r="F228" s="128"/>
      <c r="G228" s="128"/>
      <c r="H228" s="128"/>
      <c r="I228" s="128"/>
      <c r="J228" s="128"/>
      <c r="K228" s="128"/>
      <c r="L228" s="128"/>
      <c r="M228" s="128"/>
      <c r="N228" s="128"/>
      <c r="O228" s="128"/>
      <c r="P228" s="128"/>
      <c r="Q228" s="128"/>
      <c r="R228" s="128"/>
      <c r="S228" s="128"/>
      <c r="T228" s="128"/>
      <c r="U228" s="128"/>
      <c r="V228" s="128"/>
      <c r="W228" s="128"/>
      <c r="X228" s="128"/>
      <c r="Y228" s="128"/>
      <c r="Z228" s="128"/>
      <c r="AA228" s="128"/>
      <c r="AB228" s="128"/>
      <c r="AC228" s="128"/>
      <c r="AD228" s="128"/>
      <c r="AE228" s="128"/>
      <c r="AF228" s="128"/>
      <c r="AG228" s="128"/>
      <c r="AH228" s="128"/>
      <c r="AI228" s="128"/>
      <c r="AJ228" s="128"/>
      <c r="AK228" s="128"/>
      <c r="AL228" s="128"/>
      <c r="AM228" s="128"/>
      <c r="AN228" s="128"/>
      <c r="AO228" s="128"/>
      <c r="AP228" s="128"/>
      <c r="AQ228" s="128"/>
      <c r="AR228" s="128"/>
      <c r="AS228" s="128"/>
      <c r="AT228" s="128"/>
      <c r="AU228" s="128"/>
      <c r="AV228" s="128"/>
      <c r="AW228" s="128"/>
      <c r="AX228" s="128"/>
      <c r="AY228" s="128"/>
      <c r="AZ228" s="128"/>
      <c r="BA228" s="128"/>
      <c r="BB228" s="128"/>
      <c r="BC228" s="128"/>
      <c r="BD228" s="128"/>
      <c r="BE228" s="128"/>
      <c r="BF228" s="128"/>
      <c r="BG228" s="128"/>
      <c r="BH228" s="128"/>
      <c r="BI228" s="128"/>
      <c r="BJ228" s="128"/>
      <c r="BK228" s="128"/>
      <c r="BL228" s="128"/>
      <c r="BM228" s="128"/>
      <c r="BN228" s="128"/>
      <c r="BO228" s="128"/>
      <c r="BP228" s="128"/>
      <c r="BQ228" s="128"/>
    </row>
    <row r="229" spans="1:69" ht="14.25" customHeight="1">
      <c r="A229" s="128"/>
      <c r="B229" s="128"/>
      <c r="C229" s="128"/>
      <c r="D229" s="128"/>
      <c r="E229" s="128"/>
      <c r="F229" s="128"/>
      <c r="G229" s="128"/>
      <c r="H229" s="128"/>
      <c r="I229" s="128"/>
      <c r="J229" s="128"/>
      <c r="K229" s="128"/>
      <c r="L229" s="128"/>
      <c r="M229" s="128"/>
      <c r="N229" s="128"/>
      <c r="O229" s="128"/>
      <c r="P229" s="128"/>
      <c r="Q229" s="128"/>
      <c r="R229" s="128"/>
      <c r="S229" s="128"/>
      <c r="T229" s="128"/>
      <c r="U229" s="128"/>
      <c r="V229" s="128"/>
      <c r="W229" s="128"/>
      <c r="X229" s="128"/>
      <c r="Y229" s="128"/>
      <c r="Z229" s="128"/>
      <c r="AA229" s="128"/>
      <c r="AB229" s="128"/>
      <c r="AC229" s="128"/>
      <c r="AD229" s="128"/>
      <c r="AE229" s="128"/>
      <c r="AF229" s="128"/>
      <c r="AG229" s="128"/>
      <c r="AH229" s="128"/>
      <c r="AI229" s="128"/>
      <c r="AJ229" s="128"/>
      <c r="AK229" s="128"/>
      <c r="AL229" s="128"/>
      <c r="AM229" s="128"/>
      <c r="AN229" s="128"/>
      <c r="AO229" s="128"/>
      <c r="AP229" s="128"/>
      <c r="AQ229" s="128"/>
      <c r="AR229" s="128"/>
      <c r="AS229" s="128"/>
      <c r="AT229" s="128"/>
      <c r="AU229" s="128"/>
      <c r="AV229" s="128"/>
      <c r="AW229" s="128"/>
      <c r="AX229" s="128"/>
      <c r="AY229" s="128"/>
      <c r="AZ229" s="128"/>
      <c r="BA229" s="128"/>
      <c r="BB229" s="128"/>
      <c r="BC229" s="128"/>
      <c r="BD229" s="128"/>
      <c r="BE229" s="128"/>
      <c r="BF229" s="128"/>
      <c r="BG229" s="128"/>
      <c r="BH229" s="128"/>
      <c r="BI229" s="128"/>
      <c r="BJ229" s="128"/>
      <c r="BK229" s="128"/>
      <c r="BL229" s="128"/>
      <c r="BM229" s="128"/>
      <c r="BN229" s="128"/>
      <c r="BO229" s="128"/>
      <c r="BP229" s="128"/>
      <c r="BQ229" s="128"/>
    </row>
    <row r="230" spans="1:69" ht="14.25" customHeight="1">
      <c r="A230" s="128"/>
      <c r="B230" s="128"/>
      <c r="C230" s="128"/>
      <c r="D230" s="128"/>
      <c r="E230" s="128"/>
      <c r="F230" s="128"/>
      <c r="G230" s="128"/>
      <c r="H230" s="128"/>
      <c r="I230" s="128"/>
      <c r="J230" s="128"/>
      <c r="K230" s="128"/>
      <c r="L230" s="128"/>
      <c r="M230" s="128"/>
      <c r="N230" s="128"/>
      <c r="O230" s="128"/>
      <c r="P230" s="128"/>
      <c r="Q230" s="128"/>
      <c r="R230" s="128"/>
      <c r="S230" s="128"/>
      <c r="T230" s="128"/>
      <c r="U230" s="128"/>
      <c r="V230" s="128"/>
      <c r="W230" s="128"/>
      <c r="X230" s="128"/>
      <c r="Y230" s="128"/>
      <c r="Z230" s="128"/>
      <c r="AA230" s="128"/>
      <c r="AB230" s="128"/>
      <c r="AC230" s="128"/>
      <c r="AD230" s="128"/>
      <c r="AE230" s="128"/>
      <c r="AF230" s="128"/>
      <c r="AG230" s="128"/>
      <c r="AH230" s="128"/>
      <c r="AI230" s="128"/>
      <c r="AJ230" s="128"/>
      <c r="AK230" s="128"/>
      <c r="AL230" s="128"/>
      <c r="AM230" s="128"/>
      <c r="AN230" s="128"/>
      <c r="AO230" s="128"/>
      <c r="AP230" s="128"/>
      <c r="AQ230" s="128"/>
      <c r="AR230" s="128"/>
      <c r="AS230" s="128"/>
      <c r="AT230" s="128"/>
      <c r="AU230" s="128"/>
      <c r="AV230" s="128"/>
      <c r="AW230" s="128"/>
      <c r="AX230" s="128"/>
      <c r="AY230" s="128"/>
      <c r="AZ230" s="128"/>
      <c r="BA230" s="128"/>
      <c r="BB230" s="128"/>
      <c r="BC230" s="128"/>
      <c r="BD230" s="128"/>
      <c r="BE230" s="128"/>
      <c r="BF230" s="128"/>
      <c r="BG230" s="128"/>
      <c r="BH230" s="128"/>
      <c r="BI230" s="128"/>
      <c r="BJ230" s="128"/>
      <c r="BK230" s="128"/>
      <c r="BL230" s="128"/>
      <c r="BM230" s="128"/>
      <c r="BN230" s="128"/>
      <c r="BO230" s="128"/>
      <c r="BP230" s="128"/>
      <c r="BQ230" s="128"/>
    </row>
    <row r="231" spans="1:69" ht="14.25" customHeight="1">
      <c r="A231" s="128"/>
      <c r="B231" s="128"/>
      <c r="C231" s="128"/>
      <c r="D231" s="128"/>
      <c r="E231" s="128"/>
      <c r="F231" s="128"/>
      <c r="G231" s="128"/>
      <c r="H231" s="128"/>
      <c r="I231" s="128"/>
      <c r="J231" s="128"/>
      <c r="K231" s="128"/>
      <c r="L231" s="128"/>
      <c r="M231" s="128"/>
      <c r="N231" s="128"/>
      <c r="O231" s="128"/>
      <c r="P231" s="128"/>
      <c r="Q231" s="128"/>
      <c r="R231" s="128"/>
      <c r="S231" s="128"/>
      <c r="T231" s="128"/>
      <c r="U231" s="128"/>
      <c r="V231" s="128"/>
      <c r="W231" s="128"/>
      <c r="X231" s="128"/>
      <c r="Y231" s="128"/>
      <c r="Z231" s="128"/>
      <c r="AA231" s="128"/>
      <c r="AB231" s="128"/>
      <c r="AC231" s="128"/>
      <c r="AD231" s="128"/>
      <c r="AE231" s="128"/>
      <c r="AF231" s="128"/>
      <c r="AG231" s="128"/>
      <c r="AH231" s="128"/>
      <c r="AI231" s="128"/>
      <c r="AJ231" s="128"/>
      <c r="AK231" s="128"/>
      <c r="AL231" s="128"/>
      <c r="AM231" s="128"/>
      <c r="AN231" s="128"/>
      <c r="AO231" s="128"/>
      <c r="AP231" s="128"/>
      <c r="AQ231" s="128"/>
      <c r="AR231" s="128"/>
      <c r="AS231" s="128"/>
      <c r="AT231" s="128"/>
      <c r="AU231" s="128"/>
      <c r="AV231" s="128"/>
      <c r="AW231" s="128"/>
      <c r="AX231" s="128"/>
      <c r="AY231" s="128"/>
      <c r="AZ231" s="128"/>
      <c r="BA231" s="128"/>
      <c r="BB231" s="128"/>
      <c r="BC231" s="128"/>
      <c r="BD231" s="128"/>
      <c r="BE231" s="128"/>
      <c r="BF231" s="128"/>
      <c r="BG231" s="128"/>
      <c r="BH231" s="128"/>
      <c r="BI231" s="128"/>
      <c r="BJ231" s="128"/>
      <c r="BK231" s="128"/>
      <c r="BL231" s="128"/>
      <c r="BM231" s="128"/>
      <c r="BN231" s="128"/>
      <c r="BO231" s="128"/>
      <c r="BP231" s="128"/>
      <c r="BQ231" s="128"/>
    </row>
    <row r="232" spans="1:69" ht="14.25" customHeight="1">
      <c r="A232" s="128"/>
      <c r="B232" s="128"/>
      <c r="C232" s="128"/>
      <c r="D232" s="128"/>
      <c r="E232" s="128"/>
      <c r="F232" s="128"/>
      <c r="G232" s="128"/>
      <c r="H232" s="128"/>
      <c r="I232" s="128"/>
      <c r="J232" s="128"/>
      <c r="K232" s="128"/>
      <c r="L232" s="128"/>
      <c r="M232" s="128"/>
      <c r="N232" s="128"/>
      <c r="O232" s="128"/>
      <c r="P232" s="128"/>
      <c r="Q232" s="128"/>
      <c r="R232" s="128"/>
      <c r="S232" s="128"/>
      <c r="T232" s="128"/>
      <c r="U232" s="128"/>
      <c r="V232" s="128"/>
      <c r="W232" s="128"/>
      <c r="X232" s="128"/>
      <c r="Y232" s="128"/>
      <c r="Z232" s="128"/>
      <c r="AA232" s="128"/>
      <c r="AB232" s="128"/>
      <c r="AC232" s="128"/>
      <c r="AD232" s="128"/>
      <c r="AE232" s="128"/>
      <c r="AF232" s="128"/>
      <c r="AG232" s="128"/>
      <c r="AH232" s="128"/>
      <c r="AI232" s="128"/>
      <c r="AJ232" s="128"/>
      <c r="AK232" s="128"/>
      <c r="AL232" s="128"/>
      <c r="AM232" s="128"/>
      <c r="AN232" s="128"/>
      <c r="AO232" s="128"/>
      <c r="AP232" s="128"/>
      <c r="AQ232" s="128"/>
      <c r="AR232" s="128"/>
      <c r="AS232" s="128"/>
      <c r="AT232" s="128"/>
      <c r="AU232" s="128"/>
      <c r="AV232" s="128"/>
      <c r="AW232" s="128"/>
      <c r="AX232" s="128"/>
      <c r="AY232" s="128"/>
      <c r="AZ232" s="128"/>
      <c r="BA232" s="128"/>
      <c r="BB232" s="128"/>
      <c r="BC232" s="128"/>
      <c r="BD232" s="128"/>
      <c r="BE232" s="128"/>
      <c r="BF232" s="128"/>
      <c r="BG232" s="128"/>
      <c r="BH232" s="128"/>
      <c r="BI232" s="128"/>
      <c r="BJ232" s="128"/>
      <c r="BK232" s="128"/>
      <c r="BL232" s="128"/>
      <c r="BM232" s="128"/>
      <c r="BN232" s="128"/>
      <c r="BO232" s="128"/>
      <c r="BP232" s="128"/>
      <c r="BQ232" s="128"/>
    </row>
    <row r="233" spans="1:69" ht="14.25" customHeight="1">
      <c r="A233" s="128"/>
      <c r="B233" s="128"/>
      <c r="C233" s="128"/>
      <c r="D233" s="128"/>
      <c r="E233" s="128"/>
      <c r="F233" s="128"/>
      <c r="G233" s="128"/>
      <c r="H233" s="128"/>
      <c r="I233" s="128"/>
      <c r="J233" s="128"/>
      <c r="K233" s="128"/>
      <c r="L233" s="128"/>
      <c r="M233" s="128"/>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row>
    <row r="234" spans="1:69" ht="14.25" customHeight="1">
      <c r="A234" s="128"/>
      <c r="B234" s="128"/>
      <c r="C234" s="128"/>
      <c r="D234" s="128"/>
      <c r="E234" s="128"/>
      <c r="F234" s="128"/>
      <c r="G234" s="128"/>
      <c r="H234" s="128"/>
      <c r="I234" s="128"/>
      <c r="J234" s="128"/>
      <c r="K234" s="128"/>
      <c r="L234" s="128"/>
      <c r="M234" s="128"/>
      <c r="N234" s="128"/>
      <c r="O234" s="128"/>
      <c r="P234" s="128"/>
      <c r="Q234" s="128"/>
      <c r="R234" s="128"/>
      <c r="S234" s="128"/>
      <c r="T234" s="128"/>
      <c r="U234" s="128"/>
      <c r="V234" s="128"/>
      <c r="W234" s="128"/>
      <c r="X234" s="128"/>
      <c r="Y234" s="128"/>
      <c r="Z234" s="128"/>
      <c r="AA234" s="128"/>
      <c r="AB234" s="128"/>
      <c r="AC234" s="128"/>
      <c r="AD234" s="128"/>
      <c r="AE234" s="128"/>
      <c r="AF234" s="128"/>
      <c r="AG234" s="128"/>
      <c r="AH234" s="128"/>
      <c r="AI234" s="128"/>
      <c r="AJ234" s="128"/>
      <c r="AK234" s="128"/>
      <c r="AL234" s="128"/>
      <c r="AM234" s="128"/>
      <c r="AN234" s="128"/>
      <c r="AO234" s="128"/>
      <c r="AP234" s="128"/>
      <c r="AQ234" s="128"/>
      <c r="AR234" s="128"/>
      <c r="AS234" s="128"/>
      <c r="AT234" s="128"/>
      <c r="AU234" s="128"/>
      <c r="AV234" s="128"/>
      <c r="AW234" s="128"/>
      <c r="AX234" s="128"/>
      <c r="AY234" s="128"/>
      <c r="AZ234" s="128"/>
      <c r="BA234" s="128"/>
      <c r="BB234" s="128"/>
      <c r="BC234" s="128"/>
      <c r="BD234" s="128"/>
      <c r="BE234" s="128"/>
      <c r="BF234" s="128"/>
      <c r="BG234" s="128"/>
      <c r="BH234" s="128"/>
      <c r="BI234" s="128"/>
      <c r="BJ234" s="128"/>
      <c r="BK234" s="128"/>
      <c r="BL234" s="128"/>
      <c r="BM234" s="128"/>
      <c r="BN234" s="128"/>
      <c r="BO234" s="128"/>
      <c r="BP234" s="128"/>
      <c r="BQ234" s="128"/>
    </row>
    <row r="235" spans="1:69" ht="14.25" customHeight="1">
      <c r="A235" s="128"/>
      <c r="B235" s="128"/>
      <c r="C235" s="128"/>
      <c r="D235" s="128"/>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28"/>
      <c r="AA235" s="128"/>
      <c r="AB235" s="128"/>
      <c r="AC235" s="128"/>
      <c r="AD235" s="128"/>
      <c r="AE235" s="128"/>
      <c r="AF235" s="128"/>
      <c r="AG235" s="128"/>
      <c r="AH235" s="128"/>
      <c r="AI235" s="128"/>
      <c r="AJ235" s="128"/>
      <c r="AK235" s="128"/>
      <c r="AL235" s="128"/>
      <c r="AM235" s="128"/>
      <c r="AN235" s="128"/>
      <c r="AO235" s="128"/>
      <c r="AP235" s="128"/>
      <c r="AQ235" s="128"/>
      <c r="AR235" s="128"/>
      <c r="AS235" s="128"/>
      <c r="AT235" s="128"/>
      <c r="AU235" s="128"/>
      <c r="AV235" s="128"/>
      <c r="AW235" s="128"/>
      <c r="AX235" s="128"/>
      <c r="AY235" s="128"/>
      <c r="AZ235" s="128"/>
      <c r="BA235" s="128"/>
      <c r="BB235" s="128"/>
      <c r="BC235" s="128"/>
      <c r="BD235" s="128"/>
      <c r="BE235" s="128"/>
      <c r="BF235" s="128"/>
      <c r="BG235" s="128"/>
      <c r="BH235" s="128"/>
      <c r="BI235" s="128"/>
      <c r="BJ235" s="128"/>
      <c r="BK235" s="128"/>
      <c r="BL235" s="128"/>
      <c r="BM235" s="128"/>
      <c r="BN235" s="128"/>
      <c r="BO235" s="128"/>
      <c r="BP235" s="128"/>
      <c r="BQ235" s="128"/>
    </row>
    <row r="236" spans="1:69" ht="14.25" customHeight="1">
      <c r="A236" s="128"/>
      <c r="B236" s="128"/>
      <c r="C236" s="128"/>
      <c r="D236" s="128"/>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c r="AA236" s="128"/>
      <c r="AB236" s="128"/>
      <c r="AC236" s="128"/>
      <c r="AD236" s="128"/>
      <c r="AE236" s="128"/>
      <c r="AF236" s="128"/>
      <c r="AG236" s="128"/>
      <c r="AH236" s="128"/>
      <c r="AI236" s="128"/>
      <c r="AJ236" s="128"/>
      <c r="AK236" s="128"/>
      <c r="AL236" s="128"/>
      <c r="AM236" s="128"/>
      <c r="AN236" s="128"/>
      <c r="AO236" s="128"/>
      <c r="AP236" s="128"/>
      <c r="AQ236" s="128"/>
      <c r="AR236" s="128"/>
      <c r="AS236" s="128"/>
      <c r="AT236" s="128"/>
      <c r="AU236" s="128"/>
      <c r="AV236" s="128"/>
      <c r="AW236" s="128"/>
      <c r="AX236" s="128"/>
      <c r="AY236" s="128"/>
      <c r="AZ236" s="128"/>
      <c r="BA236" s="128"/>
      <c r="BB236" s="128"/>
      <c r="BC236" s="128"/>
      <c r="BD236" s="128"/>
      <c r="BE236" s="128"/>
      <c r="BF236" s="128"/>
      <c r="BG236" s="128"/>
      <c r="BH236" s="128"/>
      <c r="BI236" s="128"/>
      <c r="BJ236" s="128"/>
      <c r="BK236" s="128"/>
      <c r="BL236" s="128"/>
      <c r="BM236" s="128"/>
      <c r="BN236" s="128"/>
      <c r="BO236" s="128"/>
      <c r="BP236" s="128"/>
      <c r="BQ236" s="128"/>
    </row>
    <row r="237" spans="1:69" ht="14.25" customHeight="1">
      <c r="A237" s="128"/>
      <c r="B237" s="128"/>
      <c r="C237" s="12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c r="AA237" s="128"/>
      <c r="AB237" s="128"/>
      <c r="AC237" s="128"/>
      <c r="AD237" s="128"/>
      <c r="AE237" s="128"/>
      <c r="AF237" s="128"/>
      <c r="AG237" s="128"/>
      <c r="AH237" s="128"/>
      <c r="AI237" s="128"/>
      <c r="AJ237" s="128"/>
      <c r="AK237" s="128"/>
      <c r="AL237" s="128"/>
      <c r="AM237" s="128"/>
      <c r="AN237" s="128"/>
      <c r="AO237" s="128"/>
      <c r="AP237" s="128"/>
      <c r="AQ237" s="128"/>
      <c r="AR237" s="128"/>
      <c r="AS237" s="128"/>
      <c r="AT237" s="128"/>
      <c r="AU237" s="128"/>
      <c r="AV237" s="128"/>
      <c r="AW237" s="128"/>
      <c r="AX237" s="128"/>
      <c r="AY237" s="128"/>
      <c r="AZ237" s="128"/>
      <c r="BA237" s="128"/>
      <c r="BB237" s="128"/>
      <c r="BC237" s="128"/>
      <c r="BD237" s="128"/>
      <c r="BE237" s="128"/>
      <c r="BF237" s="128"/>
      <c r="BG237" s="128"/>
      <c r="BH237" s="128"/>
      <c r="BI237" s="128"/>
      <c r="BJ237" s="128"/>
      <c r="BK237" s="128"/>
      <c r="BL237" s="128"/>
      <c r="BM237" s="128"/>
      <c r="BN237" s="128"/>
      <c r="BO237" s="128"/>
      <c r="BP237" s="128"/>
      <c r="BQ237" s="128"/>
    </row>
    <row r="238" spans="1:69" ht="14.25" customHeight="1">
      <c r="A238" s="128"/>
      <c r="B238" s="128"/>
      <c r="C238" s="128"/>
      <c r="D238" s="128"/>
      <c r="E238" s="128"/>
      <c r="F238" s="128"/>
      <c r="G238" s="128"/>
      <c r="H238" s="128"/>
      <c r="I238" s="128"/>
      <c r="J238" s="128"/>
      <c r="K238" s="128"/>
      <c r="L238" s="128"/>
      <c r="M238" s="128"/>
      <c r="N238" s="128"/>
      <c r="O238" s="128"/>
      <c r="P238" s="128"/>
      <c r="Q238" s="128"/>
      <c r="R238" s="128"/>
      <c r="S238" s="128"/>
      <c r="T238" s="128"/>
      <c r="U238" s="128"/>
      <c r="V238" s="128"/>
      <c r="W238" s="128"/>
      <c r="X238" s="128"/>
      <c r="Y238" s="128"/>
      <c r="Z238" s="128"/>
      <c r="AA238" s="128"/>
      <c r="AB238" s="128"/>
      <c r="AC238" s="128"/>
      <c r="AD238" s="128"/>
      <c r="AE238" s="128"/>
      <c r="AF238" s="128"/>
      <c r="AG238" s="128"/>
      <c r="AH238" s="128"/>
      <c r="AI238" s="128"/>
      <c r="AJ238" s="128"/>
      <c r="AK238" s="128"/>
      <c r="AL238" s="128"/>
      <c r="AM238" s="128"/>
      <c r="AN238" s="128"/>
      <c r="AO238" s="128"/>
      <c r="AP238" s="128"/>
      <c r="AQ238" s="128"/>
      <c r="AR238" s="128"/>
      <c r="AS238" s="128"/>
      <c r="AT238" s="128"/>
      <c r="AU238" s="128"/>
      <c r="AV238" s="128"/>
      <c r="AW238" s="128"/>
      <c r="AX238" s="128"/>
      <c r="AY238" s="128"/>
      <c r="AZ238" s="128"/>
      <c r="BA238" s="128"/>
      <c r="BB238" s="128"/>
      <c r="BC238" s="128"/>
      <c r="BD238" s="128"/>
      <c r="BE238" s="128"/>
      <c r="BF238" s="128"/>
      <c r="BG238" s="128"/>
      <c r="BH238" s="128"/>
      <c r="BI238" s="128"/>
      <c r="BJ238" s="128"/>
      <c r="BK238" s="128"/>
      <c r="BL238" s="128"/>
      <c r="BM238" s="128"/>
      <c r="BN238" s="128"/>
      <c r="BO238" s="128"/>
      <c r="BP238" s="128"/>
      <c r="BQ238" s="128"/>
    </row>
    <row r="239" spans="1:69" ht="14.25" customHeight="1">
      <c r="A239" s="128"/>
      <c r="B239" s="128"/>
      <c r="C239" s="12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row>
    <row r="240" spans="1:69" ht="14.25" customHeight="1">
      <c r="A240" s="128"/>
      <c r="B240" s="128"/>
      <c r="C240" s="128"/>
      <c r="D240" s="128"/>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c r="AA240" s="128"/>
      <c r="AB240" s="128"/>
      <c r="AC240" s="128"/>
      <c r="AD240" s="128"/>
      <c r="AE240" s="128"/>
      <c r="AF240" s="128"/>
      <c r="AG240" s="128"/>
      <c r="AH240" s="128"/>
      <c r="AI240" s="128"/>
      <c r="AJ240" s="128"/>
      <c r="AK240" s="128"/>
      <c r="AL240" s="128"/>
      <c r="AM240" s="128"/>
      <c r="AN240" s="128"/>
      <c r="AO240" s="128"/>
      <c r="AP240" s="128"/>
      <c r="AQ240" s="128"/>
      <c r="AR240" s="128"/>
      <c r="AS240" s="128"/>
      <c r="AT240" s="128"/>
      <c r="AU240" s="128"/>
      <c r="AV240" s="128"/>
      <c r="AW240" s="128"/>
      <c r="AX240" s="128"/>
      <c r="AY240" s="128"/>
      <c r="AZ240" s="128"/>
      <c r="BA240" s="128"/>
      <c r="BB240" s="128"/>
      <c r="BC240" s="128"/>
      <c r="BD240" s="128"/>
      <c r="BE240" s="128"/>
      <c r="BF240" s="128"/>
      <c r="BG240" s="128"/>
      <c r="BH240" s="128"/>
      <c r="BI240" s="128"/>
      <c r="BJ240" s="128"/>
      <c r="BK240" s="128"/>
      <c r="BL240" s="128"/>
      <c r="BM240" s="128"/>
      <c r="BN240" s="128"/>
      <c r="BO240" s="128"/>
      <c r="BP240" s="128"/>
      <c r="BQ240" s="128"/>
    </row>
    <row r="241" spans="1:69" ht="14.25" customHeight="1">
      <c r="A241" s="128"/>
      <c r="B241" s="128"/>
      <c r="C241" s="128"/>
      <c r="D241" s="128"/>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28"/>
      <c r="AA241" s="128"/>
      <c r="AB241" s="128"/>
      <c r="AC241" s="128"/>
      <c r="AD241" s="128"/>
      <c r="AE241" s="128"/>
      <c r="AF241" s="128"/>
      <c r="AG241" s="128"/>
      <c r="AH241" s="128"/>
      <c r="AI241" s="128"/>
      <c r="AJ241" s="128"/>
      <c r="AK241" s="128"/>
      <c r="AL241" s="128"/>
      <c r="AM241" s="128"/>
      <c r="AN241" s="128"/>
      <c r="AO241" s="128"/>
      <c r="AP241" s="128"/>
      <c r="AQ241" s="128"/>
      <c r="AR241" s="128"/>
      <c r="AS241" s="128"/>
      <c r="AT241" s="128"/>
      <c r="AU241" s="128"/>
      <c r="AV241" s="128"/>
      <c r="AW241" s="128"/>
      <c r="AX241" s="128"/>
      <c r="AY241" s="128"/>
      <c r="AZ241" s="128"/>
      <c r="BA241" s="128"/>
      <c r="BB241" s="128"/>
      <c r="BC241" s="128"/>
      <c r="BD241" s="128"/>
      <c r="BE241" s="128"/>
      <c r="BF241" s="128"/>
      <c r="BG241" s="128"/>
      <c r="BH241" s="128"/>
      <c r="BI241" s="128"/>
      <c r="BJ241" s="128"/>
      <c r="BK241" s="128"/>
      <c r="BL241" s="128"/>
      <c r="BM241" s="128"/>
      <c r="BN241" s="128"/>
      <c r="BO241" s="128"/>
      <c r="BP241" s="128"/>
      <c r="BQ241" s="128"/>
    </row>
    <row r="242" spans="1:69" ht="14.25" customHeight="1">
      <c r="A242" s="128"/>
      <c r="B242" s="128"/>
      <c r="C242" s="128"/>
      <c r="D242" s="128"/>
      <c r="E242" s="128"/>
      <c r="F242" s="128"/>
      <c r="G242" s="128"/>
      <c r="H242" s="128"/>
      <c r="I242" s="128"/>
      <c r="J242" s="128"/>
      <c r="K242" s="128"/>
      <c r="L242" s="128"/>
      <c r="M242" s="128"/>
      <c r="N242" s="128"/>
      <c r="O242" s="128"/>
      <c r="P242" s="128"/>
      <c r="Q242" s="128"/>
      <c r="R242" s="128"/>
      <c r="S242" s="128"/>
      <c r="T242" s="128"/>
      <c r="U242" s="128"/>
      <c r="V242" s="128"/>
      <c r="W242" s="128"/>
      <c r="X242" s="128"/>
      <c r="Y242" s="128"/>
      <c r="Z242" s="128"/>
      <c r="AA242" s="128"/>
      <c r="AB242" s="128"/>
      <c r="AC242" s="128"/>
      <c r="AD242" s="128"/>
      <c r="AE242" s="128"/>
      <c r="AF242" s="128"/>
      <c r="AG242" s="128"/>
      <c r="AH242" s="128"/>
      <c r="AI242" s="128"/>
      <c r="AJ242" s="128"/>
      <c r="AK242" s="128"/>
      <c r="AL242" s="128"/>
      <c r="AM242" s="128"/>
      <c r="AN242" s="128"/>
      <c r="AO242" s="128"/>
      <c r="AP242" s="128"/>
      <c r="AQ242" s="128"/>
      <c r="AR242" s="128"/>
      <c r="AS242" s="128"/>
      <c r="AT242" s="128"/>
      <c r="AU242" s="128"/>
      <c r="AV242" s="128"/>
      <c r="AW242" s="128"/>
      <c r="AX242" s="128"/>
      <c r="AY242" s="128"/>
      <c r="AZ242" s="128"/>
      <c r="BA242" s="128"/>
      <c r="BB242" s="128"/>
      <c r="BC242" s="128"/>
      <c r="BD242" s="128"/>
      <c r="BE242" s="128"/>
      <c r="BF242" s="128"/>
      <c r="BG242" s="128"/>
      <c r="BH242" s="128"/>
      <c r="BI242" s="128"/>
      <c r="BJ242" s="128"/>
      <c r="BK242" s="128"/>
      <c r="BL242" s="128"/>
      <c r="BM242" s="128"/>
      <c r="BN242" s="128"/>
      <c r="BO242" s="128"/>
      <c r="BP242" s="128"/>
      <c r="BQ242" s="128"/>
    </row>
    <row r="243" spans="1:69" ht="14.25" customHeight="1">
      <c r="A243" s="128"/>
      <c r="B243" s="128"/>
      <c r="C243" s="128"/>
      <c r="D243" s="128"/>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28"/>
      <c r="AA243" s="128"/>
      <c r="AB243" s="128"/>
      <c r="AC243" s="128"/>
      <c r="AD243" s="128"/>
      <c r="AE243" s="128"/>
      <c r="AF243" s="128"/>
      <c r="AG243" s="128"/>
      <c r="AH243" s="128"/>
      <c r="AI243" s="128"/>
      <c r="AJ243" s="128"/>
      <c r="AK243" s="128"/>
      <c r="AL243" s="128"/>
      <c r="AM243" s="128"/>
      <c r="AN243" s="128"/>
      <c r="AO243" s="128"/>
      <c r="AP243" s="128"/>
      <c r="AQ243" s="128"/>
      <c r="AR243" s="128"/>
      <c r="AS243" s="128"/>
      <c r="AT243" s="128"/>
      <c r="AU243" s="128"/>
      <c r="AV243" s="128"/>
      <c r="AW243" s="128"/>
      <c r="AX243" s="128"/>
      <c r="AY243" s="128"/>
      <c r="AZ243" s="128"/>
      <c r="BA243" s="128"/>
      <c r="BB243" s="128"/>
      <c r="BC243" s="128"/>
      <c r="BD243" s="128"/>
      <c r="BE243" s="128"/>
      <c r="BF243" s="128"/>
      <c r="BG243" s="128"/>
      <c r="BH243" s="128"/>
      <c r="BI243" s="128"/>
      <c r="BJ243" s="128"/>
      <c r="BK243" s="128"/>
      <c r="BL243" s="128"/>
      <c r="BM243" s="128"/>
      <c r="BN243" s="128"/>
      <c r="BO243" s="128"/>
      <c r="BP243" s="128"/>
      <c r="BQ243" s="128"/>
    </row>
    <row r="244" spans="1:69" ht="14.25" customHeight="1">
      <c r="A244" s="128"/>
      <c r="B244" s="128"/>
      <c r="C244" s="128"/>
      <c r="D244" s="128"/>
      <c r="E244" s="128"/>
      <c r="F244" s="128"/>
      <c r="G244" s="128"/>
      <c r="H244" s="128"/>
      <c r="I244" s="128"/>
      <c r="J244" s="128"/>
      <c r="K244" s="128"/>
      <c r="L244" s="128"/>
      <c r="M244" s="128"/>
      <c r="N244" s="128"/>
      <c r="O244" s="128"/>
      <c r="P244" s="128"/>
      <c r="Q244" s="128"/>
      <c r="R244" s="128"/>
      <c r="S244" s="128"/>
      <c r="T244" s="128"/>
      <c r="U244" s="128"/>
      <c r="V244" s="128"/>
      <c r="W244" s="128"/>
      <c r="X244" s="128"/>
      <c r="Y244" s="128"/>
      <c r="Z244" s="128"/>
      <c r="AA244" s="128"/>
      <c r="AB244" s="128"/>
      <c r="AC244" s="128"/>
      <c r="AD244" s="128"/>
      <c r="AE244" s="128"/>
      <c r="AF244" s="128"/>
      <c r="AG244" s="128"/>
      <c r="AH244" s="128"/>
      <c r="AI244" s="128"/>
      <c r="AJ244" s="128"/>
      <c r="AK244" s="128"/>
      <c r="AL244" s="128"/>
      <c r="AM244" s="128"/>
      <c r="AN244" s="128"/>
      <c r="AO244" s="128"/>
      <c r="AP244" s="128"/>
      <c r="AQ244" s="128"/>
      <c r="AR244" s="128"/>
      <c r="AS244" s="128"/>
      <c r="AT244" s="128"/>
      <c r="AU244" s="128"/>
      <c r="AV244" s="128"/>
      <c r="AW244" s="128"/>
      <c r="AX244" s="128"/>
      <c r="AY244" s="128"/>
      <c r="AZ244" s="128"/>
      <c r="BA244" s="128"/>
      <c r="BB244" s="128"/>
      <c r="BC244" s="128"/>
      <c r="BD244" s="128"/>
      <c r="BE244" s="128"/>
      <c r="BF244" s="128"/>
      <c r="BG244" s="128"/>
      <c r="BH244" s="128"/>
      <c r="BI244" s="128"/>
      <c r="BJ244" s="128"/>
      <c r="BK244" s="128"/>
      <c r="BL244" s="128"/>
      <c r="BM244" s="128"/>
      <c r="BN244" s="128"/>
      <c r="BO244" s="128"/>
      <c r="BP244" s="128"/>
      <c r="BQ244" s="128"/>
    </row>
    <row r="245" spans="1:69" ht="14.25" customHeight="1">
      <c r="A245" s="128"/>
      <c r="B245" s="128"/>
      <c r="C245" s="128"/>
      <c r="D245" s="128"/>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row>
    <row r="246" spans="1:69" ht="14.25" customHeight="1">
      <c r="A246" s="128"/>
      <c r="B246" s="128"/>
      <c r="C246" s="128"/>
      <c r="D246" s="128"/>
      <c r="E246" s="128"/>
      <c r="F246" s="128"/>
      <c r="G246" s="128"/>
      <c r="H246" s="128"/>
      <c r="I246" s="128"/>
      <c r="J246" s="128"/>
      <c r="K246" s="128"/>
      <c r="L246" s="128"/>
      <c r="M246" s="128"/>
      <c r="N246" s="128"/>
      <c r="O246" s="128"/>
      <c r="P246" s="128"/>
      <c r="Q246" s="128"/>
      <c r="R246" s="128"/>
      <c r="S246" s="128"/>
      <c r="T246" s="128"/>
      <c r="U246" s="128"/>
      <c r="V246" s="128"/>
      <c r="W246" s="128"/>
      <c r="X246" s="128"/>
      <c r="Y246" s="128"/>
      <c r="Z246" s="128"/>
      <c r="AA246" s="128"/>
      <c r="AB246" s="128"/>
      <c r="AC246" s="128"/>
      <c r="AD246" s="128"/>
      <c r="AE246" s="128"/>
      <c r="AF246" s="128"/>
      <c r="AG246" s="128"/>
      <c r="AH246" s="128"/>
      <c r="AI246" s="128"/>
      <c r="AJ246" s="128"/>
      <c r="AK246" s="128"/>
      <c r="AL246" s="128"/>
      <c r="AM246" s="128"/>
      <c r="AN246" s="128"/>
      <c r="AO246" s="128"/>
      <c r="AP246" s="128"/>
      <c r="AQ246" s="128"/>
      <c r="AR246" s="128"/>
      <c r="AS246" s="128"/>
      <c r="AT246" s="128"/>
      <c r="AU246" s="128"/>
      <c r="AV246" s="128"/>
      <c r="AW246" s="128"/>
      <c r="AX246" s="128"/>
      <c r="AY246" s="128"/>
      <c r="AZ246" s="128"/>
      <c r="BA246" s="128"/>
      <c r="BB246" s="128"/>
      <c r="BC246" s="128"/>
      <c r="BD246" s="128"/>
      <c r="BE246" s="128"/>
      <c r="BF246" s="128"/>
      <c r="BG246" s="128"/>
      <c r="BH246" s="128"/>
      <c r="BI246" s="128"/>
      <c r="BJ246" s="128"/>
      <c r="BK246" s="128"/>
      <c r="BL246" s="128"/>
      <c r="BM246" s="128"/>
      <c r="BN246" s="128"/>
      <c r="BO246" s="128"/>
      <c r="BP246" s="128"/>
      <c r="BQ246" s="128"/>
    </row>
    <row r="247" spans="1:69" ht="14.25" customHeight="1">
      <c r="A247" s="128"/>
      <c r="B247" s="128"/>
      <c r="C247" s="128"/>
      <c r="D247" s="128"/>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28"/>
      <c r="AA247" s="128"/>
      <c r="AB247" s="128"/>
      <c r="AC247" s="128"/>
      <c r="AD247" s="128"/>
      <c r="AE247" s="128"/>
      <c r="AF247" s="128"/>
      <c r="AG247" s="128"/>
      <c r="AH247" s="128"/>
      <c r="AI247" s="128"/>
      <c r="AJ247" s="128"/>
      <c r="AK247" s="128"/>
      <c r="AL247" s="128"/>
      <c r="AM247" s="128"/>
      <c r="AN247" s="128"/>
      <c r="AO247" s="128"/>
      <c r="AP247" s="128"/>
      <c r="AQ247" s="128"/>
      <c r="AR247" s="128"/>
      <c r="AS247" s="128"/>
      <c r="AT247" s="128"/>
      <c r="AU247" s="128"/>
      <c r="AV247" s="128"/>
      <c r="AW247" s="128"/>
      <c r="AX247" s="128"/>
      <c r="AY247" s="128"/>
      <c r="AZ247" s="128"/>
      <c r="BA247" s="128"/>
      <c r="BB247" s="128"/>
      <c r="BC247" s="128"/>
      <c r="BD247" s="128"/>
      <c r="BE247" s="128"/>
      <c r="BF247" s="128"/>
      <c r="BG247" s="128"/>
      <c r="BH247" s="128"/>
      <c r="BI247" s="128"/>
      <c r="BJ247" s="128"/>
      <c r="BK247" s="128"/>
      <c r="BL247" s="128"/>
      <c r="BM247" s="128"/>
      <c r="BN247" s="128"/>
      <c r="BO247" s="128"/>
      <c r="BP247" s="128"/>
      <c r="BQ247" s="128"/>
    </row>
    <row r="248" spans="1:69" ht="14.25" customHeight="1">
      <c r="A248" s="128"/>
      <c r="B248" s="128"/>
      <c r="C248" s="128"/>
      <c r="D248" s="128"/>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c r="AA248" s="128"/>
      <c r="AB248" s="128"/>
      <c r="AC248" s="128"/>
      <c r="AD248" s="128"/>
      <c r="AE248" s="128"/>
      <c r="AF248" s="128"/>
      <c r="AG248" s="128"/>
      <c r="AH248" s="128"/>
      <c r="AI248" s="128"/>
      <c r="AJ248" s="128"/>
      <c r="AK248" s="128"/>
      <c r="AL248" s="128"/>
      <c r="AM248" s="128"/>
      <c r="AN248" s="128"/>
      <c r="AO248" s="128"/>
      <c r="AP248" s="128"/>
      <c r="AQ248" s="128"/>
      <c r="AR248" s="128"/>
      <c r="AS248" s="128"/>
      <c r="AT248" s="128"/>
      <c r="AU248" s="128"/>
      <c r="AV248" s="128"/>
      <c r="AW248" s="128"/>
      <c r="AX248" s="128"/>
      <c r="AY248" s="128"/>
      <c r="AZ248" s="128"/>
      <c r="BA248" s="128"/>
      <c r="BB248" s="128"/>
      <c r="BC248" s="128"/>
      <c r="BD248" s="128"/>
      <c r="BE248" s="128"/>
      <c r="BF248" s="128"/>
      <c r="BG248" s="128"/>
      <c r="BH248" s="128"/>
      <c r="BI248" s="128"/>
      <c r="BJ248" s="128"/>
      <c r="BK248" s="128"/>
      <c r="BL248" s="128"/>
      <c r="BM248" s="128"/>
      <c r="BN248" s="128"/>
      <c r="BO248" s="128"/>
      <c r="BP248" s="128"/>
      <c r="BQ248" s="128"/>
    </row>
    <row r="249" spans="1:69" ht="14.25" customHeight="1">
      <c r="A249" s="128"/>
      <c r="B249" s="128"/>
      <c r="C249" s="128"/>
      <c r="D249" s="128"/>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28"/>
      <c r="AA249" s="128"/>
      <c r="AB249" s="128"/>
      <c r="AC249" s="128"/>
      <c r="AD249" s="128"/>
      <c r="AE249" s="128"/>
      <c r="AF249" s="128"/>
      <c r="AG249" s="128"/>
      <c r="AH249" s="128"/>
      <c r="AI249" s="128"/>
      <c r="AJ249" s="128"/>
      <c r="AK249" s="128"/>
      <c r="AL249" s="128"/>
      <c r="AM249" s="128"/>
      <c r="AN249" s="128"/>
      <c r="AO249" s="128"/>
      <c r="AP249" s="128"/>
      <c r="AQ249" s="128"/>
      <c r="AR249" s="128"/>
      <c r="AS249" s="128"/>
      <c r="AT249" s="128"/>
      <c r="AU249" s="128"/>
      <c r="AV249" s="128"/>
      <c r="AW249" s="128"/>
      <c r="AX249" s="128"/>
      <c r="AY249" s="128"/>
      <c r="AZ249" s="128"/>
      <c r="BA249" s="128"/>
      <c r="BB249" s="128"/>
      <c r="BC249" s="128"/>
      <c r="BD249" s="128"/>
      <c r="BE249" s="128"/>
      <c r="BF249" s="128"/>
      <c r="BG249" s="128"/>
      <c r="BH249" s="128"/>
      <c r="BI249" s="128"/>
      <c r="BJ249" s="128"/>
      <c r="BK249" s="128"/>
      <c r="BL249" s="128"/>
      <c r="BM249" s="128"/>
      <c r="BN249" s="128"/>
      <c r="BO249" s="128"/>
      <c r="BP249" s="128"/>
      <c r="BQ249" s="128"/>
    </row>
    <row r="250" spans="1:69" ht="14.25" customHeight="1">
      <c r="A250" s="128"/>
      <c r="B250" s="128"/>
      <c r="C250" s="128"/>
      <c r="D250" s="128"/>
      <c r="E250" s="128"/>
      <c r="F250" s="128"/>
      <c r="G250" s="128"/>
      <c r="H250" s="128"/>
      <c r="I250" s="128"/>
      <c r="J250" s="128"/>
      <c r="K250" s="128"/>
      <c r="L250" s="128"/>
      <c r="M250" s="128"/>
      <c r="N250" s="128"/>
      <c r="O250" s="128"/>
      <c r="P250" s="128"/>
      <c r="Q250" s="128"/>
      <c r="R250" s="128"/>
      <c r="S250" s="128"/>
      <c r="T250" s="128"/>
      <c r="U250" s="128"/>
      <c r="V250" s="128"/>
      <c r="W250" s="128"/>
      <c r="X250" s="128"/>
      <c r="Y250" s="128"/>
      <c r="Z250" s="128"/>
      <c r="AA250" s="128"/>
      <c r="AB250" s="128"/>
      <c r="AC250" s="128"/>
      <c r="AD250" s="128"/>
      <c r="AE250" s="128"/>
      <c r="AF250" s="128"/>
      <c r="AG250" s="128"/>
      <c r="AH250" s="128"/>
      <c r="AI250" s="128"/>
      <c r="AJ250" s="128"/>
      <c r="AK250" s="128"/>
      <c r="AL250" s="128"/>
      <c r="AM250" s="128"/>
      <c r="AN250" s="128"/>
      <c r="AO250" s="128"/>
      <c r="AP250" s="128"/>
      <c r="AQ250" s="128"/>
      <c r="AR250" s="128"/>
      <c r="AS250" s="128"/>
      <c r="AT250" s="128"/>
      <c r="AU250" s="128"/>
      <c r="AV250" s="128"/>
      <c r="AW250" s="128"/>
      <c r="AX250" s="128"/>
      <c r="AY250" s="128"/>
      <c r="AZ250" s="128"/>
      <c r="BA250" s="128"/>
      <c r="BB250" s="128"/>
      <c r="BC250" s="128"/>
      <c r="BD250" s="128"/>
      <c r="BE250" s="128"/>
      <c r="BF250" s="128"/>
      <c r="BG250" s="128"/>
      <c r="BH250" s="128"/>
      <c r="BI250" s="128"/>
      <c r="BJ250" s="128"/>
      <c r="BK250" s="128"/>
      <c r="BL250" s="128"/>
      <c r="BM250" s="128"/>
      <c r="BN250" s="128"/>
      <c r="BO250" s="128"/>
      <c r="BP250" s="128"/>
      <c r="BQ250" s="128"/>
    </row>
    <row r="251" spans="1:69" ht="14.25" customHeight="1">
      <c r="A251" s="128"/>
      <c r="B251" s="128"/>
      <c r="C251" s="128"/>
      <c r="D251" s="128"/>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row>
    <row r="252" spans="1:69" ht="14.25" customHeight="1">
      <c r="A252" s="128"/>
      <c r="B252" s="128"/>
      <c r="C252" s="128"/>
      <c r="D252" s="128"/>
      <c r="E252" s="128"/>
      <c r="F252" s="128"/>
      <c r="G252" s="128"/>
      <c r="H252" s="128"/>
      <c r="I252" s="128"/>
      <c r="J252" s="128"/>
      <c r="K252" s="128"/>
      <c r="L252" s="128"/>
      <c r="M252" s="128"/>
      <c r="N252" s="128"/>
      <c r="O252" s="128"/>
      <c r="P252" s="128"/>
      <c r="Q252" s="128"/>
      <c r="R252" s="128"/>
      <c r="S252" s="128"/>
      <c r="T252" s="128"/>
      <c r="U252" s="128"/>
      <c r="V252" s="128"/>
      <c r="W252" s="128"/>
      <c r="X252" s="128"/>
      <c r="Y252" s="128"/>
      <c r="Z252" s="128"/>
      <c r="AA252" s="128"/>
      <c r="AB252" s="128"/>
      <c r="AC252" s="128"/>
      <c r="AD252" s="128"/>
      <c r="AE252" s="128"/>
      <c r="AF252" s="128"/>
      <c r="AG252" s="128"/>
      <c r="AH252" s="128"/>
      <c r="AI252" s="128"/>
      <c r="AJ252" s="128"/>
      <c r="AK252" s="128"/>
      <c r="AL252" s="128"/>
      <c r="AM252" s="128"/>
      <c r="AN252" s="128"/>
      <c r="AO252" s="128"/>
      <c r="AP252" s="128"/>
      <c r="AQ252" s="128"/>
      <c r="AR252" s="128"/>
      <c r="AS252" s="128"/>
      <c r="AT252" s="128"/>
      <c r="AU252" s="128"/>
      <c r="AV252" s="128"/>
      <c r="AW252" s="128"/>
      <c r="AX252" s="128"/>
      <c r="AY252" s="128"/>
      <c r="AZ252" s="128"/>
      <c r="BA252" s="128"/>
      <c r="BB252" s="128"/>
      <c r="BC252" s="128"/>
      <c r="BD252" s="128"/>
      <c r="BE252" s="128"/>
      <c r="BF252" s="128"/>
      <c r="BG252" s="128"/>
      <c r="BH252" s="128"/>
      <c r="BI252" s="128"/>
      <c r="BJ252" s="128"/>
      <c r="BK252" s="128"/>
      <c r="BL252" s="128"/>
      <c r="BM252" s="128"/>
      <c r="BN252" s="128"/>
      <c r="BO252" s="128"/>
      <c r="BP252" s="128"/>
      <c r="BQ252" s="128"/>
    </row>
    <row r="253" spans="1:69" ht="14.25" customHeight="1">
      <c r="A253" s="128"/>
      <c r="B253" s="128"/>
      <c r="C253" s="12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c r="AA253" s="128"/>
      <c r="AB253" s="128"/>
      <c r="AC253" s="128"/>
      <c r="AD253" s="128"/>
      <c r="AE253" s="128"/>
      <c r="AF253" s="128"/>
      <c r="AG253" s="128"/>
      <c r="AH253" s="128"/>
      <c r="AI253" s="128"/>
      <c r="AJ253" s="128"/>
      <c r="AK253" s="128"/>
      <c r="AL253" s="128"/>
      <c r="AM253" s="128"/>
      <c r="AN253" s="128"/>
      <c r="AO253" s="128"/>
      <c r="AP253" s="128"/>
      <c r="AQ253" s="128"/>
      <c r="AR253" s="128"/>
      <c r="AS253" s="128"/>
      <c r="AT253" s="128"/>
      <c r="AU253" s="128"/>
      <c r="AV253" s="128"/>
      <c r="AW253" s="128"/>
      <c r="AX253" s="128"/>
      <c r="AY253" s="128"/>
      <c r="AZ253" s="128"/>
      <c r="BA253" s="128"/>
      <c r="BB253" s="128"/>
      <c r="BC253" s="128"/>
      <c r="BD253" s="128"/>
      <c r="BE253" s="128"/>
      <c r="BF253" s="128"/>
      <c r="BG253" s="128"/>
      <c r="BH253" s="128"/>
      <c r="BI253" s="128"/>
      <c r="BJ253" s="128"/>
      <c r="BK253" s="128"/>
      <c r="BL253" s="128"/>
      <c r="BM253" s="128"/>
      <c r="BN253" s="128"/>
      <c r="BO253" s="128"/>
      <c r="BP253" s="128"/>
      <c r="BQ253" s="128"/>
    </row>
    <row r="254" spans="1:69" ht="14.25" customHeight="1">
      <c r="A254" s="128"/>
      <c r="B254" s="128"/>
      <c r="C254" s="128"/>
      <c r="D254" s="128"/>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c r="AA254" s="128"/>
      <c r="AB254" s="128"/>
      <c r="AC254" s="128"/>
      <c r="AD254" s="128"/>
      <c r="AE254" s="128"/>
      <c r="AF254" s="128"/>
      <c r="AG254" s="128"/>
      <c r="AH254" s="128"/>
      <c r="AI254" s="128"/>
      <c r="AJ254" s="128"/>
      <c r="AK254" s="128"/>
      <c r="AL254" s="128"/>
      <c r="AM254" s="128"/>
      <c r="AN254" s="128"/>
      <c r="AO254" s="128"/>
      <c r="AP254" s="128"/>
      <c r="AQ254" s="128"/>
      <c r="AR254" s="128"/>
      <c r="AS254" s="128"/>
      <c r="AT254" s="128"/>
      <c r="AU254" s="128"/>
      <c r="AV254" s="128"/>
      <c r="AW254" s="128"/>
      <c r="AX254" s="128"/>
      <c r="AY254" s="128"/>
      <c r="AZ254" s="128"/>
      <c r="BA254" s="128"/>
      <c r="BB254" s="128"/>
      <c r="BC254" s="128"/>
      <c r="BD254" s="128"/>
      <c r="BE254" s="128"/>
      <c r="BF254" s="128"/>
      <c r="BG254" s="128"/>
      <c r="BH254" s="128"/>
      <c r="BI254" s="128"/>
      <c r="BJ254" s="128"/>
      <c r="BK254" s="128"/>
      <c r="BL254" s="128"/>
      <c r="BM254" s="128"/>
      <c r="BN254" s="128"/>
      <c r="BO254" s="128"/>
      <c r="BP254" s="128"/>
      <c r="BQ254" s="128"/>
    </row>
    <row r="255" spans="1:69" ht="14.25" customHeight="1">
      <c r="A255" s="128"/>
      <c r="B255" s="128"/>
      <c r="C255" s="128"/>
      <c r="D255" s="128"/>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28"/>
      <c r="AA255" s="128"/>
      <c r="AB255" s="128"/>
      <c r="AC255" s="128"/>
      <c r="AD255" s="128"/>
      <c r="AE255" s="128"/>
      <c r="AF255" s="128"/>
      <c r="AG255" s="128"/>
      <c r="AH255" s="128"/>
      <c r="AI255" s="128"/>
      <c r="AJ255" s="128"/>
      <c r="AK255" s="128"/>
      <c r="AL255" s="128"/>
      <c r="AM255" s="128"/>
      <c r="AN255" s="128"/>
      <c r="AO255" s="128"/>
      <c r="AP255" s="128"/>
      <c r="AQ255" s="128"/>
      <c r="AR255" s="128"/>
      <c r="AS255" s="128"/>
      <c r="AT255" s="128"/>
      <c r="AU255" s="128"/>
      <c r="AV255" s="128"/>
      <c r="AW255" s="128"/>
      <c r="AX255" s="128"/>
      <c r="AY255" s="128"/>
      <c r="AZ255" s="128"/>
      <c r="BA255" s="128"/>
      <c r="BB255" s="128"/>
      <c r="BC255" s="128"/>
      <c r="BD255" s="128"/>
      <c r="BE255" s="128"/>
      <c r="BF255" s="128"/>
      <c r="BG255" s="128"/>
      <c r="BH255" s="128"/>
      <c r="BI255" s="128"/>
      <c r="BJ255" s="128"/>
      <c r="BK255" s="128"/>
      <c r="BL255" s="128"/>
      <c r="BM255" s="128"/>
      <c r="BN255" s="128"/>
      <c r="BO255" s="128"/>
      <c r="BP255" s="128"/>
      <c r="BQ255" s="128"/>
    </row>
    <row r="256" spans="1:69" ht="14.25" customHeight="1">
      <c r="A256" s="128"/>
      <c r="B256" s="128"/>
      <c r="C256" s="128"/>
      <c r="D256" s="128"/>
      <c r="E256" s="128"/>
      <c r="F256" s="128"/>
      <c r="G256" s="128"/>
      <c r="H256" s="128"/>
      <c r="I256" s="128"/>
      <c r="J256" s="128"/>
      <c r="K256" s="128"/>
      <c r="L256" s="128"/>
      <c r="M256" s="128"/>
      <c r="N256" s="128"/>
      <c r="O256" s="128"/>
      <c r="P256" s="128"/>
      <c r="Q256" s="128"/>
      <c r="R256" s="128"/>
      <c r="S256" s="128"/>
      <c r="T256" s="128"/>
      <c r="U256" s="128"/>
      <c r="V256" s="128"/>
      <c r="W256" s="128"/>
      <c r="X256" s="128"/>
      <c r="Y256" s="128"/>
      <c r="Z256" s="128"/>
      <c r="AA256" s="128"/>
      <c r="AB256" s="128"/>
      <c r="AC256" s="128"/>
      <c r="AD256" s="128"/>
      <c r="AE256" s="128"/>
      <c r="AF256" s="128"/>
      <c r="AG256" s="128"/>
      <c r="AH256" s="128"/>
      <c r="AI256" s="128"/>
      <c r="AJ256" s="128"/>
      <c r="AK256" s="128"/>
      <c r="AL256" s="128"/>
      <c r="AM256" s="128"/>
      <c r="AN256" s="128"/>
      <c r="AO256" s="128"/>
      <c r="AP256" s="128"/>
      <c r="AQ256" s="128"/>
      <c r="AR256" s="128"/>
      <c r="AS256" s="128"/>
      <c r="AT256" s="128"/>
      <c r="AU256" s="128"/>
      <c r="AV256" s="128"/>
      <c r="AW256" s="128"/>
      <c r="AX256" s="128"/>
      <c r="AY256" s="128"/>
      <c r="AZ256" s="128"/>
      <c r="BA256" s="128"/>
      <c r="BB256" s="128"/>
      <c r="BC256" s="128"/>
      <c r="BD256" s="128"/>
      <c r="BE256" s="128"/>
      <c r="BF256" s="128"/>
      <c r="BG256" s="128"/>
      <c r="BH256" s="128"/>
      <c r="BI256" s="128"/>
      <c r="BJ256" s="128"/>
      <c r="BK256" s="128"/>
      <c r="BL256" s="128"/>
      <c r="BM256" s="128"/>
      <c r="BN256" s="128"/>
      <c r="BO256" s="128"/>
      <c r="BP256" s="128"/>
      <c r="BQ256" s="128"/>
    </row>
    <row r="257" spans="1:69" ht="14.25" customHeight="1">
      <c r="A257" s="128"/>
      <c r="B257" s="128"/>
      <c r="C257" s="128"/>
      <c r="D257" s="128"/>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28"/>
      <c r="AA257" s="128"/>
      <c r="AB257" s="128"/>
      <c r="AC257" s="128"/>
      <c r="AD257" s="128"/>
      <c r="AE257" s="128"/>
      <c r="AF257" s="128"/>
      <c r="AG257" s="128"/>
      <c r="AH257" s="128"/>
      <c r="AI257" s="128"/>
      <c r="AJ257" s="128"/>
      <c r="AK257" s="128"/>
      <c r="AL257" s="128"/>
      <c r="AM257" s="128"/>
      <c r="AN257" s="128"/>
      <c r="AO257" s="128"/>
      <c r="AP257" s="128"/>
      <c r="AQ257" s="128"/>
      <c r="AR257" s="128"/>
      <c r="AS257" s="128"/>
      <c r="AT257" s="128"/>
      <c r="AU257" s="128"/>
      <c r="AV257" s="128"/>
      <c r="AW257" s="128"/>
      <c r="AX257" s="128"/>
      <c r="AY257" s="128"/>
      <c r="AZ257" s="128"/>
      <c r="BA257" s="128"/>
      <c r="BB257" s="128"/>
      <c r="BC257" s="128"/>
      <c r="BD257" s="128"/>
      <c r="BE257" s="128"/>
      <c r="BF257" s="128"/>
      <c r="BG257" s="128"/>
      <c r="BH257" s="128"/>
      <c r="BI257" s="128"/>
      <c r="BJ257" s="128"/>
      <c r="BK257" s="128"/>
      <c r="BL257" s="128"/>
      <c r="BM257" s="128"/>
      <c r="BN257" s="128"/>
      <c r="BO257" s="128"/>
      <c r="BP257" s="128"/>
      <c r="BQ257" s="128"/>
    </row>
    <row r="258" spans="1:69" ht="14.25" customHeight="1">
      <c r="A258" s="128"/>
      <c r="B258" s="128"/>
      <c r="C258" s="128"/>
      <c r="D258" s="128"/>
      <c r="E258" s="128"/>
      <c r="F258" s="128"/>
      <c r="G258" s="128"/>
      <c r="H258" s="128"/>
      <c r="I258" s="128"/>
      <c r="J258" s="128"/>
      <c r="K258" s="128"/>
      <c r="L258" s="128"/>
      <c r="M258" s="128"/>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row>
    <row r="259" spans="1:69" ht="14.25" customHeight="1">
      <c r="A259" s="128"/>
      <c r="B259" s="128"/>
      <c r="C259" s="128"/>
      <c r="D259" s="128"/>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28"/>
      <c r="AA259" s="128"/>
      <c r="AB259" s="128"/>
      <c r="AC259" s="128"/>
      <c r="AD259" s="128"/>
      <c r="AE259" s="128"/>
      <c r="AF259" s="128"/>
      <c r="AG259" s="128"/>
      <c r="AH259" s="128"/>
      <c r="AI259" s="128"/>
      <c r="AJ259" s="128"/>
      <c r="AK259" s="128"/>
      <c r="AL259" s="128"/>
      <c r="AM259" s="128"/>
      <c r="AN259" s="128"/>
      <c r="AO259" s="128"/>
      <c r="AP259" s="128"/>
      <c r="AQ259" s="128"/>
      <c r="AR259" s="128"/>
      <c r="AS259" s="128"/>
      <c r="AT259" s="128"/>
      <c r="AU259" s="128"/>
      <c r="AV259" s="128"/>
      <c r="AW259" s="128"/>
      <c r="AX259" s="128"/>
      <c r="AY259" s="128"/>
      <c r="AZ259" s="128"/>
      <c r="BA259" s="128"/>
      <c r="BB259" s="128"/>
      <c r="BC259" s="128"/>
      <c r="BD259" s="128"/>
      <c r="BE259" s="128"/>
      <c r="BF259" s="128"/>
      <c r="BG259" s="128"/>
      <c r="BH259" s="128"/>
      <c r="BI259" s="128"/>
      <c r="BJ259" s="128"/>
      <c r="BK259" s="128"/>
      <c r="BL259" s="128"/>
      <c r="BM259" s="128"/>
      <c r="BN259" s="128"/>
      <c r="BO259" s="128"/>
      <c r="BP259" s="128"/>
      <c r="BQ259" s="128"/>
    </row>
    <row r="260" spans="1:69" ht="14.25" customHeight="1">
      <c r="A260" s="128"/>
      <c r="B260" s="128"/>
      <c r="C260" s="128"/>
      <c r="D260" s="128"/>
      <c r="E260" s="128"/>
      <c r="F260" s="128"/>
      <c r="G260" s="128"/>
      <c r="H260" s="128"/>
      <c r="I260" s="128"/>
      <c r="J260" s="128"/>
      <c r="K260" s="128"/>
      <c r="L260" s="128"/>
      <c r="M260" s="128"/>
      <c r="N260" s="128"/>
      <c r="O260" s="128"/>
      <c r="P260" s="128"/>
      <c r="Q260" s="128"/>
      <c r="R260" s="128"/>
      <c r="S260" s="128"/>
      <c r="T260" s="128"/>
      <c r="U260" s="128"/>
      <c r="V260" s="128"/>
      <c r="W260" s="128"/>
      <c r="X260" s="128"/>
      <c r="Y260" s="128"/>
      <c r="Z260" s="128"/>
      <c r="AA260" s="128"/>
      <c r="AB260" s="128"/>
      <c r="AC260" s="128"/>
      <c r="AD260" s="128"/>
      <c r="AE260" s="128"/>
      <c r="AF260" s="128"/>
      <c r="AG260" s="128"/>
      <c r="AH260" s="128"/>
      <c r="AI260" s="128"/>
      <c r="AJ260" s="128"/>
      <c r="AK260" s="128"/>
      <c r="AL260" s="128"/>
      <c r="AM260" s="128"/>
      <c r="AN260" s="128"/>
      <c r="AO260" s="128"/>
      <c r="AP260" s="128"/>
      <c r="AQ260" s="128"/>
      <c r="AR260" s="128"/>
      <c r="AS260" s="128"/>
      <c r="AT260" s="128"/>
      <c r="AU260" s="128"/>
      <c r="AV260" s="128"/>
      <c r="AW260" s="128"/>
      <c r="AX260" s="128"/>
      <c r="AY260" s="128"/>
      <c r="AZ260" s="128"/>
      <c r="BA260" s="128"/>
      <c r="BB260" s="128"/>
      <c r="BC260" s="128"/>
      <c r="BD260" s="128"/>
      <c r="BE260" s="128"/>
      <c r="BF260" s="128"/>
      <c r="BG260" s="128"/>
      <c r="BH260" s="128"/>
      <c r="BI260" s="128"/>
      <c r="BJ260" s="128"/>
      <c r="BK260" s="128"/>
      <c r="BL260" s="128"/>
      <c r="BM260" s="128"/>
      <c r="BN260" s="128"/>
      <c r="BO260" s="128"/>
      <c r="BP260" s="128"/>
      <c r="BQ260" s="128"/>
    </row>
    <row r="261" spans="1:69" ht="14.25" customHeight="1">
      <c r="A261" s="128"/>
      <c r="B261" s="128"/>
      <c r="C261" s="128"/>
      <c r="D261" s="128"/>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28"/>
      <c r="AA261" s="128"/>
      <c r="AB261" s="128"/>
      <c r="AC261" s="128"/>
      <c r="AD261" s="128"/>
      <c r="AE261" s="128"/>
      <c r="AF261" s="128"/>
      <c r="AG261" s="128"/>
      <c r="AH261" s="128"/>
      <c r="AI261" s="128"/>
      <c r="AJ261" s="128"/>
      <c r="AK261" s="128"/>
      <c r="AL261" s="128"/>
      <c r="AM261" s="128"/>
      <c r="AN261" s="128"/>
      <c r="AO261" s="128"/>
      <c r="AP261" s="128"/>
      <c r="AQ261" s="128"/>
      <c r="AR261" s="128"/>
      <c r="AS261" s="128"/>
      <c r="AT261" s="128"/>
      <c r="AU261" s="128"/>
      <c r="AV261" s="128"/>
      <c r="AW261" s="128"/>
      <c r="AX261" s="128"/>
      <c r="AY261" s="128"/>
      <c r="AZ261" s="128"/>
      <c r="BA261" s="128"/>
      <c r="BB261" s="128"/>
      <c r="BC261" s="128"/>
      <c r="BD261" s="128"/>
      <c r="BE261" s="128"/>
      <c r="BF261" s="128"/>
      <c r="BG261" s="128"/>
      <c r="BH261" s="128"/>
      <c r="BI261" s="128"/>
      <c r="BJ261" s="128"/>
      <c r="BK261" s="128"/>
      <c r="BL261" s="128"/>
      <c r="BM261" s="128"/>
      <c r="BN261" s="128"/>
      <c r="BO261" s="128"/>
      <c r="BP261" s="128"/>
      <c r="BQ261" s="128"/>
    </row>
    <row r="262" spans="1:69" ht="14.25" customHeight="1">
      <c r="A262" s="128"/>
      <c r="B262" s="128"/>
      <c r="C262" s="128"/>
      <c r="D262" s="128"/>
      <c r="E262" s="128"/>
      <c r="F262" s="128"/>
      <c r="G262" s="128"/>
      <c r="H262" s="128"/>
      <c r="I262" s="128"/>
      <c r="J262" s="128"/>
      <c r="K262" s="128"/>
      <c r="L262" s="128"/>
      <c r="M262" s="128"/>
      <c r="N262" s="128"/>
      <c r="O262" s="128"/>
      <c r="P262" s="128"/>
      <c r="Q262" s="128"/>
      <c r="R262" s="128"/>
      <c r="S262" s="128"/>
      <c r="T262" s="128"/>
      <c r="U262" s="128"/>
      <c r="V262" s="128"/>
      <c r="W262" s="128"/>
      <c r="X262" s="128"/>
      <c r="Y262" s="128"/>
      <c r="Z262" s="128"/>
      <c r="AA262" s="128"/>
      <c r="AB262" s="128"/>
      <c r="AC262" s="128"/>
      <c r="AD262" s="128"/>
      <c r="AE262" s="128"/>
      <c r="AF262" s="128"/>
      <c r="AG262" s="128"/>
      <c r="AH262" s="128"/>
      <c r="AI262" s="128"/>
      <c r="AJ262" s="128"/>
      <c r="AK262" s="128"/>
      <c r="AL262" s="128"/>
      <c r="AM262" s="128"/>
      <c r="AN262" s="128"/>
      <c r="AO262" s="128"/>
      <c r="AP262" s="128"/>
      <c r="AQ262" s="128"/>
      <c r="AR262" s="128"/>
      <c r="AS262" s="128"/>
      <c r="AT262" s="128"/>
      <c r="AU262" s="128"/>
      <c r="AV262" s="128"/>
      <c r="AW262" s="128"/>
      <c r="AX262" s="128"/>
      <c r="AY262" s="128"/>
      <c r="AZ262" s="128"/>
      <c r="BA262" s="128"/>
      <c r="BB262" s="128"/>
      <c r="BC262" s="128"/>
      <c r="BD262" s="128"/>
      <c r="BE262" s="128"/>
      <c r="BF262" s="128"/>
      <c r="BG262" s="128"/>
      <c r="BH262" s="128"/>
      <c r="BI262" s="128"/>
      <c r="BJ262" s="128"/>
      <c r="BK262" s="128"/>
      <c r="BL262" s="128"/>
      <c r="BM262" s="128"/>
      <c r="BN262" s="128"/>
      <c r="BO262" s="128"/>
      <c r="BP262" s="128"/>
      <c r="BQ262" s="128"/>
    </row>
    <row r="263" spans="1:69" ht="14.25" customHeight="1">
      <c r="A263" s="128"/>
      <c r="B263" s="128"/>
      <c r="C263" s="128"/>
      <c r="D263" s="128"/>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28"/>
      <c r="AA263" s="128"/>
      <c r="AB263" s="128"/>
      <c r="AC263" s="128"/>
      <c r="AD263" s="128"/>
      <c r="AE263" s="128"/>
      <c r="AF263" s="128"/>
      <c r="AG263" s="128"/>
      <c r="AH263" s="128"/>
      <c r="AI263" s="128"/>
      <c r="AJ263" s="128"/>
      <c r="AK263" s="128"/>
      <c r="AL263" s="128"/>
      <c r="AM263" s="128"/>
      <c r="AN263" s="128"/>
      <c r="AO263" s="128"/>
      <c r="AP263" s="128"/>
      <c r="AQ263" s="128"/>
      <c r="AR263" s="128"/>
      <c r="AS263" s="128"/>
      <c r="AT263" s="128"/>
      <c r="AU263" s="128"/>
      <c r="AV263" s="128"/>
      <c r="AW263" s="128"/>
      <c r="AX263" s="128"/>
      <c r="AY263" s="128"/>
      <c r="AZ263" s="128"/>
      <c r="BA263" s="128"/>
      <c r="BB263" s="128"/>
      <c r="BC263" s="128"/>
      <c r="BD263" s="128"/>
      <c r="BE263" s="128"/>
      <c r="BF263" s="128"/>
      <c r="BG263" s="128"/>
      <c r="BH263" s="128"/>
      <c r="BI263" s="128"/>
      <c r="BJ263" s="128"/>
      <c r="BK263" s="128"/>
      <c r="BL263" s="128"/>
      <c r="BM263" s="128"/>
      <c r="BN263" s="128"/>
      <c r="BO263" s="128"/>
      <c r="BP263" s="128"/>
      <c r="BQ263" s="128"/>
    </row>
    <row r="264" spans="1:69" ht="14.25" customHeight="1">
      <c r="A264" s="128"/>
      <c r="B264" s="128"/>
      <c r="C264" s="128"/>
      <c r="D264" s="128"/>
      <c r="E264" s="128"/>
      <c r="F264" s="128"/>
      <c r="G264" s="128"/>
      <c r="H264" s="128"/>
      <c r="I264" s="128"/>
      <c r="J264" s="128"/>
      <c r="K264" s="128"/>
      <c r="L264" s="128"/>
      <c r="M264" s="128"/>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row>
    <row r="265" spans="1:69" ht="14.25" customHeight="1">
      <c r="A265" s="128"/>
      <c r="B265" s="128"/>
      <c r="C265" s="128"/>
      <c r="D265" s="128"/>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28"/>
      <c r="AA265" s="128"/>
      <c r="AB265" s="128"/>
      <c r="AC265" s="128"/>
      <c r="AD265" s="128"/>
      <c r="AE265" s="128"/>
      <c r="AF265" s="128"/>
      <c r="AG265" s="128"/>
      <c r="AH265" s="128"/>
      <c r="AI265" s="128"/>
      <c r="AJ265" s="128"/>
      <c r="AK265" s="128"/>
      <c r="AL265" s="128"/>
      <c r="AM265" s="128"/>
      <c r="AN265" s="128"/>
      <c r="AO265" s="128"/>
      <c r="AP265" s="128"/>
      <c r="AQ265" s="128"/>
      <c r="AR265" s="128"/>
      <c r="AS265" s="128"/>
      <c r="AT265" s="128"/>
      <c r="AU265" s="128"/>
      <c r="AV265" s="128"/>
      <c r="AW265" s="128"/>
      <c r="AX265" s="128"/>
      <c r="AY265" s="128"/>
      <c r="AZ265" s="128"/>
      <c r="BA265" s="128"/>
      <c r="BB265" s="128"/>
      <c r="BC265" s="128"/>
      <c r="BD265" s="128"/>
      <c r="BE265" s="128"/>
      <c r="BF265" s="128"/>
      <c r="BG265" s="128"/>
      <c r="BH265" s="128"/>
      <c r="BI265" s="128"/>
      <c r="BJ265" s="128"/>
      <c r="BK265" s="128"/>
      <c r="BL265" s="128"/>
      <c r="BM265" s="128"/>
      <c r="BN265" s="128"/>
      <c r="BO265" s="128"/>
      <c r="BP265" s="128"/>
      <c r="BQ265" s="128"/>
    </row>
    <row r="266" spans="1:69" ht="14.25" customHeight="1">
      <c r="A266" s="128"/>
      <c r="B266" s="128"/>
      <c r="C266" s="128"/>
      <c r="D266" s="128"/>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c r="AA266" s="128"/>
      <c r="AB266" s="128"/>
      <c r="AC266" s="128"/>
      <c r="AD266" s="128"/>
      <c r="AE266" s="128"/>
      <c r="AF266" s="128"/>
      <c r="AG266" s="128"/>
      <c r="AH266" s="128"/>
      <c r="AI266" s="128"/>
      <c r="AJ266" s="128"/>
      <c r="AK266" s="128"/>
      <c r="AL266" s="128"/>
      <c r="AM266" s="128"/>
      <c r="AN266" s="128"/>
      <c r="AO266" s="128"/>
      <c r="AP266" s="128"/>
      <c r="AQ266" s="128"/>
      <c r="AR266" s="128"/>
      <c r="AS266" s="128"/>
      <c r="AT266" s="128"/>
      <c r="AU266" s="128"/>
      <c r="AV266" s="128"/>
      <c r="AW266" s="128"/>
      <c r="AX266" s="128"/>
      <c r="AY266" s="128"/>
      <c r="AZ266" s="128"/>
      <c r="BA266" s="128"/>
      <c r="BB266" s="128"/>
      <c r="BC266" s="128"/>
      <c r="BD266" s="128"/>
      <c r="BE266" s="128"/>
      <c r="BF266" s="128"/>
      <c r="BG266" s="128"/>
      <c r="BH266" s="128"/>
      <c r="BI266" s="128"/>
      <c r="BJ266" s="128"/>
      <c r="BK266" s="128"/>
      <c r="BL266" s="128"/>
      <c r="BM266" s="128"/>
      <c r="BN266" s="128"/>
      <c r="BO266" s="128"/>
      <c r="BP266" s="128"/>
      <c r="BQ266" s="128"/>
    </row>
    <row r="267" spans="1:69" ht="14.25" customHeight="1">
      <c r="A267" s="128"/>
      <c r="B267" s="128"/>
      <c r="C267" s="128"/>
      <c r="D267" s="128"/>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28"/>
      <c r="AA267" s="128"/>
      <c r="AB267" s="128"/>
      <c r="AC267" s="128"/>
      <c r="AD267" s="128"/>
      <c r="AE267" s="128"/>
      <c r="AF267" s="128"/>
      <c r="AG267" s="128"/>
      <c r="AH267" s="128"/>
      <c r="AI267" s="128"/>
      <c r="AJ267" s="128"/>
      <c r="AK267" s="128"/>
      <c r="AL267" s="128"/>
      <c r="AM267" s="128"/>
      <c r="AN267" s="128"/>
      <c r="AO267" s="128"/>
      <c r="AP267" s="128"/>
      <c r="AQ267" s="128"/>
      <c r="AR267" s="128"/>
      <c r="AS267" s="128"/>
      <c r="AT267" s="128"/>
      <c r="AU267" s="128"/>
      <c r="AV267" s="128"/>
      <c r="AW267" s="128"/>
      <c r="AX267" s="128"/>
      <c r="AY267" s="128"/>
      <c r="AZ267" s="128"/>
      <c r="BA267" s="128"/>
      <c r="BB267" s="128"/>
      <c r="BC267" s="128"/>
      <c r="BD267" s="128"/>
      <c r="BE267" s="128"/>
      <c r="BF267" s="128"/>
      <c r="BG267" s="128"/>
      <c r="BH267" s="128"/>
      <c r="BI267" s="128"/>
      <c r="BJ267" s="128"/>
      <c r="BK267" s="128"/>
      <c r="BL267" s="128"/>
      <c r="BM267" s="128"/>
      <c r="BN267" s="128"/>
      <c r="BO267" s="128"/>
      <c r="BP267" s="128"/>
      <c r="BQ267" s="128"/>
    </row>
    <row r="268" spans="1:69" ht="14.25" customHeight="1">
      <c r="A268" s="128"/>
      <c r="B268" s="128"/>
      <c r="C268" s="128"/>
      <c r="D268" s="128"/>
      <c r="E268" s="128"/>
      <c r="F268" s="128"/>
      <c r="G268" s="128"/>
      <c r="H268" s="128"/>
      <c r="I268" s="128"/>
      <c r="J268" s="128"/>
      <c r="K268" s="128"/>
      <c r="L268" s="128"/>
      <c r="M268" s="128"/>
      <c r="N268" s="128"/>
      <c r="O268" s="128"/>
      <c r="P268" s="128"/>
      <c r="Q268" s="128"/>
      <c r="R268" s="128"/>
      <c r="S268" s="128"/>
      <c r="T268" s="128"/>
      <c r="U268" s="128"/>
      <c r="V268" s="128"/>
      <c r="W268" s="128"/>
      <c r="X268" s="128"/>
      <c r="Y268" s="128"/>
      <c r="Z268" s="128"/>
      <c r="AA268" s="128"/>
      <c r="AB268" s="128"/>
      <c r="AC268" s="128"/>
      <c r="AD268" s="128"/>
      <c r="AE268" s="128"/>
      <c r="AF268" s="128"/>
      <c r="AG268" s="128"/>
      <c r="AH268" s="128"/>
      <c r="AI268" s="128"/>
      <c r="AJ268" s="128"/>
      <c r="AK268" s="128"/>
      <c r="AL268" s="128"/>
      <c r="AM268" s="128"/>
      <c r="AN268" s="128"/>
      <c r="AO268" s="128"/>
      <c r="AP268" s="128"/>
      <c r="AQ268" s="128"/>
      <c r="AR268" s="128"/>
      <c r="AS268" s="128"/>
      <c r="AT268" s="128"/>
      <c r="AU268" s="128"/>
      <c r="AV268" s="128"/>
      <c r="AW268" s="128"/>
      <c r="AX268" s="128"/>
      <c r="AY268" s="128"/>
      <c r="AZ268" s="128"/>
      <c r="BA268" s="128"/>
      <c r="BB268" s="128"/>
      <c r="BC268" s="128"/>
      <c r="BD268" s="128"/>
      <c r="BE268" s="128"/>
      <c r="BF268" s="128"/>
      <c r="BG268" s="128"/>
      <c r="BH268" s="128"/>
      <c r="BI268" s="128"/>
      <c r="BJ268" s="128"/>
      <c r="BK268" s="128"/>
      <c r="BL268" s="128"/>
      <c r="BM268" s="128"/>
      <c r="BN268" s="128"/>
      <c r="BO268" s="128"/>
      <c r="BP268" s="128"/>
      <c r="BQ268" s="128"/>
    </row>
    <row r="269" spans="1:69" ht="14.25" customHeight="1">
      <c r="A269" s="128"/>
      <c r="B269" s="128"/>
      <c r="C269" s="128"/>
      <c r="D269" s="128"/>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28"/>
      <c r="AA269" s="128"/>
      <c r="AB269" s="128"/>
      <c r="AC269" s="128"/>
      <c r="AD269" s="128"/>
      <c r="AE269" s="128"/>
      <c r="AF269" s="128"/>
      <c r="AG269" s="128"/>
      <c r="AH269" s="128"/>
      <c r="AI269" s="128"/>
      <c r="AJ269" s="128"/>
      <c r="AK269" s="128"/>
      <c r="AL269" s="128"/>
      <c r="AM269" s="128"/>
      <c r="AN269" s="128"/>
      <c r="AO269" s="128"/>
      <c r="AP269" s="128"/>
      <c r="AQ269" s="128"/>
      <c r="AR269" s="128"/>
      <c r="AS269" s="128"/>
      <c r="AT269" s="128"/>
      <c r="AU269" s="128"/>
      <c r="AV269" s="128"/>
      <c r="AW269" s="128"/>
      <c r="AX269" s="128"/>
      <c r="AY269" s="128"/>
      <c r="AZ269" s="128"/>
      <c r="BA269" s="128"/>
      <c r="BB269" s="128"/>
      <c r="BC269" s="128"/>
      <c r="BD269" s="128"/>
      <c r="BE269" s="128"/>
      <c r="BF269" s="128"/>
      <c r="BG269" s="128"/>
      <c r="BH269" s="128"/>
      <c r="BI269" s="128"/>
      <c r="BJ269" s="128"/>
      <c r="BK269" s="128"/>
      <c r="BL269" s="128"/>
      <c r="BM269" s="128"/>
      <c r="BN269" s="128"/>
      <c r="BO269" s="128"/>
      <c r="BP269" s="128"/>
      <c r="BQ269" s="128"/>
    </row>
    <row r="270" spans="1:69" ht="14.25" customHeight="1">
      <c r="A270" s="128"/>
      <c r="B270" s="128"/>
      <c r="C270" s="128"/>
      <c r="D270" s="128"/>
      <c r="E270" s="128"/>
      <c r="F270" s="128"/>
      <c r="G270" s="128"/>
      <c r="H270" s="128"/>
      <c r="I270" s="128"/>
      <c r="J270" s="128"/>
      <c r="K270" s="128"/>
      <c r="L270" s="128"/>
      <c r="M270" s="128"/>
      <c r="N270" s="128"/>
      <c r="O270" s="128"/>
      <c r="P270" s="128"/>
      <c r="Q270" s="128"/>
      <c r="R270" s="128"/>
      <c r="S270" s="128"/>
      <c r="T270" s="128"/>
      <c r="U270" s="128"/>
      <c r="V270" s="128"/>
      <c r="W270" s="128"/>
      <c r="X270" s="128"/>
      <c r="Y270" s="128"/>
      <c r="Z270" s="128"/>
      <c r="AA270" s="128"/>
      <c r="AB270" s="128"/>
      <c r="AC270" s="128"/>
      <c r="AD270" s="128"/>
      <c r="AE270" s="128"/>
      <c r="AF270" s="128"/>
      <c r="AG270" s="128"/>
      <c r="AH270" s="128"/>
      <c r="AI270" s="128"/>
      <c r="AJ270" s="128"/>
      <c r="AK270" s="128"/>
      <c r="AL270" s="128"/>
      <c r="AM270" s="128"/>
      <c r="AN270" s="128"/>
      <c r="AO270" s="128"/>
      <c r="AP270" s="128"/>
      <c r="AQ270" s="128"/>
      <c r="AR270" s="128"/>
      <c r="AS270" s="128"/>
      <c r="AT270" s="128"/>
      <c r="AU270" s="128"/>
      <c r="AV270" s="128"/>
      <c r="AW270" s="128"/>
      <c r="AX270" s="128"/>
      <c r="AY270" s="128"/>
      <c r="AZ270" s="128"/>
      <c r="BA270" s="128"/>
      <c r="BB270" s="128"/>
      <c r="BC270" s="128"/>
      <c r="BD270" s="128"/>
      <c r="BE270" s="128"/>
      <c r="BF270" s="128"/>
      <c r="BG270" s="128"/>
      <c r="BH270" s="128"/>
      <c r="BI270" s="128"/>
      <c r="BJ270" s="128"/>
      <c r="BK270" s="128"/>
      <c r="BL270" s="128"/>
      <c r="BM270" s="128"/>
      <c r="BN270" s="128"/>
      <c r="BO270" s="128"/>
      <c r="BP270" s="128"/>
      <c r="BQ270" s="128"/>
    </row>
    <row r="271" spans="1:69" ht="14.25" customHeight="1">
      <c r="A271" s="128"/>
      <c r="B271" s="128"/>
      <c r="C271" s="128"/>
      <c r="D271" s="128"/>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row>
    <row r="272" spans="1:69" ht="14.25" customHeight="1">
      <c r="A272" s="128"/>
      <c r="B272" s="128"/>
      <c r="C272" s="128"/>
      <c r="D272" s="128"/>
      <c r="E272" s="128"/>
      <c r="F272" s="128"/>
      <c r="G272" s="128"/>
      <c r="H272" s="128"/>
      <c r="I272" s="128"/>
      <c r="J272" s="128"/>
      <c r="K272" s="128"/>
      <c r="L272" s="128"/>
      <c r="M272" s="128"/>
      <c r="N272" s="128"/>
      <c r="O272" s="128"/>
      <c r="P272" s="128"/>
      <c r="Q272" s="128"/>
      <c r="R272" s="128"/>
      <c r="S272" s="128"/>
      <c r="T272" s="128"/>
      <c r="U272" s="128"/>
      <c r="V272" s="128"/>
      <c r="W272" s="128"/>
      <c r="X272" s="128"/>
      <c r="Y272" s="128"/>
      <c r="Z272" s="128"/>
      <c r="AA272" s="128"/>
      <c r="AB272" s="128"/>
      <c r="AC272" s="128"/>
      <c r="AD272" s="128"/>
      <c r="AE272" s="128"/>
      <c r="AF272" s="128"/>
      <c r="AG272" s="128"/>
      <c r="AH272" s="128"/>
      <c r="AI272" s="128"/>
      <c r="AJ272" s="128"/>
      <c r="AK272" s="128"/>
      <c r="AL272" s="128"/>
      <c r="AM272" s="128"/>
      <c r="AN272" s="128"/>
      <c r="AO272" s="128"/>
      <c r="AP272" s="128"/>
      <c r="AQ272" s="128"/>
      <c r="AR272" s="128"/>
      <c r="AS272" s="128"/>
      <c r="AT272" s="128"/>
      <c r="AU272" s="128"/>
      <c r="AV272" s="128"/>
      <c r="AW272" s="128"/>
      <c r="AX272" s="128"/>
      <c r="AY272" s="128"/>
      <c r="AZ272" s="128"/>
      <c r="BA272" s="128"/>
      <c r="BB272" s="128"/>
      <c r="BC272" s="128"/>
      <c r="BD272" s="128"/>
      <c r="BE272" s="128"/>
      <c r="BF272" s="128"/>
      <c r="BG272" s="128"/>
      <c r="BH272" s="128"/>
      <c r="BI272" s="128"/>
      <c r="BJ272" s="128"/>
      <c r="BK272" s="128"/>
      <c r="BL272" s="128"/>
      <c r="BM272" s="128"/>
      <c r="BN272" s="128"/>
      <c r="BO272" s="128"/>
      <c r="BP272" s="128"/>
      <c r="BQ272" s="128"/>
    </row>
    <row r="273" spans="1:69" ht="14.25" customHeight="1">
      <c r="A273" s="128"/>
      <c r="B273" s="128"/>
      <c r="C273" s="128"/>
      <c r="D273" s="128"/>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28"/>
      <c r="AA273" s="128"/>
      <c r="AB273" s="128"/>
      <c r="AC273" s="128"/>
      <c r="AD273" s="128"/>
      <c r="AE273" s="128"/>
      <c r="AF273" s="128"/>
      <c r="AG273" s="128"/>
      <c r="AH273" s="128"/>
      <c r="AI273" s="128"/>
      <c r="AJ273" s="128"/>
      <c r="AK273" s="128"/>
      <c r="AL273" s="128"/>
      <c r="AM273" s="128"/>
      <c r="AN273" s="128"/>
      <c r="AO273" s="128"/>
      <c r="AP273" s="128"/>
      <c r="AQ273" s="128"/>
      <c r="AR273" s="128"/>
      <c r="AS273" s="128"/>
      <c r="AT273" s="128"/>
      <c r="AU273" s="128"/>
      <c r="AV273" s="128"/>
      <c r="AW273" s="128"/>
      <c r="AX273" s="128"/>
      <c r="AY273" s="128"/>
      <c r="AZ273" s="128"/>
      <c r="BA273" s="128"/>
      <c r="BB273" s="128"/>
      <c r="BC273" s="128"/>
      <c r="BD273" s="128"/>
      <c r="BE273" s="128"/>
      <c r="BF273" s="128"/>
      <c r="BG273" s="128"/>
      <c r="BH273" s="128"/>
      <c r="BI273" s="128"/>
      <c r="BJ273" s="128"/>
      <c r="BK273" s="128"/>
      <c r="BL273" s="128"/>
      <c r="BM273" s="128"/>
      <c r="BN273" s="128"/>
      <c r="BO273" s="128"/>
      <c r="BP273" s="128"/>
      <c r="BQ273" s="128"/>
    </row>
    <row r="274" spans="1:69" ht="15.75" customHeight="1"/>
    <row r="275" spans="1:69" ht="15.75" customHeight="1"/>
    <row r="276" spans="1:69" ht="15.75" customHeight="1"/>
    <row r="277" spans="1:69" ht="15.75" customHeight="1"/>
    <row r="278" spans="1:69" ht="15.75" customHeight="1"/>
    <row r="279" spans="1:69" ht="15.75" customHeight="1"/>
    <row r="280" spans="1:69" ht="15.75" customHeight="1"/>
    <row r="281" spans="1:69" ht="15.75" customHeight="1"/>
    <row r="282" spans="1:69" ht="15.75" customHeight="1"/>
    <row r="283" spans="1:69" ht="15.75" customHeight="1"/>
    <row r="284" spans="1:69" ht="15.75" customHeight="1"/>
    <row r="285" spans="1:69" ht="15.75" customHeight="1"/>
    <row r="286" spans="1:69" ht="15.75" customHeight="1"/>
    <row r="287" spans="1:69" ht="15.75" customHeight="1"/>
    <row r="288" spans="1:69"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7">
    <mergeCell ref="P3:U3"/>
    <mergeCell ref="O4:U4"/>
    <mergeCell ref="AP4:AU4"/>
    <mergeCell ref="M5:U5"/>
    <mergeCell ref="AA5:AF5"/>
    <mergeCell ref="AP5:AT5"/>
    <mergeCell ref="BF5:BK5"/>
    <mergeCell ref="AA11:AF11"/>
    <mergeCell ref="AM11:AN11"/>
    <mergeCell ref="J8:K8"/>
    <mergeCell ref="J9:K9"/>
    <mergeCell ref="Q9:R9"/>
    <mergeCell ref="J10:K10"/>
    <mergeCell ref="J11:K11"/>
    <mergeCell ref="X11:Y11"/>
    <mergeCell ref="AP11:AU11"/>
    <mergeCell ref="BC15:BD15"/>
    <mergeCell ref="BC18:BD18"/>
    <mergeCell ref="J13:K13"/>
    <mergeCell ref="J14:K14"/>
    <mergeCell ref="J15:K15"/>
    <mergeCell ref="X15:Y15"/>
    <mergeCell ref="AM15:AN15"/>
    <mergeCell ref="X18:Y18"/>
    <mergeCell ref="AM18:AN18"/>
    <mergeCell ref="J18:K18"/>
    <mergeCell ref="BM18:BP19"/>
    <mergeCell ref="BC19:BD19"/>
    <mergeCell ref="BC9:BD9"/>
    <mergeCell ref="BC11:BD11"/>
    <mergeCell ref="BF11:BK11"/>
    <mergeCell ref="AW14:AZ14"/>
    <mergeCell ref="BM14:BP14"/>
    <mergeCell ref="AW15:AZ15"/>
    <mergeCell ref="BM15:BP15"/>
    <mergeCell ref="BM32:BP32"/>
    <mergeCell ref="J32:K32"/>
    <mergeCell ref="O32:R32"/>
    <mergeCell ref="X32:Y32"/>
    <mergeCell ref="AA32:AF32"/>
    <mergeCell ref="AH32:AJ32"/>
    <mergeCell ref="AM32:AN32"/>
    <mergeCell ref="AP32:AU32"/>
    <mergeCell ref="J19:K19"/>
    <mergeCell ref="J21:K21"/>
    <mergeCell ref="AW23:AZ23"/>
    <mergeCell ref="AW24:AZ24"/>
    <mergeCell ref="BC24:BD24"/>
    <mergeCell ref="BM24:BP24"/>
    <mergeCell ref="X21:Y21"/>
    <mergeCell ref="AA21:AF21"/>
    <mergeCell ref="AP21:AU21"/>
    <mergeCell ref="BC21:BD21"/>
    <mergeCell ref="BF21:BK21"/>
    <mergeCell ref="BC23:BD23"/>
    <mergeCell ref="BM23:BP23"/>
    <mergeCell ref="J24:K24"/>
    <mergeCell ref="X24:Y24"/>
    <mergeCell ref="AM24:AN24"/>
    <mergeCell ref="AP53:AQ53"/>
    <mergeCell ref="AP54:AQ54"/>
    <mergeCell ref="X34:Y34"/>
    <mergeCell ref="AA34:AF34"/>
    <mergeCell ref="AH34:AK34"/>
    <mergeCell ref="AP34:AU34"/>
    <mergeCell ref="AW32:AZ32"/>
    <mergeCell ref="BC32:BD32"/>
    <mergeCell ref="BF32:BK32"/>
    <mergeCell ref="BC41:BD41"/>
    <mergeCell ref="BF41:BK41"/>
    <mergeCell ref="AW35:AY35"/>
    <mergeCell ref="BC35:BD35"/>
    <mergeCell ref="BF35:BK35"/>
    <mergeCell ref="AM34:AN34"/>
    <mergeCell ref="AM36:AN36"/>
    <mergeCell ref="AM38:AN38"/>
    <mergeCell ref="AP38:AU38"/>
    <mergeCell ref="BM35:BO35"/>
    <mergeCell ref="AW37:AZ37"/>
    <mergeCell ref="BF37:BK37"/>
    <mergeCell ref="BM37:BP37"/>
    <mergeCell ref="AA40:AF40"/>
    <mergeCell ref="AH40:AK40"/>
    <mergeCell ref="AM40:AN40"/>
    <mergeCell ref="AP40:AU40"/>
    <mergeCell ref="J35:K35"/>
    <mergeCell ref="J37:K37"/>
    <mergeCell ref="O37:U37"/>
    <mergeCell ref="X38:Y38"/>
    <mergeCell ref="J40:K40"/>
    <mergeCell ref="O40:R40"/>
    <mergeCell ref="X40:Y40"/>
    <mergeCell ref="O35:U35"/>
    <mergeCell ref="X36:Y36"/>
    <mergeCell ref="AP36:AU36"/>
    <mergeCell ref="BC37:BD37"/>
    <mergeCell ref="BC39:BD39"/>
    <mergeCell ref="BF39:BK39"/>
    <mergeCell ref="AH23:AK23"/>
    <mergeCell ref="AH24:AK24"/>
    <mergeCell ref="AH26:AJ27"/>
    <mergeCell ref="AM26:AN26"/>
    <mergeCell ref="AW26:AY27"/>
    <mergeCell ref="BC26:BD26"/>
    <mergeCell ref="H19:I19"/>
    <mergeCell ref="X19:Y19"/>
    <mergeCell ref="AH19:AK19"/>
    <mergeCell ref="AM19:AN19"/>
    <mergeCell ref="AH20:AK21"/>
    <mergeCell ref="AM21:AN21"/>
    <mergeCell ref="J22:K22"/>
    <mergeCell ref="J23:K23"/>
    <mergeCell ref="X23:Y23"/>
    <mergeCell ref="AM23:AN23"/>
    <mergeCell ref="G21:I24"/>
    <mergeCell ref="H26:I26"/>
    <mergeCell ref="J26:K26"/>
    <mergeCell ref="H27:I27"/>
    <mergeCell ref="J27:K27"/>
    <mergeCell ref="H28:I28"/>
    <mergeCell ref="J28:K28"/>
    <mergeCell ref="BM26:BO27"/>
    <mergeCell ref="J30:K30"/>
    <mergeCell ref="O30:U30"/>
    <mergeCell ref="X30:Y30"/>
    <mergeCell ref="AA30:AF30"/>
    <mergeCell ref="AM30:AN30"/>
    <mergeCell ref="AP30:AU30"/>
    <mergeCell ref="BC30:BD30"/>
    <mergeCell ref="BF30:BK30"/>
    <mergeCell ref="X26:Y26"/>
    <mergeCell ref="X28:Y28"/>
    <mergeCell ref="AA28:AF28"/>
    <mergeCell ref="AM28:AN28"/>
    <mergeCell ref="AP28:AU28"/>
    <mergeCell ref="BC28:BD28"/>
    <mergeCell ref="BF28:BK28"/>
  </mergeCells>
  <pageMargins left="0.25" right="0.25" top="0.75" bottom="0.75" header="0" footer="0"/>
  <pageSetup paperSize="9" scale="32" orientation="landscape"/>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filterMode="1"/>
  <dimension ref="A1:Z1000"/>
  <sheetViews>
    <sheetView workbookViewId="0"/>
  </sheetViews>
  <sheetFormatPr baseColWidth="10" defaultColWidth="14.44140625" defaultRowHeight="15" customHeight="1"/>
  <cols>
    <col min="1" max="1" width="35.6640625" customWidth="1"/>
    <col min="2" max="2" width="21.44140625" customWidth="1"/>
    <col min="3" max="3" width="16.44140625" customWidth="1"/>
    <col min="4" max="4" width="15.6640625" customWidth="1"/>
    <col min="5" max="5" width="13.6640625" customWidth="1"/>
    <col min="6" max="6" width="31.33203125" customWidth="1"/>
  </cols>
  <sheetData>
    <row r="1" spans="1:26" ht="15" customHeight="1">
      <c r="A1" s="1" t="s">
        <v>552</v>
      </c>
    </row>
    <row r="3" spans="1:26" ht="15" customHeight="1">
      <c r="A3" s="1" t="s">
        <v>553</v>
      </c>
    </row>
    <row r="5" spans="1:26" ht="15" customHeight="1">
      <c r="A5" s="1" t="s">
        <v>554</v>
      </c>
    </row>
    <row r="7" spans="1:26" ht="15" customHeight="1">
      <c r="A7" s="1" t="s">
        <v>555</v>
      </c>
    </row>
    <row r="9" spans="1:26" ht="15" customHeight="1">
      <c r="A9" s="1" t="s">
        <v>556</v>
      </c>
      <c r="B9" s="1"/>
      <c r="C9" s="1"/>
      <c r="D9" s="1"/>
      <c r="E9" s="1"/>
      <c r="F9" s="1"/>
      <c r="G9" s="1"/>
      <c r="H9" s="1"/>
      <c r="I9" s="1"/>
      <c r="J9" s="1"/>
      <c r="K9" s="1"/>
      <c r="L9" s="1"/>
      <c r="M9" s="1"/>
      <c r="N9" s="1"/>
      <c r="O9" s="1"/>
      <c r="P9" s="1"/>
      <c r="Q9" s="1"/>
      <c r="R9" s="1"/>
      <c r="S9" s="1"/>
      <c r="T9" s="1"/>
      <c r="U9" s="1"/>
      <c r="V9" s="1"/>
      <c r="W9" s="1"/>
      <c r="X9" s="1"/>
      <c r="Y9" s="1"/>
      <c r="Z9" s="1"/>
    </row>
    <row r="10" spans="1:26" ht="1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2" spans="1:26" ht="14.4">
      <c r="A12" s="1001" t="s">
        <v>557</v>
      </c>
      <c r="B12" s="1002" t="s">
        <v>91</v>
      </c>
      <c r="C12" s="1002" t="s">
        <v>558</v>
      </c>
      <c r="D12" s="1002" t="s">
        <v>559</v>
      </c>
      <c r="E12" s="1002" t="s">
        <v>560</v>
      </c>
      <c r="F12" s="1003" t="s">
        <v>561</v>
      </c>
    </row>
    <row r="13" spans="1:26" ht="15.6" hidden="1">
      <c r="A13" s="1004" t="s">
        <v>106</v>
      </c>
      <c r="B13" s="1005">
        <v>54</v>
      </c>
      <c r="C13" s="1005">
        <v>2.33</v>
      </c>
      <c r="D13" s="1006">
        <v>0.03</v>
      </c>
      <c r="E13" s="1005">
        <v>2.75</v>
      </c>
      <c r="F13" s="1007">
        <v>0.1125</v>
      </c>
    </row>
    <row r="14" spans="1:26" ht="15.6" hidden="1">
      <c r="A14" s="1008" t="s">
        <v>107</v>
      </c>
      <c r="B14" s="1009">
        <v>67</v>
      </c>
      <c r="C14" s="1009">
        <v>2.21</v>
      </c>
      <c r="D14" s="1010">
        <v>4.3700000000000003E-2</v>
      </c>
      <c r="E14" s="1009">
        <v>2.6</v>
      </c>
      <c r="F14" s="1011">
        <v>7.6600000000000001E-2</v>
      </c>
    </row>
    <row r="15" spans="1:26" ht="15.6" hidden="1">
      <c r="A15" s="1004" t="s">
        <v>108</v>
      </c>
      <c r="B15" s="1005">
        <v>24</v>
      </c>
      <c r="C15" s="1005">
        <v>0.55000000000000004</v>
      </c>
      <c r="D15" s="1006">
        <v>2.2100000000000002E-2</v>
      </c>
      <c r="E15" s="1005">
        <v>1.02</v>
      </c>
      <c r="F15" s="1007">
        <v>5.4600000000000003E-2</v>
      </c>
    </row>
    <row r="16" spans="1:26" ht="15.6" hidden="1">
      <c r="A16" s="1008" t="s">
        <v>109</v>
      </c>
      <c r="B16" s="1009">
        <v>37</v>
      </c>
      <c r="C16" s="1009">
        <v>1.0900000000000001</v>
      </c>
      <c r="D16" s="1010">
        <v>2.98E-2</v>
      </c>
      <c r="E16" s="1009">
        <v>1.41</v>
      </c>
      <c r="F16" s="1011">
        <v>9.6100000000000005E-2</v>
      </c>
    </row>
    <row r="17" spans="1:6" ht="15.6" hidden="1">
      <c r="A17" s="1004" t="s">
        <v>110</v>
      </c>
      <c r="B17" s="1005">
        <v>34</v>
      </c>
      <c r="C17" s="1005">
        <v>2.94</v>
      </c>
      <c r="D17" s="1006">
        <v>3.7699999999999997E-2</v>
      </c>
      <c r="E17" s="1005">
        <v>3.47</v>
      </c>
      <c r="F17" s="1007">
        <v>3.2099999999999997E-2</v>
      </c>
    </row>
    <row r="18" spans="1:6" ht="15.6" hidden="1">
      <c r="A18" s="1008" t="s">
        <v>111</v>
      </c>
      <c r="B18" s="1009">
        <v>33</v>
      </c>
      <c r="C18" s="1009">
        <v>0.55000000000000004</v>
      </c>
      <c r="D18" s="1010">
        <v>2.2700000000000001E-2</v>
      </c>
      <c r="E18" s="1009">
        <v>0.75</v>
      </c>
      <c r="F18" s="1011">
        <v>5.21E-2</v>
      </c>
    </row>
    <row r="19" spans="1:6" ht="15.6" hidden="1">
      <c r="A19" s="1004" t="s">
        <v>112</v>
      </c>
      <c r="B19" s="1005">
        <v>15</v>
      </c>
      <c r="C19" s="1005" t="s">
        <v>113</v>
      </c>
      <c r="D19" s="1006" t="s">
        <v>113</v>
      </c>
      <c r="E19" s="1005" t="s">
        <v>113</v>
      </c>
      <c r="F19" s="1007" t="s">
        <v>113</v>
      </c>
    </row>
    <row r="20" spans="1:6" ht="15.6" hidden="1">
      <c r="A20" s="1008" t="s">
        <v>114</v>
      </c>
      <c r="B20" s="1009">
        <v>591</v>
      </c>
      <c r="C20" s="1009" t="s">
        <v>113</v>
      </c>
      <c r="D20" s="1010" t="s">
        <v>113</v>
      </c>
      <c r="E20" s="1009" t="s">
        <v>113</v>
      </c>
      <c r="F20" s="1011" t="s">
        <v>113</v>
      </c>
    </row>
    <row r="21" spans="1:6" ht="15.75" hidden="1" customHeight="1">
      <c r="A21" s="1004" t="s">
        <v>115</v>
      </c>
      <c r="B21" s="1005">
        <v>18</v>
      </c>
      <c r="C21" s="1005">
        <v>2.58</v>
      </c>
      <c r="D21" s="1006">
        <v>9.2899999999999996E-2</v>
      </c>
      <c r="E21" s="1005">
        <v>3.3</v>
      </c>
      <c r="F21" s="1007">
        <v>0.2288</v>
      </c>
    </row>
    <row r="22" spans="1:6" ht="15.75" hidden="1" customHeight="1">
      <c r="A22" s="1008" t="s">
        <v>116</v>
      </c>
      <c r="B22" s="1009">
        <v>29</v>
      </c>
      <c r="C22" s="1009">
        <v>3.47</v>
      </c>
      <c r="D22" s="1010">
        <v>0.14069999999999999</v>
      </c>
      <c r="E22" s="1009">
        <v>4</v>
      </c>
      <c r="F22" s="1011">
        <v>0.20130000000000001</v>
      </c>
    </row>
    <row r="23" spans="1:6" ht="15.75" hidden="1" customHeight="1">
      <c r="A23" s="1004" t="s">
        <v>117</v>
      </c>
      <c r="B23" s="1005">
        <v>22</v>
      </c>
      <c r="C23" s="1005">
        <v>0.56999999999999995</v>
      </c>
      <c r="D23" s="1006">
        <v>-5.6399999999999999E-2</v>
      </c>
      <c r="E23" s="1005">
        <v>1.29</v>
      </c>
      <c r="F23" s="1007">
        <v>0.12509999999999999</v>
      </c>
    </row>
    <row r="24" spans="1:6" ht="15.75" hidden="1" customHeight="1">
      <c r="A24" s="1008" t="s">
        <v>118</v>
      </c>
      <c r="B24" s="1009">
        <v>30</v>
      </c>
      <c r="C24" s="1009" t="s">
        <v>113</v>
      </c>
      <c r="D24" s="1010" t="s">
        <v>113</v>
      </c>
      <c r="E24" s="1009" t="s">
        <v>113</v>
      </c>
      <c r="F24" s="1011" t="s">
        <v>113</v>
      </c>
    </row>
    <row r="25" spans="1:6" ht="15.75" hidden="1" customHeight="1">
      <c r="A25" s="1004" t="s">
        <v>119</v>
      </c>
      <c r="B25" s="1005">
        <v>39</v>
      </c>
      <c r="C25" s="1005">
        <v>2.0299999999999998</v>
      </c>
      <c r="D25" s="1006">
        <v>0.1056</v>
      </c>
      <c r="E25" s="1005">
        <v>2.33</v>
      </c>
      <c r="F25" s="1007">
        <v>0.13500000000000001</v>
      </c>
    </row>
    <row r="26" spans="1:6" ht="15.75" hidden="1" customHeight="1">
      <c r="A26" s="1008" t="s">
        <v>120</v>
      </c>
      <c r="B26" s="1009">
        <v>152</v>
      </c>
      <c r="C26" s="1009">
        <v>2.6</v>
      </c>
      <c r="D26" s="1010">
        <v>7.0900000000000005E-2</v>
      </c>
      <c r="E26" s="1009">
        <v>2.93</v>
      </c>
      <c r="F26" s="1011">
        <v>0.12239999999999999</v>
      </c>
    </row>
    <row r="27" spans="1:6" ht="15.75" hidden="1" customHeight="1">
      <c r="A27" s="1004" t="s">
        <v>121</v>
      </c>
      <c r="B27" s="1005">
        <v>9</v>
      </c>
      <c r="C27" s="1005">
        <v>1.03</v>
      </c>
      <c r="D27" s="1006">
        <v>7.5800000000000006E-2</v>
      </c>
      <c r="E27" s="1005">
        <v>2.27</v>
      </c>
      <c r="F27" s="1007">
        <v>0.1817</v>
      </c>
    </row>
    <row r="28" spans="1:6" ht="15.75" hidden="1" customHeight="1">
      <c r="A28" s="1008" t="s">
        <v>122</v>
      </c>
      <c r="B28" s="1009">
        <v>31</v>
      </c>
      <c r="C28" s="1009">
        <v>0.7</v>
      </c>
      <c r="D28" s="1010">
        <v>2.76E-2</v>
      </c>
      <c r="E28" s="1009">
        <v>1.03</v>
      </c>
      <c r="F28" s="1011">
        <v>6.25E-2</v>
      </c>
    </row>
    <row r="29" spans="1:6" ht="15.75" hidden="1" customHeight="1">
      <c r="A29" s="1004" t="s">
        <v>123</v>
      </c>
      <c r="B29" s="1005">
        <v>4</v>
      </c>
      <c r="C29" s="1005">
        <v>0.51</v>
      </c>
      <c r="D29" s="1006">
        <v>-5.0000000000000001E-3</v>
      </c>
      <c r="E29" s="1005">
        <v>1</v>
      </c>
      <c r="F29" s="1007">
        <v>4.48E-2</v>
      </c>
    </row>
    <row r="30" spans="1:6" ht="15.75" hidden="1" customHeight="1">
      <c r="A30" s="1008" t="s">
        <v>124</v>
      </c>
      <c r="B30" s="1009">
        <v>60</v>
      </c>
      <c r="C30" s="1009">
        <v>2.2599999999999998</v>
      </c>
      <c r="D30" s="1010">
        <v>6.4600000000000005E-2</v>
      </c>
      <c r="E30" s="1009">
        <v>2.77</v>
      </c>
      <c r="F30" s="1011">
        <v>0.1217</v>
      </c>
    </row>
    <row r="31" spans="1:6" ht="15.75" hidden="1" customHeight="1">
      <c r="A31" s="1004" t="s">
        <v>125</v>
      </c>
      <c r="B31" s="1005">
        <v>16</v>
      </c>
      <c r="C31" s="1005">
        <v>1.64</v>
      </c>
      <c r="D31" s="1006">
        <v>0.10059999999999999</v>
      </c>
      <c r="E31" s="1005">
        <v>1.57</v>
      </c>
      <c r="F31" s="1007">
        <v>0.1111</v>
      </c>
    </row>
    <row r="32" spans="1:6" ht="15.75" hidden="1" customHeight="1">
      <c r="A32" s="1008" t="s">
        <v>126</v>
      </c>
      <c r="B32" s="1009">
        <v>63</v>
      </c>
      <c r="C32" s="1009">
        <v>1.1599999999999999</v>
      </c>
      <c r="D32" s="1010">
        <v>4.1500000000000002E-2</v>
      </c>
      <c r="E32" s="1009">
        <v>1.38</v>
      </c>
      <c r="F32" s="1011">
        <v>6.3100000000000003E-2</v>
      </c>
    </row>
    <row r="33" spans="1:6" ht="15.75" hidden="1" customHeight="1">
      <c r="A33" s="1004" t="s">
        <v>127</v>
      </c>
      <c r="B33" s="1005">
        <v>35</v>
      </c>
      <c r="C33" s="1005">
        <v>6.46</v>
      </c>
      <c r="D33" s="1006">
        <v>0.1678</v>
      </c>
      <c r="E33" s="1005">
        <v>6.68</v>
      </c>
      <c r="F33" s="1007">
        <v>0.22670000000000001</v>
      </c>
    </row>
    <row r="34" spans="1:6" ht="15.75" hidden="1" customHeight="1">
      <c r="A34" s="1008" t="s">
        <v>128</v>
      </c>
      <c r="B34" s="1009">
        <v>46</v>
      </c>
      <c r="C34" s="1009">
        <v>2.1</v>
      </c>
      <c r="D34" s="1010">
        <v>0.1123</v>
      </c>
      <c r="E34" s="1009">
        <v>2.46</v>
      </c>
      <c r="F34" s="1011">
        <v>0.15190000000000001</v>
      </c>
    </row>
    <row r="35" spans="1:6" ht="15.75" hidden="1" customHeight="1">
      <c r="A35" s="1004" t="s">
        <v>129</v>
      </c>
      <c r="B35" s="1005">
        <v>21</v>
      </c>
      <c r="C35" s="1005">
        <v>2.61</v>
      </c>
      <c r="D35" s="1006">
        <v>0.2515</v>
      </c>
      <c r="E35" s="1005">
        <v>2.91</v>
      </c>
      <c r="F35" s="1007">
        <v>0.32969999999999999</v>
      </c>
    </row>
    <row r="36" spans="1:6" ht="15.75" hidden="1" customHeight="1">
      <c r="A36" s="1008" t="s">
        <v>130</v>
      </c>
      <c r="B36" s="1009">
        <v>535</v>
      </c>
      <c r="C36" s="1009">
        <v>6.11</v>
      </c>
      <c r="D36" s="1010">
        <v>-0.13200000000000001</v>
      </c>
      <c r="E36" s="1009">
        <v>6.79</v>
      </c>
      <c r="F36" s="1011">
        <v>1.2999999999999999E-2</v>
      </c>
    </row>
    <row r="37" spans="1:6" ht="15.75" hidden="1" customHeight="1">
      <c r="A37" s="1004" t="s">
        <v>131</v>
      </c>
      <c r="B37" s="1005">
        <v>231</v>
      </c>
      <c r="C37" s="1005">
        <v>4.84</v>
      </c>
      <c r="D37" s="1006">
        <v>8.8999999999999996E-2</v>
      </c>
      <c r="E37" s="1005">
        <v>5.48</v>
      </c>
      <c r="F37" s="1007">
        <v>0.22800000000000001</v>
      </c>
    </row>
    <row r="38" spans="1:6" ht="15.75" hidden="1" customHeight="1">
      <c r="A38" s="1008" t="s">
        <v>132</v>
      </c>
      <c r="B38" s="1009">
        <v>29</v>
      </c>
      <c r="C38" s="1009">
        <v>2.2400000000000002</v>
      </c>
      <c r="D38" s="1010">
        <v>2.6499999999999999E-2</v>
      </c>
      <c r="E38" s="1009">
        <v>2.4900000000000002</v>
      </c>
      <c r="F38" s="1011">
        <v>8.4099999999999994E-2</v>
      </c>
    </row>
    <row r="39" spans="1:6" ht="15.75" hidden="1" customHeight="1">
      <c r="A39" s="1004" t="s">
        <v>133</v>
      </c>
      <c r="B39" s="1005">
        <v>101</v>
      </c>
      <c r="C39" s="1005">
        <v>3.03</v>
      </c>
      <c r="D39" s="1006">
        <v>2.5899999999999999E-2</v>
      </c>
      <c r="E39" s="1005">
        <v>3.31</v>
      </c>
      <c r="F39" s="1007">
        <v>7.3800000000000004E-2</v>
      </c>
    </row>
    <row r="40" spans="1:6" ht="15.75" hidden="1" customHeight="1">
      <c r="A40" s="1008" t="s">
        <v>134</v>
      </c>
      <c r="B40" s="1009">
        <v>11</v>
      </c>
      <c r="C40" s="1009">
        <v>0.73</v>
      </c>
      <c r="D40" s="1010">
        <v>-0.1537</v>
      </c>
      <c r="E40" s="1009">
        <v>0.72</v>
      </c>
      <c r="F40" s="1011">
        <v>-5.1999999999999998E-2</v>
      </c>
    </row>
    <row r="41" spans="1:6" ht="15.75" hidden="1" customHeight="1">
      <c r="A41" s="1004" t="s">
        <v>135</v>
      </c>
      <c r="B41" s="1005">
        <v>122</v>
      </c>
      <c r="C41" s="1005">
        <v>2.27</v>
      </c>
      <c r="D41" s="1006">
        <v>5.62E-2</v>
      </c>
      <c r="E41" s="1005">
        <v>2.46</v>
      </c>
      <c r="F41" s="1007">
        <v>8.2699999999999996E-2</v>
      </c>
    </row>
    <row r="42" spans="1:6" ht="15.75" customHeight="1">
      <c r="A42" s="1008" t="s">
        <v>136</v>
      </c>
      <c r="B42" s="1009">
        <v>42</v>
      </c>
      <c r="C42" s="1009">
        <v>1.26</v>
      </c>
      <c r="D42" s="1010">
        <v>2.9499999999999998E-2</v>
      </c>
      <c r="E42" s="1009">
        <v>1.41</v>
      </c>
      <c r="F42" s="1011">
        <v>5.8400000000000001E-2</v>
      </c>
    </row>
    <row r="43" spans="1:6" ht="15.75" hidden="1" customHeight="1">
      <c r="A43" s="1004" t="s">
        <v>137</v>
      </c>
      <c r="B43" s="1005">
        <v>96</v>
      </c>
      <c r="C43" s="1005">
        <v>3.37</v>
      </c>
      <c r="D43" s="1006">
        <v>-3.1600000000000003E-2</v>
      </c>
      <c r="E43" s="1005">
        <v>3.9</v>
      </c>
      <c r="F43" s="1007">
        <v>8.1299999999999997E-2</v>
      </c>
    </row>
    <row r="44" spans="1:6" ht="15.75" hidden="1" customHeight="1">
      <c r="A44" s="1008" t="s">
        <v>138</v>
      </c>
      <c r="B44" s="1009">
        <v>50</v>
      </c>
      <c r="C44" s="1009">
        <v>3.13</v>
      </c>
      <c r="D44" s="1010">
        <v>8.8099999999999998E-2</v>
      </c>
      <c r="E44" s="1009">
        <v>3.68</v>
      </c>
      <c r="F44" s="1011">
        <v>0.15079999999999999</v>
      </c>
    </row>
    <row r="45" spans="1:6" ht="15.75" hidden="1" customHeight="1">
      <c r="A45" s="1004" t="s">
        <v>139</v>
      </c>
      <c r="B45" s="1005">
        <v>35</v>
      </c>
      <c r="C45" s="1005">
        <v>0.8</v>
      </c>
      <c r="D45" s="1006">
        <v>4.9000000000000002E-2</v>
      </c>
      <c r="E45" s="1005">
        <v>1.18</v>
      </c>
      <c r="F45" s="1007">
        <v>7.4200000000000002E-2</v>
      </c>
    </row>
    <row r="46" spans="1:6" ht="15.75" hidden="1" customHeight="1">
      <c r="A46" s="1008" t="s">
        <v>254</v>
      </c>
      <c r="B46" s="1009">
        <v>166</v>
      </c>
      <c r="C46" s="1009">
        <v>5.14</v>
      </c>
      <c r="D46" s="1010">
        <v>0.2228</v>
      </c>
      <c r="E46" s="1009">
        <v>19.3</v>
      </c>
      <c r="F46" s="1011">
        <v>0.1641</v>
      </c>
    </row>
    <row r="47" spans="1:6" ht="15.75" hidden="1" customHeight="1">
      <c r="A47" s="1004" t="s">
        <v>141</v>
      </c>
      <c r="B47" s="1005">
        <v>77</v>
      </c>
      <c r="C47" s="1005">
        <v>1.35</v>
      </c>
      <c r="D47" s="1006">
        <v>6.0100000000000001E-2</v>
      </c>
      <c r="E47" s="1005">
        <v>1.79</v>
      </c>
      <c r="F47" s="1007">
        <v>0.121</v>
      </c>
    </row>
    <row r="48" spans="1:6" ht="15.75" hidden="1" customHeight="1">
      <c r="A48" s="1008" t="s">
        <v>142</v>
      </c>
      <c r="B48" s="1009">
        <v>14</v>
      </c>
      <c r="C48" s="1009">
        <v>0.31</v>
      </c>
      <c r="D48" s="1010">
        <v>1.34E-2</v>
      </c>
      <c r="E48" s="1009">
        <v>0.44</v>
      </c>
      <c r="F48" s="1011">
        <v>2.63E-2</v>
      </c>
    </row>
    <row r="49" spans="1:6" ht="15.75" hidden="1" customHeight="1">
      <c r="A49" s="1004" t="s">
        <v>143</v>
      </c>
      <c r="B49" s="1005">
        <v>28</v>
      </c>
      <c r="C49" s="1005">
        <v>0.87</v>
      </c>
      <c r="D49" s="1006">
        <v>2.1100000000000001E-2</v>
      </c>
      <c r="E49" s="1005">
        <v>1.18</v>
      </c>
      <c r="F49" s="1007">
        <v>6.7900000000000002E-2</v>
      </c>
    </row>
    <row r="50" spans="1:6" ht="15.75" hidden="1" customHeight="1">
      <c r="A50" s="1008" t="s">
        <v>144</v>
      </c>
      <c r="B50" s="1009">
        <v>18</v>
      </c>
      <c r="C50" s="1009">
        <v>2.38</v>
      </c>
      <c r="D50" s="1010">
        <v>-0.1883</v>
      </c>
      <c r="E50" s="1009">
        <v>6.38</v>
      </c>
      <c r="F50" s="1011">
        <v>0.1978</v>
      </c>
    </row>
    <row r="51" spans="1:6" ht="15.75" hidden="1" customHeight="1">
      <c r="A51" s="1004" t="s">
        <v>145</v>
      </c>
      <c r="B51" s="1005">
        <v>218</v>
      </c>
      <c r="C51" s="1005">
        <v>4.7699999999999996</v>
      </c>
      <c r="D51" s="1006">
        <v>8.7300000000000003E-2</v>
      </c>
      <c r="E51" s="1005">
        <v>5.2</v>
      </c>
      <c r="F51" s="1007">
        <v>0.14990000000000001</v>
      </c>
    </row>
    <row r="52" spans="1:6" ht="15.75" hidden="1" customHeight="1">
      <c r="A52" s="1008" t="s">
        <v>146</v>
      </c>
      <c r="B52" s="1009">
        <v>113</v>
      </c>
      <c r="C52" s="1009">
        <v>0.43</v>
      </c>
      <c r="D52" s="1010">
        <v>1.5800000000000002E-2</v>
      </c>
      <c r="E52" s="1009">
        <v>0.53</v>
      </c>
      <c r="F52" s="1011">
        <v>3.4299999999999997E-2</v>
      </c>
    </row>
    <row r="53" spans="1:6" ht="15.75" hidden="1" customHeight="1">
      <c r="A53" s="1004" t="s">
        <v>255</v>
      </c>
      <c r="B53" s="1005">
        <v>116</v>
      </c>
      <c r="C53" s="1005">
        <v>4.71</v>
      </c>
      <c r="D53" s="1006">
        <v>4.6899999999999997E-2</v>
      </c>
      <c r="E53" s="1005">
        <v>5.31</v>
      </c>
      <c r="F53" s="1007">
        <v>0.13400000000000001</v>
      </c>
    </row>
    <row r="54" spans="1:6" ht="15.75" hidden="1" customHeight="1">
      <c r="A54" s="1008" t="s">
        <v>148</v>
      </c>
      <c r="B54" s="1009">
        <v>30</v>
      </c>
      <c r="C54" s="1009">
        <v>1.1499999999999999</v>
      </c>
      <c r="D54" s="1010">
        <v>0.12</v>
      </c>
      <c r="E54" s="1009">
        <v>1.24</v>
      </c>
      <c r="F54" s="1011">
        <v>0.15590000000000001</v>
      </c>
    </row>
    <row r="55" spans="1:6" ht="15.75" hidden="1" customHeight="1">
      <c r="A55" s="1004" t="s">
        <v>149</v>
      </c>
      <c r="B55" s="1005">
        <v>33</v>
      </c>
      <c r="C55" s="1005">
        <v>0.87</v>
      </c>
      <c r="D55" s="1006">
        <v>6.9699999999999998E-2</v>
      </c>
      <c r="E55" s="1005">
        <v>1.48</v>
      </c>
      <c r="F55" s="1007">
        <v>0.12139999999999999</v>
      </c>
    </row>
    <row r="56" spans="1:6" ht="15.75" hidden="1" customHeight="1">
      <c r="A56" s="1008" t="s">
        <v>150</v>
      </c>
      <c r="B56" s="1009">
        <v>65</v>
      </c>
      <c r="C56" s="1009">
        <v>3.15</v>
      </c>
      <c r="D56" s="1010">
        <v>9.8000000000000004E-2</v>
      </c>
      <c r="E56" s="1009">
        <v>4.28</v>
      </c>
      <c r="F56" s="1011">
        <v>0.14849999999999999</v>
      </c>
    </row>
    <row r="57" spans="1:6" ht="15.75" hidden="1" customHeight="1">
      <c r="A57" s="1004" t="s">
        <v>151</v>
      </c>
      <c r="B57" s="1005">
        <v>101</v>
      </c>
      <c r="C57" s="1005">
        <v>3.16</v>
      </c>
      <c r="D57" s="1006">
        <v>0.1038</v>
      </c>
      <c r="E57" s="1005">
        <v>3.53</v>
      </c>
      <c r="F57" s="1007">
        <v>0.18529999999999999</v>
      </c>
    </row>
    <row r="58" spans="1:6" ht="15.75" hidden="1" customHeight="1">
      <c r="A58" s="1008" t="s">
        <v>152</v>
      </c>
      <c r="B58" s="1009">
        <v>16</v>
      </c>
      <c r="C58" s="1009">
        <v>1.73</v>
      </c>
      <c r="D58" s="1010">
        <v>6.2300000000000001E-2</v>
      </c>
      <c r="E58" s="1009">
        <v>2.27</v>
      </c>
      <c r="F58" s="1011">
        <v>0.1215</v>
      </c>
    </row>
    <row r="59" spans="1:6" ht="15.75" hidden="1" customHeight="1">
      <c r="A59" s="1004" t="s">
        <v>153</v>
      </c>
      <c r="B59" s="1005">
        <v>22</v>
      </c>
      <c r="C59" s="1005">
        <v>2.72</v>
      </c>
      <c r="D59" s="1006">
        <v>4.1599999999999998E-2</v>
      </c>
      <c r="E59" s="1005">
        <v>3.11</v>
      </c>
      <c r="F59" s="1007">
        <v>0.16489999999999999</v>
      </c>
    </row>
    <row r="60" spans="1:6" ht="15.75" hidden="1" customHeight="1">
      <c r="A60" s="1008" t="s">
        <v>154</v>
      </c>
      <c r="B60" s="1009">
        <v>19</v>
      </c>
      <c r="C60" s="1009">
        <v>0.95</v>
      </c>
      <c r="D60" s="1010">
        <v>5.9499999999999997E-2</v>
      </c>
      <c r="E60" s="1009">
        <v>1.24</v>
      </c>
      <c r="F60" s="1011">
        <v>8.2500000000000004E-2</v>
      </c>
    </row>
    <row r="61" spans="1:6" ht="15.75" hidden="1" customHeight="1">
      <c r="A61" s="1004" t="s">
        <v>155</v>
      </c>
      <c r="B61" s="1005">
        <v>53</v>
      </c>
      <c r="C61" s="1005">
        <v>1.37</v>
      </c>
      <c r="D61" s="1006">
        <v>9.8799999999999999E-2</v>
      </c>
      <c r="E61" s="1005">
        <v>1.51</v>
      </c>
      <c r="F61" s="1007">
        <v>0.13700000000000001</v>
      </c>
    </row>
    <row r="62" spans="1:6" ht="15.75" hidden="1" customHeight="1">
      <c r="A62" s="1008" t="s">
        <v>156</v>
      </c>
      <c r="B62" s="1009">
        <v>231</v>
      </c>
      <c r="C62" s="1009">
        <v>4.95</v>
      </c>
      <c r="D62" s="1010">
        <v>0.1759</v>
      </c>
      <c r="E62" s="1009">
        <v>6.01</v>
      </c>
      <c r="F62" s="1011">
        <v>0.14080000000000001</v>
      </c>
    </row>
    <row r="63" spans="1:6" ht="15.75" hidden="1" customHeight="1">
      <c r="A63" s="1004" t="s">
        <v>157</v>
      </c>
      <c r="B63" s="1005">
        <v>109</v>
      </c>
      <c r="C63" s="1005">
        <v>2.87</v>
      </c>
      <c r="D63" s="1006">
        <v>0.1004</v>
      </c>
      <c r="E63" s="1005">
        <v>3.23</v>
      </c>
      <c r="F63" s="1007">
        <v>0.1598</v>
      </c>
    </row>
    <row r="64" spans="1:6" ht="15.75" hidden="1" customHeight="1">
      <c r="A64" s="1008" t="s">
        <v>158</v>
      </c>
      <c r="B64" s="1009">
        <v>64</v>
      </c>
      <c r="C64" s="1009">
        <v>2.62</v>
      </c>
      <c r="D64" s="1010">
        <v>7.3899999999999993E-2</v>
      </c>
      <c r="E64" s="1009">
        <v>2.89</v>
      </c>
      <c r="F64" s="1011">
        <v>0.22620000000000001</v>
      </c>
    </row>
    <row r="65" spans="1:6" ht="15.75" hidden="1" customHeight="1">
      <c r="A65" s="1004" t="s">
        <v>159</v>
      </c>
      <c r="B65" s="1005">
        <v>14</v>
      </c>
      <c r="C65" s="1005">
        <v>0.89</v>
      </c>
      <c r="D65" s="1006">
        <v>1.06E-2</v>
      </c>
      <c r="E65" s="1005">
        <v>1.2</v>
      </c>
      <c r="F65" s="1007">
        <v>8.4599999999999995E-2</v>
      </c>
    </row>
    <row r="66" spans="1:6" ht="15.75" hidden="1" customHeight="1">
      <c r="A66" s="1008" t="s">
        <v>160</v>
      </c>
      <c r="B66" s="1009">
        <v>4</v>
      </c>
      <c r="C66" s="1009">
        <v>1.39</v>
      </c>
      <c r="D66" s="1010">
        <v>9.7500000000000003E-2</v>
      </c>
      <c r="E66" s="1009">
        <v>1.52</v>
      </c>
      <c r="F66" s="1011">
        <v>0.1371</v>
      </c>
    </row>
    <row r="67" spans="1:6" ht="15.75" hidden="1" customHeight="1">
      <c r="A67" s="1004" t="s">
        <v>256</v>
      </c>
      <c r="B67" s="1005">
        <v>147</v>
      </c>
      <c r="C67" s="1005">
        <v>2.5099999999999998</v>
      </c>
      <c r="D67" s="1006">
        <v>0.19520000000000001</v>
      </c>
      <c r="E67" s="1005">
        <v>3.08</v>
      </c>
      <c r="F67" s="1007">
        <v>0.30059999999999998</v>
      </c>
    </row>
    <row r="68" spans="1:6" ht="15.75" hidden="1" customHeight="1">
      <c r="A68" s="1008" t="s">
        <v>162</v>
      </c>
      <c r="B68" s="1009">
        <v>24</v>
      </c>
      <c r="C68" s="1009">
        <v>3.33</v>
      </c>
      <c r="D68" s="1010">
        <v>0.16239999999999999</v>
      </c>
      <c r="E68" s="1009">
        <v>4.9800000000000004</v>
      </c>
      <c r="F68" s="1011">
        <v>0.28449999999999998</v>
      </c>
    </row>
    <row r="69" spans="1:6" ht="15.75" hidden="1" customHeight="1">
      <c r="A69" s="1004" t="s">
        <v>163</v>
      </c>
      <c r="B69" s="1005">
        <v>97</v>
      </c>
      <c r="C69" s="1005">
        <v>0.47</v>
      </c>
      <c r="D69" s="1006">
        <v>3.3099999999999997E-2</v>
      </c>
      <c r="E69" s="1005">
        <v>0.61</v>
      </c>
      <c r="F69" s="1007">
        <v>5.1700000000000003E-2</v>
      </c>
    </row>
    <row r="70" spans="1:6" ht="15.75" hidden="1" customHeight="1">
      <c r="A70" s="1008" t="s">
        <v>164</v>
      </c>
      <c r="B70" s="1009">
        <v>22</v>
      </c>
      <c r="C70" s="1009">
        <v>1.06</v>
      </c>
      <c r="D70" s="1010">
        <v>6.8199999999999997E-2</v>
      </c>
      <c r="E70" s="1009">
        <v>1.54</v>
      </c>
      <c r="F70" s="1011">
        <v>9.9900000000000003E-2</v>
      </c>
    </row>
    <row r="71" spans="1:6" ht="15.75" hidden="1" customHeight="1">
      <c r="A71" s="1004" t="s">
        <v>165</v>
      </c>
      <c r="B71" s="1005">
        <v>6</v>
      </c>
      <c r="C71" s="1005">
        <v>1.05</v>
      </c>
      <c r="D71" s="1006">
        <v>6.5299999999999997E-2</v>
      </c>
      <c r="E71" s="1005">
        <v>1.23</v>
      </c>
      <c r="F71" s="1007">
        <v>0.1031</v>
      </c>
    </row>
    <row r="72" spans="1:6" ht="15.75" hidden="1" customHeight="1">
      <c r="A72" s="1008" t="s">
        <v>166</v>
      </c>
      <c r="B72" s="1009">
        <v>48</v>
      </c>
      <c r="C72" s="1009">
        <v>2.4300000000000002</v>
      </c>
      <c r="D72" s="1010">
        <v>0.113</v>
      </c>
      <c r="E72" s="1009">
        <v>4.33</v>
      </c>
      <c r="F72" s="1011">
        <v>0.19670000000000001</v>
      </c>
    </row>
    <row r="73" spans="1:6" ht="15.75" hidden="1" customHeight="1">
      <c r="A73" s="1004" t="s">
        <v>167</v>
      </c>
      <c r="B73" s="1005">
        <v>60</v>
      </c>
      <c r="C73" s="1005">
        <v>2.74</v>
      </c>
      <c r="D73" s="1006">
        <v>-4.8399999999999999E-2</v>
      </c>
      <c r="E73" s="1005">
        <v>3.06</v>
      </c>
      <c r="F73" s="1007">
        <v>0.18890000000000001</v>
      </c>
    </row>
    <row r="74" spans="1:6" ht="15.75" hidden="1" customHeight="1">
      <c r="A74" s="1008" t="s">
        <v>168</v>
      </c>
      <c r="B74" s="1009">
        <v>19</v>
      </c>
      <c r="C74" s="1009">
        <v>1.32</v>
      </c>
      <c r="D74" s="1010">
        <v>2.2599999999999999E-2</v>
      </c>
      <c r="E74" s="1009">
        <v>1.59</v>
      </c>
      <c r="F74" s="1011">
        <v>8.2299999999999998E-2</v>
      </c>
    </row>
    <row r="75" spans="1:6" ht="15.75" hidden="1" customHeight="1">
      <c r="A75" s="1004" t="s">
        <v>169</v>
      </c>
      <c r="B75" s="1005">
        <v>192</v>
      </c>
      <c r="C75" s="1005">
        <v>6.02</v>
      </c>
      <c r="D75" s="1006">
        <v>0.12529999999999999</v>
      </c>
      <c r="E75" s="1005">
        <v>10.83</v>
      </c>
      <c r="F75" s="1007">
        <v>0.2223</v>
      </c>
    </row>
    <row r="76" spans="1:6" ht="15.75" hidden="1" customHeight="1">
      <c r="A76" s="1008" t="s">
        <v>170</v>
      </c>
      <c r="B76" s="1009">
        <v>15</v>
      </c>
      <c r="C76" s="1009">
        <v>2.06</v>
      </c>
      <c r="D76" s="1010">
        <v>0.11119999999999999</v>
      </c>
      <c r="E76" s="1009">
        <v>3.96</v>
      </c>
      <c r="F76" s="1011">
        <v>0.1348</v>
      </c>
    </row>
    <row r="77" spans="1:6" ht="15.75" hidden="1" customHeight="1">
      <c r="A77" s="1004" t="s">
        <v>171</v>
      </c>
      <c r="B77" s="1005">
        <v>11</v>
      </c>
      <c r="C77" s="1005">
        <v>3.24</v>
      </c>
      <c r="D77" s="1006">
        <v>8.6400000000000005E-2</v>
      </c>
      <c r="E77" s="1005">
        <v>4.0999999999999996</v>
      </c>
      <c r="F77" s="1007">
        <v>0.1124</v>
      </c>
    </row>
    <row r="78" spans="1:6" ht="15.75" hidden="1" customHeight="1">
      <c r="A78" s="1008" t="s">
        <v>257</v>
      </c>
      <c r="B78" s="1009">
        <v>60</v>
      </c>
      <c r="C78" s="1009">
        <v>1.28</v>
      </c>
      <c r="D78" s="1010">
        <v>-7.9000000000000008E-3</v>
      </c>
      <c r="E78" s="1009">
        <v>1.53</v>
      </c>
      <c r="F78" s="1011">
        <v>1.3599999999999999E-2</v>
      </c>
    </row>
    <row r="79" spans="1:6" ht="15.75" hidden="1" customHeight="1">
      <c r="A79" s="1004" t="s">
        <v>173</v>
      </c>
      <c r="B79" s="1005">
        <v>50</v>
      </c>
      <c r="C79" s="1005">
        <v>1.26</v>
      </c>
      <c r="D79" s="1006">
        <v>6.4999999999999997E-3</v>
      </c>
      <c r="E79" s="1005">
        <v>1.99</v>
      </c>
      <c r="F79" s="1007">
        <v>7.4800000000000005E-2</v>
      </c>
    </row>
    <row r="80" spans="1:6" ht="15.75" hidden="1" customHeight="1">
      <c r="A80" s="1008" t="s">
        <v>174</v>
      </c>
      <c r="B80" s="1009">
        <v>1</v>
      </c>
      <c r="C80" s="1009">
        <v>0.64</v>
      </c>
      <c r="D80" s="1010">
        <v>3.32E-2</v>
      </c>
      <c r="E80" s="1009">
        <v>0.64</v>
      </c>
      <c r="F80" s="1011">
        <v>5.5300000000000002E-2</v>
      </c>
    </row>
    <row r="81" spans="1:6" ht="15.75" hidden="1" customHeight="1">
      <c r="A81" s="1004" t="s">
        <v>175</v>
      </c>
      <c r="B81" s="1005">
        <v>62</v>
      </c>
      <c r="C81" s="1005">
        <v>3.69</v>
      </c>
      <c r="D81" s="1006">
        <v>0.1062</v>
      </c>
      <c r="E81" s="1005">
        <v>4.47</v>
      </c>
      <c r="F81" s="1007">
        <v>0.13900000000000001</v>
      </c>
    </row>
    <row r="82" spans="1:6" ht="15.75" hidden="1" customHeight="1">
      <c r="A82" s="1008" t="s">
        <v>176</v>
      </c>
      <c r="B82" s="1009">
        <v>29</v>
      </c>
      <c r="C82" s="1009">
        <v>0.82</v>
      </c>
      <c r="D82" s="1010">
        <v>3.3300000000000003E-2</v>
      </c>
      <c r="E82" s="1009">
        <v>1.22</v>
      </c>
      <c r="F82" s="1011">
        <v>5.6000000000000001E-2</v>
      </c>
    </row>
    <row r="83" spans="1:6" ht="15.75" hidden="1" customHeight="1">
      <c r="A83" s="1004" t="s">
        <v>177</v>
      </c>
      <c r="B83" s="1005">
        <v>13</v>
      </c>
      <c r="C83" s="1005">
        <v>2.12</v>
      </c>
      <c r="D83" s="1006">
        <v>8.0799999999999997E-2</v>
      </c>
      <c r="E83" s="1005">
        <v>2.52</v>
      </c>
      <c r="F83" s="1007">
        <v>0.1197</v>
      </c>
    </row>
    <row r="84" spans="1:6" ht="15.75" hidden="1" customHeight="1">
      <c r="A84" s="1008" t="s">
        <v>178</v>
      </c>
      <c r="B84" s="1009">
        <v>66</v>
      </c>
      <c r="C84" s="1009">
        <v>1.41</v>
      </c>
      <c r="D84" s="1010">
        <v>6.4500000000000002E-2</v>
      </c>
      <c r="E84" s="1009">
        <v>1.81</v>
      </c>
      <c r="F84" s="1011">
        <v>0.1079</v>
      </c>
    </row>
    <row r="85" spans="1:6" ht="15.75" hidden="1" customHeight="1">
      <c r="A85" s="1004" t="s">
        <v>179</v>
      </c>
      <c r="B85" s="1005">
        <v>24</v>
      </c>
      <c r="C85" s="1005">
        <v>1.94</v>
      </c>
      <c r="D85" s="1006">
        <v>4.5999999999999999E-2</v>
      </c>
      <c r="E85" s="1005">
        <v>2.0499999999999998</v>
      </c>
      <c r="F85" s="1007">
        <v>5.9200000000000003E-2</v>
      </c>
    </row>
    <row r="86" spans="1:6" ht="15.75" hidden="1" customHeight="1">
      <c r="A86" s="1008" t="s">
        <v>180</v>
      </c>
      <c r="B86" s="1009">
        <v>17</v>
      </c>
      <c r="C86" s="1009">
        <v>0.36</v>
      </c>
      <c r="D86" s="1010">
        <v>1.9699999999999999E-2</v>
      </c>
      <c r="E86" s="1009">
        <v>0.49</v>
      </c>
      <c r="F86" s="1011">
        <v>2.93E-2</v>
      </c>
    </row>
    <row r="87" spans="1:6" ht="15.75" hidden="1" customHeight="1">
      <c r="A87" s="1004" t="s">
        <v>181</v>
      </c>
      <c r="B87" s="1005">
        <v>28</v>
      </c>
      <c r="C87" s="1005">
        <v>8.06</v>
      </c>
      <c r="D87" s="1006">
        <v>0.25469999999999998</v>
      </c>
      <c r="E87" s="1005">
        <v>12.22</v>
      </c>
      <c r="F87" s="1007">
        <v>0.37280000000000002</v>
      </c>
    </row>
    <row r="88" spans="1:6" ht="15.75" hidden="1" customHeight="1">
      <c r="A88" s="1008" t="s">
        <v>182</v>
      </c>
      <c r="B88" s="1009">
        <v>98</v>
      </c>
      <c r="C88" s="1009">
        <v>0.87</v>
      </c>
      <c r="D88" s="1010">
        <v>1.49E-2</v>
      </c>
      <c r="E88" s="1009">
        <v>1.07</v>
      </c>
      <c r="F88" s="1011">
        <v>5.2999999999999999E-2</v>
      </c>
    </row>
    <row r="89" spans="1:6" ht="15.75" hidden="1" customHeight="1">
      <c r="A89" s="1004" t="s">
        <v>183</v>
      </c>
      <c r="B89" s="1005">
        <v>3</v>
      </c>
      <c r="C89" s="1005">
        <v>0.14000000000000001</v>
      </c>
      <c r="D89" s="1006">
        <v>-1.7000000000000001E-2</v>
      </c>
      <c r="E89" s="1005">
        <v>0.62</v>
      </c>
      <c r="F89" s="1007">
        <v>4.3400000000000001E-2</v>
      </c>
    </row>
    <row r="90" spans="1:6" ht="15.75" hidden="1" customHeight="1">
      <c r="A90" s="1008" t="s">
        <v>184</v>
      </c>
      <c r="B90" s="1009">
        <v>63</v>
      </c>
      <c r="C90" s="1009">
        <v>14.26</v>
      </c>
      <c r="D90" s="1010">
        <v>0.1996</v>
      </c>
      <c r="E90" s="1009">
        <v>14.65</v>
      </c>
      <c r="F90" s="1011">
        <v>0.29730000000000001</v>
      </c>
    </row>
    <row r="91" spans="1:6" ht="15.75" hidden="1" customHeight="1">
      <c r="A91" s="1004" t="s">
        <v>185</v>
      </c>
      <c r="B91" s="1005">
        <v>30</v>
      </c>
      <c r="C91" s="1005">
        <v>4.9400000000000004</v>
      </c>
      <c r="D91" s="1006">
        <v>0.2014</v>
      </c>
      <c r="E91" s="1005">
        <v>5.07</v>
      </c>
      <c r="F91" s="1007">
        <v>0.2419</v>
      </c>
    </row>
    <row r="92" spans="1:6" ht="15.75" hidden="1" customHeight="1">
      <c r="A92" s="1008" t="s">
        <v>186</v>
      </c>
      <c r="B92" s="1009">
        <v>8</v>
      </c>
      <c r="C92" s="1009">
        <v>1.52</v>
      </c>
      <c r="D92" s="1010">
        <v>0.1052</v>
      </c>
      <c r="E92" s="1009">
        <v>1.75</v>
      </c>
      <c r="F92" s="1011">
        <v>0.14979999999999999</v>
      </c>
    </row>
    <row r="93" spans="1:6" ht="15.75" hidden="1" customHeight="1">
      <c r="A93" s="1004" t="s">
        <v>187</v>
      </c>
      <c r="B93" s="1005">
        <v>12</v>
      </c>
      <c r="C93" s="1005">
        <v>2.3199999999999998</v>
      </c>
      <c r="D93" s="1006">
        <v>0.10150000000000001</v>
      </c>
      <c r="E93" s="1005">
        <v>2.4</v>
      </c>
      <c r="F93" s="1007">
        <v>0.13009999999999999</v>
      </c>
    </row>
    <row r="94" spans="1:6" ht="15.75" hidden="1" customHeight="1">
      <c r="A94" s="1008" t="s">
        <v>188</v>
      </c>
      <c r="B94" s="1009">
        <v>81</v>
      </c>
      <c r="C94" s="1009">
        <v>7.3</v>
      </c>
      <c r="D94" s="1010">
        <v>0.27429999999999999</v>
      </c>
      <c r="E94" s="1009">
        <v>7.35</v>
      </c>
      <c r="F94" s="1011">
        <v>0.3216</v>
      </c>
    </row>
    <row r="95" spans="1:6" ht="15.75" hidden="1" customHeight="1">
      <c r="A95" s="1004" t="s">
        <v>189</v>
      </c>
      <c r="B95" s="1005">
        <v>29</v>
      </c>
      <c r="C95" s="1005">
        <v>7.01</v>
      </c>
      <c r="D95" s="1006">
        <v>-2.5999999999999999E-2</v>
      </c>
      <c r="E95" s="1005">
        <v>7.59</v>
      </c>
      <c r="F95" s="1007">
        <v>2.0500000000000001E-2</v>
      </c>
    </row>
    <row r="96" spans="1:6" ht="15.75" hidden="1" customHeight="1">
      <c r="A96" s="1008" t="s">
        <v>190</v>
      </c>
      <c r="B96" s="1009">
        <v>333</v>
      </c>
      <c r="C96" s="1009">
        <v>11.2</v>
      </c>
      <c r="D96" s="1010">
        <v>0.22939999999999999</v>
      </c>
      <c r="E96" s="1009">
        <v>11.54</v>
      </c>
      <c r="F96" s="1011">
        <v>0.28770000000000001</v>
      </c>
    </row>
    <row r="97" spans="1:6" ht="15.75" hidden="1" customHeight="1">
      <c r="A97" s="1004" t="s">
        <v>191</v>
      </c>
      <c r="B97" s="1005">
        <v>27</v>
      </c>
      <c r="C97" s="1005">
        <v>0.77</v>
      </c>
      <c r="D97" s="1006">
        <v>5.2499999999999998E-2</v>
      </c>
      <c r="E97" s="1005">
        <v>0.89</v>
      </c>
      <c r="F97" s="1007">
        <v>7.6499999999999999E-2</v>
      </c>
    </row>
    <row r="98" spans="1:6" ht="15.75" hidden="1" customHeight="1">
      <c r="A98" s="1008" t="s">
        <v>192</v>
      </c>
      <c r="B98" s="1009">
        <v>11</v>
      </c>
      <c r="C98" s="1009">
        <v>2.89</v>
      </c>
      <c r="D98" s="1010">
        <v>0.1081</v>
      </c>
      <c r="E98" s="1009">
        <v>4.1500000000000004</v>
      </c>
      <c r="F98" s="1011">
        <v>0.189</v>
      </c>
    </row>
    <row r="99" spans="1:6" ht="15.75" hidden="1" customHeight="1">
      <c r="A99" s="1004" t="s">
        <v>193</v>
      </c>
      <c r="B99" s="1005">
        <v>61</v>
      </c>
      <c r="C99" s="1005">
        <v>5.05</v>
      </c>
      <c r="D99" s="1006">
        <v>0.1048</v>
      </c>
      <c r="E99" s="1005">
        <v>5.48</v>
      </c>
      <c r="F99" s="1007">
        <v>0.17799999999999999</v>
      </c>
    </row>
    <row r="100" spans="1:6" ht="15.75" hidden="1" customHeight="1">
      <c r="A100" s="1008" t="s">
        <v>194</v>
      </c>
      <c r="B100" s="1009">
        <v>32</v>
      </c>
      <c r="C100" s="1009">
        <v>1.3</v>
      </c>
      <c r="D100" s="1010">
        <v>5.8700000000000002E-2</v>
      </c>
      <c r="E100" s="1009">
        <v>2.56</v>
      </c>
      <c r="F100" s="1011">
        <v>0.20680000000000001</v>
      </c>
    </row>
    <row r="101" spans="1:6" ht="15.75" hidden="1" customHeight="1">
      <c r="A101" s="1004" t="s">
        <v>195</v>
      </c>
      <c r="B101" s="1005">
        <v>12</v>
      </c>
      <c r="C101" s="1005">
        <v>4.41</v>
      </c>
      <c r="D101" s="1006">
        <v>0.3196</v>
      </c>
      <c r="E101" s="1005">
        <v>5.54</v>
      </c>
      <c r="F101" s="1007">
        <v>0.41220000000000001</v>
      </c>
    </row>
    <row r="102" spans="1:6" ht="15.75" hidden="1" customHeight="1">
      <c r="A102" s="1008" t="s">
        <v>196</v>
      </c>
      <c r="B102" s="1009">
        <v>21</v>
      </c>
      <c r="C102" s="1009">
        <v>1.19</v>
      </c>
      <c r="D102" s="1010">
        <v>4.0899999999999999E-2</v>
      </c>
      <c r="E102" s="1009">
        <v>1.58</v>
      </c>
      <c r="F102" s="1011">
        <v>6.9000000000000006E-2</v>
      </c>
    </row>
    <row r="103" spans="1:6" ht="15.75" hidden="1" customHeight="1">
      <c r="A103" s="1004" t="s">
        <v>197</v>
      </c>
      <c r="B103" s="1005">
        <v>4</v>
      </c>
      <c r="C103" s="1005">
        <v>4.9400000000000004</v>
      </c>
      <c r="D103" s="1006">
        <v>0.24299999999999999</v>
      </c>
      <c r="E103" s="1005">
        <v>6.28</v>
      </c>
      <c r="F103" s="1007">
        <v>0.3826</v>
      </c>
    </row>
    <row r="104" spans="1:6" ht="15.75" hidden="1" customHeight="1">
      <c r="A104" s="1008" t="s">
        <v>198</v>
      </c>
      <c r="B104" s="1009">
        <v>24</v>
      </c>
      <c r="C104" s="1009">
        <v>1.54</v>
      </c>
      <c r="D104" s="1010">
        <v>4.2000000000000003E-2</v>
      </c>
      <c r="E104" s="1009">
        <v>1.85</v>
      </c>
      <c r="F104" s="1011">
        <v>7.3200000000000001E-2</v>
      </c>
    </row>
    <row r="105" spans="1:6" ht="15.75" hidden="1" customHeight="1">
      <c r="A105" s="1004" t="s">
        <v>199</v>
      </c>
      <c r="B105" s="1005">
        <v>14</v>
      </c>
      <c r="C105" s="1005">
        <v>2.97</v>
      </c>
      <c r="D105" s="1006">
        <v>0.15459999999999999</v>
      </c>
      <c r="E105" s="1005">
        <v>5.24</v>
      </c>
      <c r="F105" s="1007">
        <v>0.23069999999999999</v>
      </c>
    </row>
    <row r="106" spans="1:6" ht="15.75" hidden="1" customHeight="1">
      <c r="A106" s="1008" t="s">
        <v>200</v>
      </c>
      <c r="B106" s="1009">
        <v>15</v>
      </c>
      <c r="C106" s="1009">
        <v>4.75</v>
      </c>
      <c r="D106" s="1010">
        <v>0.2132</v>
      </c>
      <c r="E106" s="1009">
        <v>7.51</v>
      </c>
      <c r="F106" s="1011">
        <v>0.33029999999999998</v>
      </c>
    </row>
    <row r="107" spans="1:6" ht="15.75" hidden="1" customHeight="1">
      <c r="A107" s="1004" t="s">
        <v>201</v>
      </c>
      <c r="B107" s="1005">
        <v>6062</v>
      </c>
      <c r="C107" s="1005">
        <v>2.76</v>
      </c>
      <c r="D107" s="1006">
        <v>8.6699999999999999E-2</v>
      </c>
      <c r="E107" s="1005">
        <v>3.65</v>
      </c>
      <c r="F107" s="1007">
        <v>0.1202</v>
      </c>
    </row>
    <row r="108" spans="1:6" ht="15.75" hidden="1" customHeight="1">
      <c r="A108" s="1012" t="s">
        <v>258</v>
      </c>
      <c r="B108" s="1013">
        <v>4935</v>
      </c>
      <c r="C108" s="1013">
        <v>2.58</v>
      </c>
      <c r="D108" s="1014">
        <v>7.3300000000000004E-2</v>
      </c>
      <c r="E108" s="1013">
        <v>2.99</v>
      </c>
      <c r="F108" s="1015">
        <v>0.1187</v>
      </c>
    </row>
    <row r="109" spans="1:6" ht="15.75" customHeight="1">
      <c r="A109" s="1"/>
      <c r="B109" s="1"/>
      <c r="C109" s="1"/>
      <c r="D109" s="39"/>
      <c r="E109" s="1"/>
      <c r="F109" s="39"/>
    </row>
    <row r="110" spans="1:6" ht="15.75" customHeight="1">
      <c r="A110" s="1"/>
      <c r="B110" s="1"/>
      <c r="C110" s="1"/>
      <c r="D110" s="1"/>
      <c r="E110" s="1"/>
      <c r="F110" s="1"/>
    </row>
    <row r="111" spans="1:6" ht="15.75" customHeight="1">
      <c r="A111" s="1"/>
      <c r="B111" s="1"/>
      <c r="C111" s="1"/>
      <c r="D111" s="1"/>
      <c r="E111" s="1"/>
      <c r="F111" s="1"/>
    </row>
    <row r="112" spans="1:6" ht="15.75" customHeight="1">
      <c r="A112" s="1"/>
      <c r="B112" s="1"/>
      <c r="C112" s="1"/>
      <c r="D112" s="1"/>
      <c r="E112" s="1"/>
      <c r="F112" s="1"/>
    </row>
    <row r="113" spans="1:6" ht="15.75" customHeight="1">
      <c r="A113" s="1"/>
      <c r="B113" s="1"/>
      <c r="C113" s="1"/>
      <c r="D113" s="1"/>
      <c r="E113" s="1"/>
      <c r="F113" s="1"/>
    </row>
    <row r="114" spans="1:6" ht="15.75" customHeight="1">
      <c r="A114" s="1"/>
      <c r="B114" s="1"/>
      <c r="C114" s="1"/>
      <c r="D114" s="1"/>
      <c r="E114" s="1"/>
      <c r="F114" s="1"/>
    </row>
    <row r="115" spans="1:6" ht="15.75" customHeight="1"/>
    <row r="116" spans="1:6" ht="15.75" customHeight="1"/>
    <row r="117" spans="1:6" ht="15.75" customHeight="1"/>
    <row r="118" spans="1:6" ht="15.75" customHeight="1"/>
    <row r="119" spans="1:6" ht="15.75" customHeight="1"/>
    <row r="120" spans="1:6" ht="15.75" customHeight="1"/>
    <row r="121" spans="1:6" ht="15.75" customHeight="1"/>
    <row r="122" spans="1:6" ht="15.75" customHeight="1"/>
    <row r="123" spans="1:6" ht="15.75" customHeight="1"/>
    <row r="124" spans="1:6" ht="15.75" customHeight="1"/>
    <row r="125" spans="1:6" ht="15.75" customHeight="1"/>
    <row r="126" spans="1:6" ht="15.75" customHeight="1"/>
    <row r="127" spans="1:6" ht="15.75" customHeight="1"/>
    <row r="128" spans="1:6"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2:F108" xr:uid="{00000000-0009-0000-0000-000010000000}">
    <filterColumn colId="0">
      <filters>
        <filter val="Engineering/Construction"/>
      </filters>
    </filterColumn>
  </autoFilter>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filterMode="1"/>
  <dimension ref="A1:Z1000"/>
  <sheetViews>
    <sheetView workbookViewId="0"/>
  </sheetViews>
  <sheetFormatPr baseColWidth="10" defaultColWidth="14.44140625" defaultRowHeight="15" customHeight="1"/>
  <cols>
    <col min="1" max="1" width="37.88671875" customWidth="1"/>
    <col min="2" max="2" width="18.109375" customWidth="1"/>
    <col min="3" max="3" width="21.44140625" customWidth="1"/>
    <col min="4" max="4" width="39.44140625" customWidth="1"/>
    <col min="5" max="5" width="28.109375" customWidth="1"/>
    <col min="6" max="6" width="13" customWidth="1"/>
    <col min="7" max="10" width="11.44140625" customWidth="1"/>
    <col min="11" max="26" width="10.6640625" customWidth="1"/>
  </cols>
  <sheetData>
    <row r="1" spans="1:26" ht="15.75" customHeight="1">
      <c r="A1" s="986" t="s">
        <v>69</v>
      </c>
      <c r="B1" s="1362">
        <v>45662</v>
      </c>
      <c r="C1" s="1363"/>
      <c r="D1" s="1363"/>
      <c r="E1" s="1363"/>
      <c r="F1" s="1363"/>
      <c r="G1" s="1368"/>
      <c r="H1" s="92"/>
      <c r="I1" s="92"/>
      <c r="J1" s="92"/>
      <c r="K1" s="92"/>
      <c r="L1" s="92"/>
      <c r="M1" s="92"/>
      <c r="N1" s="92"/>
      <c r="O1" s="92"/>
      <c r="P1" s="92"/>
      <c r="Q1" s="92"/>
      <c r="R1" s="92"/>
      <c r="S1" s="92"/>
      <c r="T1" s="92"/>
      <c r="U1" s="92"/>
      <c r="V1" s="92"/>
      <c r="W1" s="92"/>
      <c r="X1" s="92"/>
      <c r="Y1" s="92"/>
      <c r="Z1" s="92"/>
    </row>
    <row r="2" spans="1:26" ht="15.75" customHeight="1">
      <c r="A2" s="200" t="s">
        <v>72</v>
      </c>
      <c r="B2" s="1369" t="s">
        <v>73</v>
      </c>
      <c r="C2" s="1339"/>
      <c r="D2" s="1339"/>
      <c r="E2" s="1339"/>
      <c r="F2" s="1339"/>
      <c r="G2" s="1387"/>
      <c r="H2" s="92"/>
      <c r="I2" s="92"/>
      <c r="J2" s="92"/>
      <c r="K2" s="92"/>
      <c r="L2" s="92"/>
      <c r="M2" s="92"/>
      <c r="N2" s="92"/>
      <c r="O2" s="92"/>
      <c r="P2" s="92"/>
      <c r="Q2" s="92"/>
      <c r="R2" s="92"/>
      <c r="S2" s="92"/>
      <c r="T2" s="92"/>
      <c r="U2" s="92"/>
      <c r="V2" s="92"/>
      <c r="W2" s="92"/>
      <c r="X2" s="92"/>
      <c r="Y2" s="92"/>
      <c r="Z2" s="92"/>
    </row>
    <row r="3" spans="1:26" ht="15.75" customHeight="1">
      <c r="A3" s="200" t="s">
        <v>75</v>
      </c>
      <c r="B3" s="1375" t="s">
        <v>562</v>
      </c>
      <c r="C3" s="1339"/>
      <c r="D3" s="1339"/>
      <c r="E3" s="1340"/>
      <c r="F3" s="1375" t="s">
        <v>77</v>
      </c>
      <c r="G3" s="1387"/>
      <c r="H3" s="84"/>
      <c r="I3" s="84"/>
      <c r="J3" s="84"/>
      <c r="K3" s="92"/>
      <c r="L3" s="92"/>
      <c r="M3" s="92"/>
      <c r="N3" s="92"/>
      <c r="O3" s="92"/>
      <c r="P3" s="92"/>
      <c r="Q3" s="92"/>
      <c r="R3" s="92"/>
      <c r="S3" s="92"/>
      <c r="T3" s="92"/>
      <c r="U3" s="92"/>
      <c r="V3" s="92"/>
      <c r="W3" s="92"/>
      <c r="X3" s="92"/>
      <c r="Y3" s="92"/>
      <c r="Z3" s="92"/>
    </row>
    <row r="4" spans="1:26" ht="15.75" customHeight="1">
      <c r="A4" s="200" t="s">
        <v>78</v>
      </c>
      <c r="B4" s="1376" t="s">
        <v>79</v>
      </c>
      <c r="C4" s="1339"/>
      <c r="D4" s="1339"/>
      <c r="E4" s="1339"/>
      <c r="F4" s="1339"/>
      <c r="G4" s="1387"/>
      <c r="H4" s="92"/>
      <c r="I4" s="92"/>
      <c r="J4" s="92"/>
      <c r="K4" s="92"/>
      <c r="L4" s="92"/>
      <c r="M4" s="92"/>
      <c r="N4" s="92"/>
      <c r="O4" s="92"/>
      <c r="P4" s="92"/>
      <c r="Q4" s="92"/>
      <c r="R4" s="92"/>
      <c r="S4" s="92"/>
      <c r="T4" s="92"/>
      <c r="U4" s="92"/>
      <c r="V4" s="92"/>
      <c r="W4" s="92"/>
      <c r="X4" s="92"/>
      <c r="Y4" s="92"/>
      <c r="Z4" s="92"/>
    </row>
    <row r="5" spans="1:26" ht="15.75" customHeight="1">
      <c r="A5" s="200" t="s">
        <v>80</v>
      </c>
      <c r="B5" s="1355" t="s">
        <v>563</v>
      </c>
      <c r="C5" s="1339"/>
      <c r="D5" s="1339"/>
      <c r="E5" s="1339"/>
      <c r="F5" s="1339"/>
      <c r="G5" s="1387"/>
      <c r="H5" s="92"/>
      <c r="I5" s="92"/>
      <c r="J5" s="92"/>
      <c r="K5" s="92"/>
      <c r="L5" s="92"/>
      <c r="M5" s="92"/>
      <c r="N5" s="92"/>
      <c r="O5" s="92"/>
      <c r="P5" s="92"/>
      <c r="Q5" s="92"/>
      <c r="R5" s="92"/>
      <c r="S5" s="92"/>
      <c r="T5" s="92"/>
      <c r="U5" s="92"/>
      <c r="V5" s="92"/>
      <c r="W5" s="92"/>
      <c r="X5" s="92"/>
      <c r="Y5" s="92"/>
      <c r="Z5" s="92"/>
    </row>
    <row r="6" spans="1:26" ht="15.75" customHeight="1">
      <c r="A6" s="200" t="s">
        <v>82</v>
      </c>
      <c r="B6" s="1369" t="s">
        <v>83</v>
      </c>
      <c r="C6" s="1339"/>
      <c r="D6" s="1339"/>
      <c r="E6" s="1339"/>
      <c r="F6" s="1339"/>
      <c r="G6" s="1387"/>
      <c r="H6" s="95"/>
      <c r="I6" s="95"/>
      <c r="J6" s="95"/>
      <c r="K6" s="95"/>
      <c r="L6" s="95"/>
      <c r="M6" s="95"/>
      <c r="N6" s="95"/>
      <c r="O6" s="95"/>
      <c r="P6" s="95"/>
      <c r="Q6" s="95"/>
      <c r="R6" s="95"/>
      <c r="S6" s="95"/>
      <c r="T6" s="95"/>
      <c r="U6" s="95"/>
      <c r="V6" s="95"/>
      <c r="W6" s="95"/>
      <c r="X6" s="95"/>
      <c r="Y6" s="95"/>
      <c r="Z6" s="95"/>
    </row>
    <row r="7" spans="1:26" ht="15.75" customHeight="1">
      <c r="A7" s="201" t="s">
        <v>84</v>
      </c>
      <c r="B7" s="1388" t="s">
        <v>85</v>
      </c>
      <c r="C7" s="1389"/>
      <c r="D7" s="1389"/>
      <c r="E7" s="1389"/>
      <c r="F7" s="1389"/>
      <c r="G7" s="1390"/>
      <c r="H7" s="92"/>
      <c r="I7" s="92"/>
      <c r="J7" s="92"/>
      <c r="K7" s="92"/>
      <c r="L7" s="92"/>
      <c r="M7" s="92"/>
      <c r="N7" s="92"/>
      <c r="O7" s="92"/>
      <c r="P7" s="92"/>
      <c r="Q7" s="92"/>
      <c r="R7" s="92"/>
      <c r="S7" s="92"/>
      <c r="T7" s="92"/>
      <c r="U7" s="92"/>
      <c r="V7" s="92"/>
      <c r="W7" s="92"/>
      <c r="X7" s="92"/>
      <c r="Y7" s="92"/>
      <c r="Z7" s="92"/>
    </row>
    <row r="8" spans="1:26" ht="33" customHeight="1">
      <c r="A8" s="1016" t="s">
        <v>204</v>
      </c>
      <c r="B8" s="204" t="s">
        <v>247</v>
      </c>
      <c r="C8" s="204" t="s">
        <v>564</v>
      </c>
      <c r="D8" s="204" t="s">
        <v>565</v>
      </c>
      <c r="E8" s="1017" t="s">
        <v>566</v>
      </c>
      <c r="F8" s="92"/>
      <c r="G8" s="92"/>
      <c r="H8" s="1018"/>
      <c r="I8" s="1018"/>
      <c r="J8" s="1018"/>
      <c r="K8" s="1018"/>
      <c r="L8" s="1018"/>
      <c r="M8" s="1018"/>
      <c r="N8" s="1018"/>
      <c r="O8" s="1018"/>
      <c r="P8" s="1018"/>
      <c r="Q8" s="1018"/>
      <c r="R8" s="1018"/>
      <c r="S8" s="1018"/>
      <c r="T8" s="1018"/>
      <c r="U8" s="1018"/>
      <c r="V8" s="1018"/>
      <c r="W8" s="1018"/>
      <c r="X8" s="1018"/>
      <c r="Y8" s="1018"/>
      <c r="Z8" s="1018"/>
    </row>
    <row r="9" spans="1:26" ht="15.75" hidden="1" customHeight="1">
      <c r="A9" s="1019" t="s">
        <v>106</v>
      </c>
      <c r="B9" s="1020">
        <v>54</v>
      </c>
      <c r="C9" s="1021">
        <v>0.34913076808783805</v>
      </c>
      <c r="D9" s="218">
        <v>0.16148108503414008</v>
      </c>
      <c r="E9" s="219">
        <v>5.6378015249626816E-2</v>
      </c>
      <c r="F9" s="92"/>
      <c r="G9" s="92"/>
      <c r="H9" s="92"/>
      <c r="I9" s="92"/>
      <c r="J9" s="92"/>
      <c r="K9" s="92"/>
      <c r="L9" s="92"/>
      <c r="M9" s="92"/>
      <c r="N9" s="92"/>
      <c r="O9" s="92"/>
      <c r="P9" s="92"/>
      <c r="Q9" s="92"/>
      <c r="R9" s="92"/>
      <c r="S9" s="92"/>
      <c r="T9" s="92"/>
      <c r="U9" s="92"/>
      <c r="V9" s="92"/>
      <c r="W9" s="92"/>
      <c r="X9" s="92"/>
      <c r="Y9" s="92"/>
      <c r="Z9" s="92"/>
    </row>
    <row r="10" spans="1:26" ht="15.75" hidden="1" customHeight="1">
      <c r="A10" s="1022" t="s">
        <v>107</v>
      </c>
      <c r="B10" s="1023">
        <v>67</v>
      </c>
      <c r="C10" s="1024">
        <v>0.14025351122178831</v>
      </c>
      <c r="D10" s="1025">
        <v>0.65008606040122241</v>
      </c>
      <c r="E10" s="1026">
        <v>9.1176852567611003E-2</v>
      </c>
      <c r="F10" s="92"/>
      <c r="G10" s="92"/>
      <c r="H10" s="92"/>
      <c r="I10" s="92"/>
      <c r="J10" s="92"/>
      <c r="K10" s="92"/>
      <c r="L10" s="92"/>
      <c r="M10" s="92"/>
      <c r="N10" s="92"/>
      <c r="O10" s="92"/>
      <c r="P10" s="92"/>
      <c r="Q10" s="92"/>
      <c r="R10" s="92"/>
      <c r="S10" s="92"/>
      <c r="T10" s="92"/>
      <c r="U10" s="92"/>
      <c r="V10" s="92"/>
      <c r="W10" s="92"/>
      <c r="X10" s="92"/>
      <c r="Y10" s="92"/>
      <c r="Z10" s="92"/>
    </row>
    <row r="11" spans="1:26" ht="15.75" hidden="1" customHeight="1">
      <c r="A11" s="1019" t="s">
        <v>108</v>
      </c>
      <c r="B11" s="1020">
        <v>24</v>
      </c>
      <c r="C11" s="1021">
        <v>8.476398601412484E-2</v>
      </c>
      <c r="D11" s="218">
        <v>0.99545339105349284</v>
      </c>
      <c r="E11" s="219">
        <v>8.4378597316971407E-2</v>
      </c>
      <c r="F11" s="92"/>
      <c r="G11" s="92"/>
      <c r="H11" s="92"/>
      <c r="I11" s="92"/>
      <c r="J11" s="92"/>
      <c r="K11" s="92"/>
      <c r="L11" s="92"/>
      <c r="M11" s="92"/>
      <c r="N11" s="92"/>
      <c r="O11" s="92"/>
      <c r="P11" s="92"/>
      <c r="Q11" s="92"/>
      <c r="R11" s="92"/>
      <c r="S11" s="92"/>
      <c r="T11" s="92"/>
      <c r="U11" s="92"/>
      <c r="V11" s="92"/>
      <c r="W11" s="92"/>
      <c r="X11" s="92"/>
      <c r="Y11" s="92"/>
      <c r="Z11" s="92"/>
    </row>
    <row r="12" spans="1:26" ht="15.75" hidden="1" customHeight="1">
      <c r="A12" s="1022" t="s">
        <v>109</v>
      </c>
      <c r="B12" s="1023">
        <v>37</v>
      </c>
      <c r="C12" s="1024">
        <v>0.15256209384404851</v>
      </c>
      <c r="D12" s="1025">
        <v>-0.33753473103933551</v>
      </c>
      <c r="E12" s="1026">
        <v>-5.1495005312448779E-2</v>
      </c>
      <c r="F12" s="92"/>
      <c r="G12" s="92"/>
      <c r="H12" s="92"/>
      <c r="I12" s="92"/>
      <c r="J12" s="92"/>
      <c r="K12" s="92"/>
      <c r="L12" s="92"/>
      <c r="M12" s="92"/>
      <c r="N12" s="92"/>
      <c r="O12" s="92"/>
      <c r="P12" s="92"/>
      <c r="Q12" s="92"/>
      <c r="R12" s="92"/>
      <c r="S12" s="92"/>
      <c r="T12" s="92"/>
      <c r="U12" s="92"/>
      <c r="V12" s="92"/>
      <c r="W12" s="92"/>
      <c r="X12" s="92"/>
      <c r="Y12" s="92"/>
      <c r="Z12" s="92"/>
    </row>
    <row r="13" spans="1:26" ht="15.75" hidden="1" customHeight="1">
      <c r="A13" s="1019" t="s">
        <v>110</v>
      </c>
      <c r="B13" s="1020">
        <v>34</v>
      </c>
      <c r="C13" s="1021">
        <v>3.1538761079819101E-2</v>
      </c>
      <c r="D13" s="218">
        <v>0.31341818736278149</v>
      </c>
      <c r="E13" s="219">
        <v>9.8848213293047434E-3</v>
      </c>
      <c r="F13" s="92"/>
      <c r="G13" s="92"/>
      <c r="H13" s="92"/>
      <c r="I13" s="92"/>
      <c r="J13" s="92"/>
      <c r="K13" s="92"/>
      <c r="L13" s="92"/>
      <c r="M13" s="92"/>
      <c r="N13" s="92"/>
      <c r="O13" s="92"/>
      <c r="P13" s="92"/>
      <c r="Q13" s="92"/>
      <c r="R13" s="92"/>
      <c r="S13" s="92"/>
      <c r="T13" s="92"/>
      <c r="U13" s="92"/>
      <c r="V13" s="92"/>
      <c r="W13" s="92"/>
      <c r="X13" s="92"/>
      <c r="Y13" s="92"/>
      <c r="Z13" s="92"/>
    </row>
    <row r="14" spans="1:26" ht="15.75" hidden="1" customHeight="1">
      <c r="A14" s="1022" t="s">
        <v>111</v>
      </c>
      <c r="B14" s="1023">
        <v>33</v>
      </c>
      <c r="C14" s="1024">
        <v>8.6596749933389769E-2</v>
      </c>
      <c r="D14" s="1025">
        <v>0.9872478385354112</v>
      </c>
      <c r="E14" s="1026">
        <v>8.5492454195930559E-2</v>
      </c>
      <c r="F14" s="92"/>
      <c r="G14" s="92"/>
      <c r="H14" s="92"/>
      <c r="I14" s="92"/>
      <c r="J14" s="92"/>
      <c r="K14" s="92"/>
      <c r="L14" s="92"/>
      <c r="M14" s="92"/>
      <c r="N14" s="92"/>
      <c r="O14" s="92"/>
      <c r="P14" s="92"/>
      <c r="Q14" s="92"/>
      <c r="R14" s="92"/>
      <c r="S14" s="92"/>
      <c r="T14" s="92"/>
      <c r="U14" s="92"/>
      <c r="V14" s="92"/>
      <c r="W14" s="92"/>
      <c r="X14" s="92"/>
      <c r="Y14" s="92"/>
      <c r="Z14" s="92"/>
    </row>
    <row r="15" spans="1:26" ht="15.75" hidden="1" customHeight="1">
      <c r="A15" s="1019" t="s">
        <v>112</v>
      </c>
      <c r="B15" s="1020">
        <v>15</v>
      </c>
      <c r="C15" s="1021" t="s">
        <v>113</v>
      </c>
      <c r="D15" s="218" t="s">
        <v>113</v>
      </c>
      <c r="E15" s="219" t="s">
        <v>113</v>
      </c>
      <c r="F15" s="92"/>
      <c r="G15" s="92"/>
      <c r="H15" s="92"/>
      <c r="I15" s="92"/>
      <c r="J15" s="92"/>
      <c r="K15" s="92"/>
      <c r="L15" s="92"/>
      <c r="M15" s="92"/>
      <c r="N15" s="92"/>
      <c r="O15" s="92"/>
      <c r="P15" s="92"/>
      <c r="Q15" s="92"/>
      <c r="R15" s="92"/>
      <c r="S15" s="92"/>
      <c r="T15" s="92"/>
      <c r="U15" s="92"/>
      <c r="V15" s="92"/>
      <c r="W15" s="92"/>
      <c r="X15" s="92"/>
      <c r="Y15" s="92"/>
      <c r="Z15" s="92"/>
    </row>
    <row r="16" spans="1:26" ht="15.75" hidden="1" customHeight="1">
      <c r="A16" s="1022" t="s">
        <v>114</v>
      </c>
      <c r="B16" s="1023">
        <v>591</v>
      </c>
      <c r="C16" s="1024" t="s">
        <v>113</v>
      </c>
      <c r="D16" s="1025" t="s">
        <v>113</v>
      </c>
      <c r="E16" s="1026" t="s">
        <v>113</v>
      </c>
      <c r="F16" s="92"/>
      <c r="G16" s="92"/>
      <c r="H16" s="92"/>
      <c r="I16" s="92"/>
      <c r="J16" s="92"/>
      <c r="K16" s="92"/>
      <c r="L16" s="92"/>
      <c r="M16" s="92"/>
      <c r="N16" s="92"/>
      <c r="O16" s="92"/>
      <c r="P16" s="92"/>
      <c r="Q16" s="92"/>
      <c r="R16" s="92"/>
      <c r="S16" s="92"/>
      <c r="T16" s="92"/>
      <c r="U16" s="92"/>
      <c r="V16" s="92"/>
      <c r="W16" s="92"/>
      <c r="X16" s="92"/>
      <c r="Y16" s="92"/>
      <c r="Z16" s="92"/>
    </row>
    <row r="17" spans="1:26" ht="15.75" hidden="1" customHeight="1">
      <c r="A17" s="1019" t="s">
        <v>115</v>
      </c>
      <c r="B17" s="1020">
        <v>18</v>
      </c>
      <c r="C17" s="1021">
        <v>0.17863486195942435</v>
      </c>
      <c r="D17" s="218">
        <v>0.35708516061311202</v>
      </c>
      <c r="E17" s="219">
        <v>6.3787858373882136E-2</v>
      </c>
      <c r="F17" s="92"/>
      <c r="G17" s="92"/>
      <c r="H17" s="92"/>
      <c r="I17" s="92"/>
      <c r="J17" s="92"/>
      <c r="K17" s="92"/>
      <c r="L17" s="92"/>
      <c r="M17" s="92"/>
      <c r="N17" s="92"/>
      <c r="O17" s="92"/>
      <c r="P17" s="92"/>
      <c r="Q17" s="92"/>
      <c r="R17" s="92"/>
      <c r="S17" s="92"/>
      <c r="T17" s="92"/>
      <c r="U17" s="92"/>
      <c r="V17" s="92"/>
      <c r="W17" s="92"/>
      <c r="X17" s="92"/>
      <c r="Y17" s="92"/>
      <c r="Z17" s="92"/>
    </row>
    <row r="18" spans="1:26" ht="15.75" hidden="1" customHeight="1">
      <c r="A18" s="1022" t="s">
        <v>116</v>
      </c>
      <c r="B18" s="1023">
        <v>29</v>
      </c>
      <c r="C18" s="1024">
        <v>0.3060959745263867</v>
      </c>
      <c r="D18" s="1025">
        <v>0.26994041473158514</v>
      </c>
      <c r="E18" s="1026">
        <v>8.262767431132155E-2</v>
      </c>
      <c r="F18" s="92"/>
      <c r="G18" s="92"/>
      <c r="H18" s="92"/>
      <c r="I18" s="92"/>
      <c r="J18" s="92"/>
      <c r="K18" s="92"/>
      <c r="L18" s="92"/>
      <c r="M18" s="92"/>
      <c r="N18" s="92"/>
      <c r="O18" s="92"/>
      <c r="P18" s="92"/>
      <c r="Q18" s="92"/>
      <c r="R18" s="92"/>
      <c r="S18" s="92"/>
      <c r="T18" s="92"/>
      <c r="U18" s="92"/>
      <c r="V18" s="92"/>
      <c r="W18" s="92"/>
      <c r="X18" s="92"/>
      <c r="Y18" s="92"/>
      <c r="Z18" s="92"/>
    </row>
    <row r="19" spans="1:26" ht="15.75" hidden="1" customHeight="1">
      <c r="A19" s="1019" t="s">
        <v>117</v>
      </c>
      <c r="B19" s="1020">
        <v>22</v>
      </c>
      <c r="C19" s="1021">
        <v>0.12676646580261572</v>
      </c>
      <c r="D19" s="218">
        <v>2.0277458422227252</v>
      </c>
      <c r="E19" s="219">
        <v>0.25705017396452329</v>
      </c>
      <c r="F19" s="92"/>
      <c r="G19" s="92"/>
      <c r="H19" s="92"/>
      <c r="I19" s="92"/>
      <c r="J19" s="92"/>
      <c r="K19" s="92"/>
      <c r="L19" s="92"/>
      <c r="M19" s="92"/>
      <c r="N19" s="92"/>
      <c r="O19" s="92"/>
      <c r="P19" s="92"/>
      <c r="Q19" s="92"/>
      <c r="R19" s="92"/>
      <c r="S19" s="92"/>
      <c r="T19" s="92"/>
      <c r="U19" s="92"/>
      <c r="V19" s="92"/>
      <c r="W19" s="92"/>
      <c r="X19" s="92"/>
      <c r="Y19" s="92"/>
      <c r="Z19" s="92"/>
    </row>
    <row r="20" spans="1:26" ht="15.75" hidden="1" customHeight="1">
      <c r="A20" s="1022" t="s">
        <v>118</v>
      </c>
      <c r="B20" s="1023">
        <v>30</v>
      </c>
      <c r="C20" s="1024" t="s">
        <v>113</v>
      </c>
      <c r="D20" s="1025" t="s">
        <v>113</v>
      </c>
      <c r="E20" s="1026" t="s">
        <v>113</v>
      </c>
      <c r="F20" s="92"/>
      <c r="G20" s="92"/>
      <c r="H20" s="92"/>
      <c r="I20" s="92"/>
      <c r="J20" s="92"/>
      <c r="K20" s="92"/>
      <c r="L20" s="92"/>
      <c r="M20" s="92"/>
      <c r="N20" s="92"/>
      <c r="O20" s="92"/>
      <c r="P20" s="92"/>
      <c r="Q20" s="92"/>
      <c r="R20" s="92"/>
      <c r="S20" s="92"/>
      <c r="T20" s="92"/>
      <c r="U20" s="92"/>
      <c r="V20" s="92"/>
      <c r="W20" s="92"/>
      <c r="X20" s="92"/>
      <c r="Y20" s="92"/>
      <c r="Z20" s="92"/>
    </row>
    <row r="21" spans="1:26" ht="15.75" hidden="1" customHeight="1">
      <c r="A21" s="1019" t="s">
        <v>119</v>
      </c>
      <c r="B21" s="1020">
        <v>39</v>
      </c>
      <c r="C21" s="1021">
        <v>0.26836667409798826</v>
      </c>
      <c r="D21" s="218">
        <v>1.3576339984632542</v>
      </c>
      <c r="E21" s="219">
        <v>0.36434372080993682</v>
      </c>
      <c r="F21" s="92"/>
      <c r="G21" s="92"/>
      <c r="H21" s="92"/>
      <c r="I21" s="92"/>
      <c r="J21" s="92"/>
      <c r="K21" s="92"/>
      <c r="L21" s="92"/>
      <c r="M21" s="92"/>
      <c r="N21" s="92"/>
      <c r="O21" s="92"/>
      <c r="P21" s="92"/>
      <c r="Q21" s="92"/>
      <c r="R21" s="92"/>
      <c r="S21" s="92"/>
      <c r="T21" s="92"/>
      <c r="U21" s="92"/>
      <c r="V21" s="92"/>
      <c r="W21" s="92"/>
      <c r="X21" s="92"/>
      <c r="Y21" s="92"/>
      <c r="Z21" s="92"/>
    </row>
    <row r="22" spans="1:26" ht="15.75" hidden="1" customHeight="1">
      <c r="A22" s="1022" t="s">
        <v>120</v>
      </c>
      <c r="B22" s="1023">
        <v>152</v>
      </c>
      <c r="C22" s="1024">
        <v>0.26832206671354231</v>
      </c>
      <c r="D22" s="1025">
        <v>4.6745076350120138E-2</v>
      </c>
      <c r="E22" s="1026">
        <v>1.2542735494946564E-2</v>
      </c>
      <c r="F22" s="92"/>
      <c r="G22" s="92"/>
      <c r="H22" s="92"/>
      <c r="I22" s="92"/>
      <c r="J22" s="92"/>
      <c r="K22" s="92"/>
      <c r="L22" s="92"/>
      <c r="M22" s="92"/>
      <c r="N22" s="92"/>
      <c r="O22" s="92"/>
      <c r="P22" s="92"/>
      <c r="Q22" s="92"/>
      <c r="R22" s="92"/>
      <c r="S22" s="92"/>
      <c r="T22" s="92"/>
      <c r="U22" s="92"/>
      <c r="V22" s="92"/>
      <c r="W22" s="92"/>
      <c r="X22" s="92"/>
      <c r="Y22" s="92"/>
      <c r="Z22" s="92"/>
    </row>
    <row r="23" spans="1:26" ht="15.75" hidden="1" customHeight="1">
      <c r="A23" s="1019" t="s">
        <v>121</v>
      </c>
      <c r="B23" s="1020">
        <v>9</v>
      </c>
      <c r="C23" s="1021">
        <v>0.13752245099771512</v>
      </c>
      <c r="D23" s="218">
        <v>4.8180050259822575E-2</v>
      </c>
      <c r="E23" s="219">
        <v>6.625838600923902E-3</v>
      </c>
      <c r="F23" s="92"/>
      <c r="G23" s="92"/>
      <c r="H23" s="92"/>
      <c r="I23" s="92"/>
      <c r="J23" s="92"/>
      <c r="K23" s="92"/>
      <c r="L23" s="92"/>
      <c r="M23" s="92"/>
      <c r="N23" s="92"/>
      <c r="O23" s="92"/>
      <c r="P23" s="92"/>
      <c r="Q23" s="92"/>
      <c r="R23" s="92"/>
      <c r="S23" s="92"/>
      <c r="T23" s="92"/>
      <c r="U23" s="92"/>
      <c r="V23" s="92"/>
      <c r="W23" s="92"/>
      <c r="X23" s="92"/>
      <c r="Y23" s="92"/>
      <c r="Z23" s="92"/>
    </row>
    <row r="24" spans="1:26" ht="15.75" hidden="1" customHeight="1">
      <c r="A24" s="1022" t="s">
        <v>122</v>
      </c>
      <c r="B24" s="1023">
        <v>31</v>
      </c>
      <c r="C24" s="1024">
        <v>8.7115256434838612E-2</v>
      </c>
      <c r="D24" s="1025">
        <v>0.69395624306129156</v>
      </c>
      <c r="E24" s="1026">
        <v>6.0454176068841604E-2</v>
      </c>
      <c r="F24" s="92"/>
      <c r="G24" s="92"/>
      <c r="H24" s="92"/>
      <c r="I24" s="92"/>
      <c r="J24" s="92"/>
      <c r="K24" s="92"/>
      <c r="L24" s="92"/>
      <c r="M24" s="92"/>
      <c r="N24" s="92"/>
      <c r="O24" s="92"/>
      <c r="P24" s="92"/>
      <c r="Q24" s="92"/>
      <c r="R24" s="92"/>
      <c r="S24" s="92"/>
      <c r="T24" s="92"/>
      <c r="U24" s="92"/>
      <c r="V24" s="92"/>
      <c r="W24" s="92"/>
      <c r="X24" s="92"/>
      <c r="Y24" s="92"/>
      <c r="Z24" s="92"/>
    </row>
    <row r="25" spans="1:26" ht="15.75" hidden="1" customHeight="1">
      <c r="A25" s="1019" t="s">
        <v>123</v>
      </c>
      <c r="B25" s="1020">
        <v>4</v>
      </c>
      <c r="C25" s="1021">
        <v>5.3536736332176038E-2</v>
      </c>
      <c r="D25" s="218">
        <v>0.21432209826666149</v>
      </c>
      <c r="E25" s="219">
        <v>1.1474105665060979E-2</v>
      </c>
      <c r="F25" s="92"/>
      <c r="G25" s="92"/>
      <c r="H25" s="92"/>
      <c r="I25" s="92"/>
      <c r="J25" s="92"/>
      <c r="K25" s="92"/>
      <c r="L25" s="92"/>
      <c r="M25" s="92"/>
      <c r="N25" s="92"/>
      <c r="O25" s="92"/>
      <c r="P25" s="92"/>
      <c r="Q25" s="92"/>
      <c r="R25" s="92"/>
      <c r="S25" s="92"/>
      <c r="T25" s="92"/>
      <c r="U25" s="92"/>
      <c r="V25" s="92"/>
      <c r="W25" s="92"/>
      <c r="X25" s="92"/>
      <c r="Y25" s="92"/>
      <c r="Z25" s="92"/>
    </row>
    <row r="26" spans="1:26" ht="15.75" hidden="1" customHeight="1">
      <c r="A26" s="1022" t="s">
        <v>124</v>
      </c>
      <c r="B26" s="1023">
        <v>60</v>
      </c>
      <c r="C26" s="1024">
        <v>0.11308895503943045</v>
      </c>
      <c r="D26" s="1025">
        <v>0.54297214626986634</v>
      </c>
      <c r="E26" s="1026">
        <v>6.1404152637175968E-2</v>
      </c>
      <c r="F26" s="92"/>
      <c r="G26" s="92"/>
      <c r="H26" s="92"/>
      <c r="I26" s="92"/>
      <c r="J26" s="92"/>
      <c r="K26" s="92"/>
      <c r="L26" s="92"/>
      <c r="M26" s="92"/>
      <c r="N26" s="92"/>
      <c r="O26" s="92"/>
      <c r="P26" s="92"/>
      <c r="Q26" s="92"/>
      <c r="R26" s="92"/>
      <c r="S26" s="92"/>
      <c r="T26" s="92"/>
      <c r="U26" s="92"/>
      <c r="V26" s="92"/>
      <c r="W26" s="92"/>
      <c r="X26" s="92"/>
      <c r="Y26" s="92"/>
      <c r="Z26" s="92"/>
    </row>
    <row r="27" spans="1:26" ht="15.75" hidden="1" customHeight="1">
      <c r="A27" s="1019" t="s">
        <v>125</v>
      </c>
      <c r="B27" s="1020">
        <v>16</v>
      </c>
      <c r="C27" s="1021">
        <v>0.13136098597204601</v>
      </c>
      <c r="D27" s="218">
        <v>0.78418250239582199</v>
      </c>
      <c r="E27" s="219">
        <v>0.10301098669674151</v>
      </c>
      <c r="F27" s="92"/>
      <c r="G27" s="92"/>
      <c r="H27" s="92"/>
      <c r="I27" s="92"/>
      <c r="J27" s="92"/>
      <c r="K27" s="92"/>
      <c r="L27" s="92"/>
      <c r="M27" s="92"/>
      <c r="N27" s="92"/>
      <c r="O27" s="92"/>
      <c r="P27" s="92"/>
      <c r="Q27" s="92"/>
      <c r="R27" s="92"/>
      <c r="S27" s="92"/>
      <c r="T27" s="92"/>
      <c r="U27" s="92"/>
      <c r="V27" s="92"/>
      <c r="W27" s="92"/>
      <c r="X27" s="92"/>
      <c r="Y27" s="92"/>
      <c r="Z27" s="92"/>
    </row>
    <row r="28" spans="1:26" ht="15.75" hidden="1" customHeight="1">
      <c r="A28" s="1022" t="s">
        <v>126</v>
      </c>
      <c r="B28" s="1023">
        <v>63</v>
      </c>
      <c r="C28" s="1024">
        <v>0.20511859984992606</v>
      </c>
      <c r="D28" s="1025">
        <v>-0.13524979633927869</v>
      </c>
      <c r="E28" s="1026">
        <v>-2.7742248855100501E-2</v>
      </c>
      <c r="F28" s="92"/>
      <c r="G28" s="92"/>
      <c r="H28" s="92"/>
      <c r="I28" s="92"/>
      <c r="J28" s="92"/>
      <c r="K28" s="92"/>
      <c r="L28" s="92"/>
      <c r="M28" s="92"/>
      <c r="N28" s="92"/>
      <c r="O28" s="92"/>
      <c r="P28" s="92"/>
      <c r="Q28" s="92"/>
      <c r="R28" s="92"/>
      <c r="S28" s="92"/>
      <c r="T28" s="92"/>
      <c r="U28" s="92"/>
      <c r="V28" s="92"/>
      <c r="W28" s="92"/>
      <c r="X28" s="92"/>
      <c r="Y28" s="92"/>
      <c r="Z28" s="92"/>
    </row>
    <row r="29" spans="1:26" ht="15.75" hidden="1" customHeight="1">
      <c r="A29" s="1019" t="s">
        <v>127</v>
      </c>
      <c r="B29" s="1020">
        <v>35</v>
      </c>
      <c r="C29" s="1021">
        <v>0.41408711752017102</v>
      </c>
      <c r="D29" s="218">
        <v>2.1789696943515499E-2</v>
      </c>
      <c r="E29" s="219">
        <v>9.0228327989784144E-3</v>
      </c>
      <c r="F29" s="92"/>
      <c r="G29" s="92"/>
      <c r="H29" s="92"/>
      <c r="I29" s="92"/>
      <c r="J29" s="92"/>
      <c r="K29" s="92"/>
      <c r="L29" s="92"/>
      <c r="M29" s="92"/>
      <c r="N29" s="92"/>
      <c r="O29" s="92"/>
      <c r="P29" s="92"/>
      <c r="Q29" s="92"/>
      <c r="R29" s="92"/>
      <c r="S29" s="92"/>
      <c r="T29" s="92"/>
      <c r="U29" s="92"/>
      <c r="V29" s="92"/>
      <c r="W29" s="92"/>
      <c r="X29" s="92"/>
      <c r="Y29" s="92"/>
      <c r="Z29" s="92"/>
    </row>
    <row r="30" spans="1:26" ht="15.75" hidden="1" customHeight="1">
      <c r="A30" s="1022" t="s">
        <v>128</v>
      </c>
      <c r="B30" s="1023">
        <v>46</v>
      </c>
      <c r="C30" s="1024">
        <v>0.18411663423273966</v>
      </c>
      <c r="D30" s="1025">
        <v>0.42331879940087469</v>
      </c>
      <c r="E30" s="1026">
        <v>7.7940032553133337E-2</v>
      </c>
      <c r="F30" s="92"/>
      <c r="G30" s="92"/>
      <c r="H30" s="92"/>
      <c r="I30" s="92"/>
      <c r="J30" s="92"/>
      <c r="K30" s="92"/>
      <c r="L30" s="92"/>
      <c r="M30" s="92"/>
      <c r="N30" s="92"/>
      <c r="O30" s="92"/>
      <c r="P30" s="92"/>
      <c r="Q30" s="92"/>
      <c r="R30" s="92"/>
      <c r="S30" s="92"/>
      <c r="T30" s="92"/>
      <c r="U30" s="92"/>
      <c r="V30" s="92"/>
      <c r="W30" s="92"/>
      <c r="X30" s="92"/>
      <c r="Y30" s="92"/>
      <c r="Z30" s="92"/>
    </row>
    <row r="31" spans="1:26" ht="15.75" hidden="1" customHeight="1">
      <c r="A31" s="1019" t="s">
        <v>129</v>
      </c>
      <c r="B31" s="1020">
        <v>21</v>
      </c>
      <c r="C31" s="1021">
        <v>0.24653408323908313</v>
      </c>
      <c r="D31" s="218">
        <v>0.10870945577023988</v>
      </c>
      <c r="E31" s="219">
        <v>2.6800586017735745E-2</v>
      </c>
      <c r="F31" s="996"/>
      <c r="G31" s="996"/>
      <c r="H31" s="996"/>
      <c r="I31" s="996"/>
      <c r="J31" s="996"/>
      <c r="K31" s="996"/>
      <c r="L31" s="996"/>
      <c r="M31" s="996"/>
      <c r="N31" s="996"/>
      <c r="O31" s="996"/>
      <c r="P31" s="996"/>
      <c r="Q31" s="996"/>
      <c r="R31" s="996"/>
      <c r="S31" s="996"/>
      <c r="T31" s="996"/>
      <c r="U31" s="996"/>
      <c r="V31" s="996"/>
      <c r="W31" s="996"/>
      <c r="X31" s="996"/>
      <c r="Y31" s="996"/>
      <c r="Z31" s="996"/>
    </row>
    <row r="32" spans="1:26" ht="15.75" hidden="1" customHeight="1">
      <c r="A32" s="1022" t="s">
        <v>130</v>
      </c>
      <c r="B32" s="1023">
        <v>535</v>
      </c>
      <c r="C32" s="1024">
        <v>3.0814784217150146E-2</v>
      </c>
      <c r="D32" s="1025" t="s">
        <v>113</v>
      </c>
      <c r="E32" s="1026" t="s">
        <v>113</v>
      </c>
      <c r="F32" s="92"/>
      <c r="G32" s="92"/>
      <c r="H32" s="92"/>
      <c r="I32" s="92"/>
      <c r="J32" s="92"/>
      <c r="K32" s="92"/>
      <c r="L32" s="92"/>
      <c r="M32" s="92"/>
      <c r="N32" s="92"/>
      <c r="O32" s="92"/>
      <c r="P32" s="92"/>
      <c r="Q32" s="92"/>
      <c r="R32" s="92"/>
      <c r="S32" s="92"/>
      <c r="T32" s="92"/>
      <c r="U32" s="92"/>
      <c r="V32" s="92"/>
      <c r="W32" s="92"/>
      <c r="X32" s="92"/>
      <c r="Y32" s="92"/>
      <c r="Z32" s="92"/>
    </row>
    <row r="33" spans="1:26" ht="15.75" hidden="1" customHeight="1">
      <c r="A33" s="1019" t="s">
        <v>131</v>
      </c>
      <c r="B33" s="1020">
        <v>231</v>
      </c>
      <c r="C33" s="1021">
        <v>0.14079869875837178</v>
      </c>
      <c r="D33" s="218">
        <v>1.1762436887227607</v>
      </c>
      <c r="E33" s="219">
        <v>0.16561358079491201</v>
      </c>
      <c r="F33" s="996"/>
      <c r="G33" s="996"/>
      <c r="H33" s="996"/>
      <c r="I33" s="996"/>
      <c r="J33" s="996"/>
      <c r="K33" s="996"/>
      <c r="L33" s="996"/>
      <c r="M33" s="996"/>
      <c r="N33" s="996"/>
      <c r="O33" s="996"/>
      <c r="P33" s="996"/>
      <c r="Q33" s="996"/>
      <c r="R33" s="996"/>
      <c r="S33" s="996"/>
      <c r="T33" s="996"/>
      <c r="U33" s="996"/>
      <c r="V33" s="996"/>
      <c r="W33" s="996"/>
      <c r="X33" s="996"/>
      <c r="Y33" s="996"/>
      <c r="Z33" s="996"/>
    </row>
    <row r="34" spans="1:26" ht="15.75" hidden="1" customHeight="1">
      <c r="A34" s="1022" t="s">
        <v>132</v>
      </c>
      <c r="B34" s="1023">
        <v>29</v>
      </c>
      <c r="C34" s="1024">
        <v>0.11855547063052679</v>
      </c>
      <c r="D34" s="1025">
        <v>0.30448848895763442</v>
      </c>
      <c r="E34" s="1026">
        <v>3.6098776109950312E-2</v>
      </c>
      <c r="F34" s="92"/>
      <c r="G34" s="92"/>
      <c r="H34" s="92"/>
      <c r="I34" s="92"/>
      <c r="J34" s="92"/>
      <c r="K34" s="92"/>
      <c r="L34" s="92"/>
      <c r="M34" s="92"/>
      <c r="N34" s="92"/>
      <c r="O34" s="92"/>
      <c r="P34" s="92"/>
      <c r="Q34" s="92"/>
      <c r="R34" s="92"/>
      <c r="S34" s="92"/>
      <c r="T34" s="92"/>
      <c r="U34" s="92"/>
      <c r="V34" s="92"/>
      <c r="W34" s="92"/>
      <c r="X34" s="92"/>
      <c r="Y34" s="92"/>
      <c r="Z34" s="92"/>
    </row>
    <row r="35" spans="1:26" ht="15.75" hidden="1" customHeight="1">
      <c r="A35" s="1019" t="s">
        <v>133</v>
      </c>
      <c r="B35" s="1020">
        <v>101</v>
      </c>
      <c r="C35" s="1021">
        <v>0.12226468202114389</v>
      </c>
      <c r="D35" s="218">
        <v>2.0270788352061548</v>
      </c>
      <c r="E35" s="219">
        <v>0.24784014921827127</v>
      </c>
      <c r="F35" s="92"/>
      <c r="G35" s="92"/>
      <c r="H35" s="92"/>
      <c r="I35" s="92"/>
      <c r="J35" s="92"/>
      <c r="K35" s="92"/>
      <c r="L35" s="92"/>
      <c r="M35" s="92"/>
      <c r="N35" s="92"/>
      <c r="O35" s="92"/>
      <c r="P35" s="92"/>
      <c r="Q35" s="92"/>
      <c r="R35" s="92"/>
      <c r="S35" s="92"/>
      <c r="T35" s="92"/>
      <c r="U35" s="92"/>
      <c r="V35" s="92"/>
      <c r="W35" s="92"/>
      <c r="X35" s="92"/>
      <c r="Y35" s="92"/>
      <c r="Z35" s="92"/>
    </row>
    <row r="36" spans="1:26" ht="15.75" hidden="1" customHeight="1">
      <c r="A36" s="1022" t="s">
        <v>134</v>
      </c>
      <c r="B36" s="1023">
        <v>11</v>
      </c>
      <c r="C36" s="1024">
        <v>-5.8115332425485076E-2</v>
      </c>
      <c r="D36" s="1025" t="s">
        <v>113</v>
      </c>
      <c r="E36" s="1026" t="s">
        <v>113</v>
      </c>
      <c r="F36" s="92"/>
      <c r="G36" s="92"/>
      <c r="H36" s="92"/>
      <c r="I36" s="92"/>
      <c r="J36" s="92"/>
      <c r="K36" s="92"/>
      <c r="L36" s="92"/>
      <c r="M36" s="92"/>
      <c r="N36" s="92"/>
      <c r="O36" s="92"/>
      <c r="P36" s="92"/>
      <c r="Q36" s="92"/>
      <c r="R36" s="92"/>
      <c r="S36" s="92"/>
      <c r="T36" s="92"/>
      <c r="U36" s="92"/>
      <c r="V36" s="92"/>
      <c r="W36" s="92"/>
      <c r="X36" s="92"/>
      <c r="Y36" s="92"/>
      <c r="Z36" s="92"/>
    </row>
    <row r="37" spans="1:26" ht="15.75" hidden="1" customHeight="1">
      <c r="A37" s="1019" t="s">
        <v>135</v>
      </c>
      <c r="B37" s="1020">
        <v>122</v>
      </c>
      <c r="C37" s="1021">
        <v>0.13112417823624317</v>
      </c>
      <c r="D37" s="218">
        <v>0.54226763026249158</v>
      </c>
      <c r="E37" s="219">
        <v>7.1104397402284164E-2</v>
      </c>
      <c r="F37" s="92"/>
      <c r="G37" s="92"/>
      <c r="H37" s="92"/>
      <c r="I37" s="92"/>
      <c r="J37" s="92"/>
      <c r="K37" s="92"/>
      <c r="L37" s="92"/>
      <c r="M37" s="92"/>
      <c r="N37" s="92"/>
      <c r="O37" s="92"/>
      <c r="P37" s="92"/>
      <c r="Q37" s="92"/>
      <c r="R37" s="92"/>
      <c r="S37" s="92"/>
      <c r="T37" s="92"/>
      <c r="U37" s="92"/>
      <c r="V37" s="92"/>
      <c r="W37" s="92"/>
      <c r="X37" s="92"/>
      <c r="Y37" s="92"/>
      <c r="Z37" s="92"/>
    </row>
    <row r="38" spans="1:26" ht="15.75" customHeight="1">
      <c r="A38" s="1022" t="s">
        <v>136</v>
      </c>
      <c r="B38" s="1023">
        <v>42</v>
      </c>
      <c r="C38" s="1024">
        <v>0.19158078820440533</v>
      </c>
      <c r="D38" s="1025">
        <v>0.84197588607134954</v>
      </c>
      <c r="E38" s="1026">
        <v>0.16130640390265172</v>
      </c>
      <c r="F38" s="92"/>
      <c r="G38" s="92"/>
      <c r="H38" s="92"/>
      <c r="I38" s="92"/>
      <c r="J38" s="92"/>
      <c r="K38" s="92"/>
      <c r="L38" s="92"/>
      <c r="M38" s="92"/>
      <c r="N38" s="92"/>
      <c r="O38" s="92"/>
      <c r="P38" s="92"/>
      <c r="Q38" s="92"/>
      <c r="R38" s="92"/>
      <c r="S38" s="92"/>
      <c r="T38" s="92"/>
      <c r="U38" s="92"/>
      <c r="V38" s="92"/>
      <c r="W38" s="92"/>
      <c r="X38" s="92"/>
      <c r="Y38" s="92"/>
      <c r="Z38" s="92"/>
    </row>
    <row r="39" spans="1:26" ht="15.75" hidden="1" customHeight="1">
      <c r="A39" s="1019" t="s">
        <v>137</v>
      </c>
      <c r="B39" s="1020">
        <v>96</v>
      </c>
      <c r="C39" s="1021">
        <v>9.9413465588753788E-2</v>
      </c>
      <c r="D39" s="218">
        <v>-0.71185667131355135</v>
      </c>
      <c r="E39" s="219">
        <v>-7.0768138697754557E-2</v>
      </c>
      <c r="F39" s="92"/>
      <c r="G39" s="92"/>
      <c r="H39" s="92"/>
      <c r="I39" s="92"/>
      <c r="J39" s="92"/>
      <c r="K39" s="92"/>
      <c r="L39" s="92"/>
      <c r="M39" s="92"/>
      <c r="N39" s="92"/>
      <c r="O39" s="92"/>
      <c r="P39" s="92"/>
      <c r="Q39" s="92"/>
      <c r="R39" s="92"/>
      <c r="S39" s="92"/>
      <c r="T39" s="92"/>
      <c r="U39" s="92"/>
      <c r="V39" s="92"/>
      <c r="W39" s="92"/>
      <c r="X39" s="92"/>
      <c r="Y39" s="92"/>
      <c r="Z39" s="92"/>
    </row>
    <row r="40" spans="1:26" ht="15.75" hidden="1" customHeight="1">
      <c r="A40" s="1022" t="s">
        <v>138</v>
      </c>
      <c r="B40" s="1023">
        <v>50</v>
      </c>
      <c r="C40" s="1024">
        <v>0.31722930695398477</v>
      </c>
      <c r="D40" s="1025">
        <v>0.58976439929739566</v>
      </c>
      <c r="E40" s="1026">
        <v>0.18709055165524596</v>
      </c>
      <c r="F40" s="92"/>
      <c r="G40" s="92"/>
      <c r="H40" s="92"/>
      <c r="I40" s="92"/>
      <c r="J40" s="92"/>
      <c r="K40" s="92"/>
      <c r="L40" s="92"/>
      <c r="M40" s="92"/>
      <c r="N40" s="92"/>
      <c r="O40" s="92"/>
      <c r="P40" s="92"/>
      <c r="Q40" s="92"/>
      <c r="R40" s="92"/>
      <c r="S40" s="92"/>
      <c r="T40" s="92"/>
      <c r="U40" s="92"/>
      <c r="V40" s="92"/>
      <c r="W40" s="92"/>
      <c r="X40" s="92"/>
      <c r="Y40" s="92"/>
      <c r="Z40" s="92"/>
    </row>
    <row r="41" spans="1:26" ht="15.75" hidden="1" customHeight="1">
      <c r="A41" s="1019" t="s">
        <v>139</v>
      </c>
      <c r="B41" s="1020">
        <v>35</v>
      </c>
      <c r="C41" s="1021">
        <v>9.9660979261776875E-2</v>
      </c>
      <c r="D41" s="218">
        <v>0.44796406898590785</v>
      </c>
      <c r="E41" s="219">
        <v>4.4644537789225745E-2</v>
      </c>
      <c r="F41" s="92"/>
      <c r="G41" s="92"/>
      <c r="H41" s="92"/>
      <c r="I41" s="92"/>
      <c r="J41" s="92"/>
      <c r="K41" s="92"/>
      <c r="L41" s="92"/>
      <c r="M41" s="92"/>
      <c r="N41" s="92"/>
      <c r="O41" s="92"/>
      <c r="P41" s="92"/>
      <c r="Q41" s="92"/>
      <c r="R41" s="92"/>
      <c r="S41" s="92"/>
      <c r="T41" s="92"/>
      <c r="U41" s="92"/>
      <c r="V41" s="92"/>
      <c r="W41" s="92"/>
      <c r="X41" s="92"/>
      <c r="Y41" s="92"/>
      <c r="Z41" s="92"/>
    </row>
    <row r="42" spans="1:26" ht="15.75" hidden="1" customHeight="1">
      <c r="A42" s="1022" t="s">
        <v>254</v>
      </c>
      <c r="B42" s="1023">
        <v>166</v>
      </c>
      <c r="C42" s="1024" t="s">
        <v>113</v>
      </c>
      <c r="D42" s="1025">
        <v>0.14977712365084803</v>
      </c>
      <c r="E42" s="1026" t="s">
        <v>113</v>
      </c>
      <c r="F42" s="92"/>
      <c r="G42" s="92"/>
      <c r="H42" s="92"/>
      <c r="I42" s="92"/>
      <c r="J42" s="92"/>
      <c r="K42" s="92"/>
      <c r="L42" s="92"/>
      <c r="M42" s="92"/>
      <c r="N42" s="92"/>
      <c r="O42" s="92"/>
      <c r="P42" s="92"/>
      <c r="Q42" s="92"/>
      <c r="R42" s="92"/>
      <c r="S42" s="92"/>
      <c r="T42" s="92"/>
      <c r="U42" s="92"/>
      <c r="V42" s="92"/>
      <c r="W42" s="92"/>
      <c r="X42" s="92"/>
      <c r="Y42" s="92"/>
      <c r="Z42" s="92"/>
    </row>
    <row r="43" spans="1:26" ht="15.75" hidden="1" customHeight="1">
      <c r="A43" s="1019" t="s">
        <v>141</v>
      </c>
      <c r="B43" s="1020">
        <v>77</v>
      </c>
      <c r="C43" s="1021">
        <v>0.17900874498862601</v>
      </c>
      <c r="D43" s="218">
        <v>0.41589524150370255</v>
      </c>
      <c r="E43" s="219">
        <v>7.4448885228319314E-2</v>
      </c>
      <c r="F43" s="92"/>
      <c r="G43" s="92"/>
      <c r="H43" s="92"/>
      <c r="I43" s="92"/>
      <c r="J43" s="92"/>
      <c r="K43" s="92"/>
      <c r="L43" s="92"/>
      <c r="M43" s="92"/>
      <c r="N43" s="92"/>
      <c r="O43" s="92"/>
      <c r="P43" s="92"/>
      <c r="Q43" s="92"/>
      <c r="R43" s="92"/>
      <c r="S43" s="92"/>
      <c r="T43" s="92"/>
      <c r="U43" s="92"/>
      <c r="V43" s="92"/>
      <c r="W43" s="92"/>
      <c r="X43" s="92"/>
      <c r="Y43" s="92"/>
      <c r="Z43" s="92"/>
    </row>
    <row r="44" spans="1:26" ht="15.75" hidden="1" customHeight="1">
      <c r="A44" s="1022" t="s">
        <v>142</v>
      </c>
      <c r="B44" s="1023">
        <v>14</v>
      </c>
      <c r="C44" s="1024">
        <v>0.17303730342745285</v>
      </c>
      <c r="D44" s="1025">
        <v>0.72301943921643175</v>
      </c>
      <c r="E44" s="1026">
        <v>0.12510933408764049</v>
      </c>
      <c r="F44" s="92"/>
      <c r="G44" s="92"/>
      <c r="H44" s="92"/>
      <c r="I44" s="92"/>
      <c r="J44" s="92"/>
      <c r="K44" s="92"/>
      <c r="L44" s="92"/>
      <c r="M44" s="92"/>
      <c r="N44" s="92"/>
      <c r="O44" s="92"/>
      <c r="P44" s="92"/>
      <c r="Q44" s="92"/>
      <c r="R44" s="92"/>
      <c r="S44" s="92"/>
      <c r="T44" s="92"/>
      <c r="U44" s="92"/>
      <c r="V44" s="92"/>
      <c r="W44" s="92"/>
      <c r="X44" s="92"/>
      <c r="Y44" s="92"/>
      <c r="Z44" s="92"/>
    </row>
    <row r="45" spans="1:26" ht="15.75" hidden="1" customHeight="1">
      <c r="A45" s="1019" t="s">
        <v>143</v>
      </c>
      <c r="B45" s="1020">
        <v>28</v>
      </c>
      <c r="C45" s="1021">
        <v>0.10653951148142196</v>
      </c>
      <c r="D45" s="218">
        <v>0.11503777765214553</v>
      </c>
      <c r="E45" s="219">
        <v>1.2256068632968025E-2</v>
      </c>
      <c r="F45" s="92"/>
      <c r="G45" s="92"/>
      <c r="H45" s="92"/>
      <c r="I45" s="92"/>
      <c r="J45" s="92"/>
      <c r="K45" s="92"/>
      <c r="L45" s="92"/>
      <c r="M45" s="92"/>
      <c r="N45" s="92"/>
      <c r="O45" s="92"/>
      <c r="P45" s="92"/>
      <c r="Q45" s="92"/>
      <c r="R45" s="92"/>
      <c r="S45" s="92"/>
      <c r="T45" s="92"/>
      <c r="U45" s="92"/>
      <c r="V45" s="92"/>
      <c r="W45" s="92"/>
      <c r="X45" s="92"/>
      <c r="Y45" s="92"/>
      <c r="Z45" s="92"/>
    </row>
    <row r="46" spans="1:26" ht="15.75" hidden="1" customHeight="1">
      <c r="A46" s="1022" t="s">
        <v>144</v>
      </c>
      <c r="B46" s="1023">
        <v>18</v>
      </c>
      <c r="C46" s="1024">
        <v>3.6682308129760158E-2</v>
      </c>
      <c r="D46" s="1025">
        <v>1.5993934098834703</v>
      </c>
      <c r="E46" s="1026">
        <v>5.8669441882053246E-2</v>
      </c>
      <c r="F46" s="92"/>
      <c r="G46" s="92"/>
      <c r="H46" s="92"/>
      <c r="I46" s="92"/>
      <c r="J46" s="92"/>
      <c r="K46" s="92"/>
      <c r="L46" s="92"/>
      <c r="M46" s="92"/>
      <c r="N46" s="92"/>
      <c r="O46" s="92"/>
      <c r="P46" s="92"/>
      <c r="Q46" s="92"/>
      <c r="R46" s="92"/>
      <c r="S46" s="92"/>
      <c r="T46" s="92"/>
      <c r="U46" s="92"/>
      <c r="V46" s="92"/>
      <c r="W46" s="92"/>
      <c r="X46" s="92"/>
      <c r="Y46" s="92"/>
      <c r="Z46" s="92"/>
    </row>
    <row r="47" spans="1:26" ht="15.75" hidden="1" customHeight="1">
      <c r="A47" s="1019" t="s">
        <v>145</v>
      </c>
      <c r="B47" s="1020">
        <v>218</v>
      </c>
      <c r="C47" s="1021">
        <v>0.14710425697558768</v>
      </c>
      <c r="D47" s="218">
        <v>0.55462867571351782</v>
      </c>
      <c r="E47" s="219">
        <v>8.158823923819121E-2</v>
      </c>
      <c r="F47" s="92"/>
      <c r="G47" s="92"/>
      <c r="H47" s="92"/>
      <c r="I47" s="92"/>
      <c r="J47" s="92"/>
      <c r="K47" s="92"/>
      <c r="L47" s="92"/>
      <c r="M47" s="92"/>
      <c r="N47" s="92"/>
      <c r="O47" s="92"/>
      <c r="P47" s="92"/>
      <c r="Q47" s="92"/>
      <c r="R47" s="92"/>
      <c r="S47" s="92"/>
      <c r="T47" s="92"/>
      <c r="U47" s="92"/>
      <c r="V47" s="92"/>
      <c r="W47" s="92"/>
      <c r="X47" s="92"/>
      <c r="Y47" s="92"/>
      <c r="Z47" s="92"/>
    </row>
    <row r="48" spans="1:26" ht="15.75" hidden="1" customHeight="1">
      <c r="A48" s="1022" t="s">
        <v>146</v>
      </c>
      <c r="B48" s="1023">
        <v>113</v>
      </c>
      <c r="C48" s="1024">
        <v>0.44602956452982473</v>
      </c>
      <c r="D48" s="1025">
        <v>0.45953028085748876</v>
      </c>
      <c r="E48" s="1026">
        <v>0.20496409105913377</v>
      </c>
      <c r="F48" s="92"/>
      <c r="G48" s="92"/>
      <c r="H48" s="92"/>
      <c r="I48" s="92"/>
      <c r="J48" s="92"/>
      <c r="K48" s="92"/>
      <c r="L48" s="92"/>
      <c r="M48" s="92"/>
      <c r="N48" s="92"/>
      <c r="O48" s="92"/>
      <c r="P48" s="92"/>
      <c r="Q48" s="92"/>
      <c r="R48" s="92"/>
      <c r="S48" s="92"/>
      <c r="T48" s="92"/>
      <c r="U48" s="92"/>
      <c r="V48" s="92"/>
      <c r="W48" s="92"/>
      <c r="X48" s="92"/>
      <c r="Y48" s="92"/>
      <c r="Z48" s="92"/>
    </row>
    <row r="49" spans="1:26" ht="15.75" hidden="1" customHeight="1">
      <c r="A49" s="1019" t="s">
        <v>255</v>
      </c>
      <c r="B49" s="1020">
        <v>116</v>
      </c>
      <c r="C49" s="1021">
        <v>0.12742981260508918</v>
      </c>
      <c r="D49" s="218">
        <v>0.38026780252615516</v>
      </c>
      <c r="E49" s="219">
        <v>4.8457454815657011E-2</v>
      </c>
      <c r="F49" s="92"/>
      <c r="G49" s="92"/>
      <c r="H49" s="92"/>
      <c r="I49" s="92"/>
      <c r="J49" s="92"/>
      <c r="K49" s="92"/>
      <c r="L49" s="92"/>
      <c r="M49" s="92"/>
      <c r="N49" s="92"/>
      <c r="O49" s="92"/>
      <c r="P49" s="92"/>
      <c r="Q49" s="92"/>
      <c r="R49" s="92"/>
      <c r="S49" s="92"/>
      <c r="T49" s="92"/>
      <c r="U49" s="92"/>
      <c r="V49" s="92"/>
      <c r="W49" s="92"/>
      <c r="X49" s="92"/>
      <c r="Y49" s="92"/>
      <c r="Z49" s="92"/>
    </row>
    <row r="50" spans="1:26" ht="15.75" hidden="1" customHeight="1">
      <c r="A50" s="1022" t="s">
        <v>148</v>
      </c>
      <c r="B50" s="1023">
        <v>30</v>
      </c>
      <c r="C50" s="1024">
        <v>0.21045792739664068</v>
      </c>
      <c r="D50" s="1025">
        <v>0.51379466127995499</v>
      </c>
      <c r="E50" s="1026">
        <v>0.10813215952043836</v>
      </c>
      <c r="F50" s="92"/>
      <c r="G50" s="92"/>
      <c r="H50" s="92"/>
      <c r="I50" s="92"/>
      <c r="J50" s="92"/>
      <c r="K50" s="92"/>
      <c r="L50" s="92"/>
      <c r="M50" s="92"/>
      <c r="N50" s="92"/>
      <c r="O50" s="92"/>
      <c r="P50" s="92"/>
      <c r="Q50" s="92"/>
      <c r="R50" s="92"/>
      <c r="S50" s="92"/>
      <c r="T50" s="92"/>
      <c r="U50" s="92"/>
      <c r="V50" s="92"/>
      <c r="W50" s="92"/>
      <c r="X50" s="92"/>
      <c r="Y50" s="92"/>
      <c r="Z50" s="92"/>
    </row>
    <row r="51" spans="1:26" ht="15.75" hidden="1" customHeight="1">
      <c r="A51" s="1019" t="s">
        <v>149</v>
      </c>
      <c r="B51" s="1020">
        <v>33</v>
      </c>
      <c r="C51" s="1021">
        <v>0.21189861748431305</v>
      </c>
      <c r="D51" s="218">
        <v>0.33957033590823871</v>
      </c>
      <c r="E51" s="219">
        <v>7.1954484717639558E-2</v>
      </c>
      <c r="F51" s="996"/>
      <c r="G51" s="996"/>
      <c r="H51" s="996"/>
      <c r="I51" s="996"/>
      <c r="J51" s="996"/>
      <c r="K51" s="996"/>
      <c r="L51" s="996"/>
      <c r="M51" s="996"/>
      <c r="N51" s="996"/>
      <c r="O51" s="996"/>
      <c r="P51" s="996"/>
      <c r="Q51" s="996"/>
      <c r="R51" s="996"/>
      <c r="S51" s="996"/>
      <c r="T51" s="996"/>
      <c r="U51" s="996"/>
      <c r="V51" s="996"/>
      <c r="W51" s="996"/>
      <c r="X51" s="996"/>
      <c r="Y51" s="996"/>
      <c r="Z51" s="996"/>
    </row>
    <row r="52" spans="1:26" ht="15.75" hidden="1" customHeight="1">
      <c r="A52" s="1022" t="s">
        <v>150</v>
      </c>
      <c r="B52" s="1023">
        <v>65</v>
      </c>
      <c r="C52" s="1024">
        <v>0.12172347058770536</v>
      </c>
      <c r="D52" s="1025">
        <v>0.2541720868564456</v>
      </c>
      <c r="E52" s="1026">
        <v>3.0938708538686247E-2</v>
      </c>
      <c r="F52" s="92"/>
      <c r="G52" s="92"/>
      <c r="H52" s="92"/>
      <c r="I52" s="92"/>
      <c r="J52" s="92"/>
      <c r="K52" s="92"/>
      <c r="L52" s="92"/>
      <c r="M52" s="92"/>
      <c r="N52" s="92"/>
      <c r="O52" s="92"/>
      <c r="P52" s="92"/>
      <c r="Q52" s="92"/>
      <c r="R52" s="92"/>
      <c r="S52" s="92"/>
      <c r="T52" s="92"/>
      <c r="U52" s="92"/>
      <c r="V52" s="92"/>
      <c r="W52" s="92"/>
      <c r="X52" s="92"/>
      <c r="Y52" s="92"/>
      <c r="Z52" s="92"/>
    </row>
    <row r="53" spans="1:26" ht="15.75" hidden="1" customHeight="1">
      <c r="A53" s="1019" t="s">
        <v>151</v>
      </c>
      <c r="B53" s="1020">
        <v>101</v>
      </c>
      <c r="C53" s="1021">
        <v>0.33557667664941937</v>
      </c>
      <c r="D53" s="218">
        <v>1.2952164540033463E-2</v>
      </c>
      <c r="E53" s="219">
        <v>4.3464443317608849E-3</v>
      </c>
      <c r="F53" s="92"/>
      <c r="G53" s="92"/>
      <c r="H53" s="92"/>
      <c r="I53" s="92"/>
      <c r="J53" s="92"/>
      <c r="K53" s="92"/>
      <c r="L53" s="92"/>
      <c r="M53" s="92"/>
      <c r="N53" s="92"/>
      <c r="O53" s="92"/>
      <c r="P53" s="92"/>
      <c r="Q53" s="92"/>
      <c r="R53" s="92"/>
      <c r="S53" s="92"/>
      <c r="T53" s="92"/>
      <c r="U53" s="92"/>
      <c r="V53" s="92"/>
      <c r="W53" s="92"/>
      <c r="X53" s="92"/>
      <c r="Y53" s="92"/>
      <c r="Z53" s="92"/>
    </row>
    <row r="54" spans="1:26" ht="15.75" hidden="1" customHeight="1">
      <c r="A54" s="1022" t="s">
        <v>152</v>
      </c>
      <c r="B54" s="1023">
        <v>16</v>
      </c>
      <c r="C54" s="1024">
        <v>0.24548990546783805</v>
      </c>
      <c r="D54" s="1025">
        <v>0.44710104163213887</v>
      </c>
      <c r="E54" s="1026">
        <v>0.1097587924448457</v>
      </c>
      <c r="F54" s="92"/>
      <c r="G54" s="92"/>
      <c r="H54" s="92"/>
      <c r="I54" s="92"/>
      <c r="J54" s="92"/>
      <c r="K54" s="92"/>
      <c r="L54" s="92"/>
      <c r="M54" s="92"/>
      <c r="N54" s="92"/>
      <c r="O54" s="92"/>
      <c r="P54" s="92"/>
      <c r="Q54" s="92"/>
      <c r="R54" s="92"/>
      <c r="S54" s="92"/>
      <c r="T54" s="92"/>
      <c r="U54" s="92"/>
      <c r="V54" s="92"/>
      <c r="W54" s="92"/>
      <c r="X54" s="92"/>
      <c r="Y54" s="92"/>
      <c r="Z54" s="92"/>
    </row>
    <row r="55" spans="1:26" ht="15.75" hidden="1" customHeight="1">
      <c r="A55" s="1019" t="s">
        <v>153</v>
      </c>
      <c r="B55" s="1020">
        <v>22</v>
      </c>
      <c r="C55" s="1021">
        <v>0.17446771472463615</v>
      </c>
      <c r="D55" s="218">
        <v>0.24090411691201394</v>
      </c>
      <c r="E55" s="219">
        <v>4.2029990745395644E-2</v>
      </c>
      <c r="F55" s="92"/>
      <c r="G55" s="92"/>
      <c r="H55" s="92"/>
      <c r="I55" s="92"/>
      <c r="J55" s="92"/>
      <c r="K55" s="92"/>
      <c r="L55" s="92"/>
      <c r="M55" s="92"/>
      <c r="N55" s="92"/>
      <c r="O55" s="92"/>
      <c r="P55" s="92"/>
      <c r="Q55" s="92"/>
      <c r="R55" s="92"/>
      <c r="S55" s="92"/>
      <c r="T55" s="92"/>
      <c r="U55" s="92"/>
      <c r="V55" s="92"/>
      <c r="W55" s="92"/>
      <c r="X55" s="92"/>
      <c r="Y55" s="92"/>
      <c r="Z55" s="92"/>
    </row>
    <row r="56" spans="1:26" ht="15.75" hidden="1" customHeight="1">
      <c r="A56" s="1022" t="s">
        <v>154</v>
      </c>
      <c r="B56" s="1023">
        <v>19</v>
      </c>
      <c r="C56" s="1024">
        <v>6.9645057867869176E-2</v>
      </c>
      <c r="D56" s="1025">
        <v>-1.2846672585224567E-2</v>
      </c>
      <c r="E56" s="1026">
        <v>-8.9470725560753341E-4</v>
      </c>
      <c r="F56" s="92"/>
      <c r="G56" s="92"/>
      <c r="H56" s="92"/>
      <c r="I56" s="92"/>
      <c r="J56" s="92"/>
      <c r="K56" s="92"/>
      <c r="L56" s="92"/>
      <c r="M56" s="92"/>
      <c r="N56" s="92"/>
      <c r="O56" s="92"/>
      <c r="P56" s="92"/>
      <c r="Q56" s="92"/>
      <c r="R56" s="92"/>
      <c r="S56" s="92"/>
      <c r="T56" s="92"/>
      <c r="U56" s="92"/>
      <c r="V56" s="92"/>
      <c r="W56" s="92"/>
      <c r="X56" s="92"/>
      <c r="Y56" s="92"/>
      <c r="Z56" s="92"/>
    </row>
    <row r="57" spans="1:26" ht="15.75" hidden="1" customHeight="1">
      <c r="A57" s="1019" t="s">
        <v>155</v>
      </c>
      <c r="B57" s="1020">
        <v>53</v>
      </c>
      <c r="C57" s="1021">
        <v>0.21986027180636247</v>
      </c>
      <c r="D57" s="218">
        <v>0.22655292465289151</v>
      </c>
      <c r="E57" s="219">
        <v>4.9809987592711082E-2</v>
      </c>
      <c r="F57" s="92"/>
      <c r="G57" s="92"/>
      <c r="H57" s="92"/>
      <c r="I57" s="92"/>
      <c r="J57" s="92"/>
      <c r="K57" s="92"/>
      <c r="L57" s="92"/>
      <c r="M57" s="92"/>
      <c r="N57" s="92"/>
      <c r="O57" s="92"/>
      <c r="P57" s="92"/>
      <c r="Q57" s="92"/>
      <c r="R57" s="92"/>
      <c r="S57" s="92"/>
      <c r="T57" s="92"/>
      <c r="U57" s="92"/>
      <c r="V57" s="92"/>
      <c r="W57" s="92"/>
      <c r="X57" s="92"/>
      <c r="Y57" s="92"/>
      <c r="Z57" s="92"/>
    </row>
    <row r="58" spans="1:26" ht="15.75" hidden="1" customHeight="1">
      <c r="A58" s="1022" t="s">
        <v>156</v>
      </c>
      <c r="B58" s="1023">
        <v>231</v>
      </c>
      <c r="C58" s="1024">
        <v>6.7976860127936675E-2</v>
      </c>
      <c r="D58" s="1025">
        <v>0.48858293195856894</v>
      </c>
      <c r="E58" s="1026">
        <v>3.3212333626644844E-2</v>
      </c>
      <c r="F58" s="92"/>
      <c r="G58" s="92"/>
      <c r="H58" s="92"/>
      <c r="I58" s="92"/>
      <c r="J58" s="92"/>
      <c r="K58" s="92"/>
      <c r="L58" s="92"/>
      <c r="M58" s="92"/>
      <c r="N58" s="92"/>
      <c r="O58" s="92"/>
      <c r="P58" s="92"/>
      <c r="Q58" s="92"/>
      <c r="R58" s="92"/>
      <c r="S58" s="92"/>
      <c r="T58" s="92"/>
      <c r="U58" s="92"/>
      <c r="V58" s="92"/>
      <c r="W58" s="92"/>
      <c r="X58" s="92"/>
      <c r="Y58" s="92"/>
      <c r="Z58" s="92"/>
    </row>
    <row r="59" spans="1:26" ht="15.75" hidden="1" customHeight="1">
      <c r="A59" s="1019" t="s">
        <v>157</v>
      </c>
      <c r="B59" s="1020">
        <v>109</v>
      </c>
      <c r="C59" s="1021">
        <v>0.24758722695935681</v>
      </c>
      <c r="D59" s="218">
        <v>0.35902577677855047</v>
      </c>
      <c r="E59" s="219">
        <v>8.8890196479530351E-2</v>
      </c>
      <c r="F59" s="92"/>
      <c r="G59" s="92"/>
      <c r="H59" s="92"/>
      <c r="I59" s="92"/>
      <c r="J59" s="92"/>
      <c r="K59" s="92"/>
      <c r="L59" s="92"/>
      <c r="M59" s="92"/>
      <c r="N59" s="92"/>
      <c r="O59" s="92"/>
      <c r="P59" s="92"/>
      <c r="Q59" s="92"/>
      <c r="R59" s="92"/>
      <c r="S59" s="92"/>
      <c r="T59" s="92"/>
      <c r="U59" s="92"/>
      <c r="V59" s="92"/>
      <c r="W59" s="92"/>
      <c r="X59" s="92"/>
      <c r="Y59" s="92"/>
      <c r="Z59" s="92"/>
    </row>
    <row r="60" spans="1:26" ht="15.75" hidden="1" customHeight="1">
      <c r="A60" s="1022" t="s">
        <v>158</v>
      </c>
      <c r="B60" s="1023">
        <v>64</v>
      </c>
      <c r="C60" s="1024">
        <v>0.27131917252639576</v>
      </c>
      <c r="D60" s="1025">
        <v>0.57078145905421618</v>
      </c>
      <c r="E60" s="1026">
        <v>0.15486395316399879</v>
      </c>
      <c r="F60" s="92"/>
      <c r="G60" s="92"/>
      <c r="H60" s="92"/>
      <c r="I60" s="92"/>
      <c r="J60" s="92"/>
      <c r="K60" s="92"/>
      <c r="L60" s="92"/>
      <c r="M60" s="92"/>
      <c r="N60" s="92"/>
      <c r="O60" s="92"/>
      <c r="P60" s="92"/>
      <c r="Q60" s="92"/>
      <c r="R60" s="92"/>
      <c r="S60" s="92"/>
      <c r="T60" s="92"/>
      <c r="U60" s="92"/>
      <c r="V60" s="92"/>
      <c r="W60" s="92"/>
      <c r="X60" s="92"/>
      <c r="Y60" s="92"/>
      <c r="Z60" s="92"/>
    </row>
    <row r="61" spans="1:26" ht="15.75" hidden="1" customHeight="1">
      <c r="A61" s="1019" t="s">
        <v>159</v>
      </c>
      <c r="B61" s="1020">
        <v>14</v>
      </c>
      <c r="C61" s="1021">
        <v>0.15003946621251396</v>
      </c>
      <c r="D61" s="218">
        <v>-0.22156951066114761</v>
      </c>
      <c r="E61" s="219">
        <v>-3.3244171108566506E-2</v>
      </c>
      <c r="F61" s="92"/>
      <c r="G61" s="92"/>
      <c r="H61" s="92"/>
      <c r="I61" s="92"/>
      <c r="J61" s="92"/>
      <c r="K61" s="92"/>
      <c r="L61" s="92"/>
      <c r="M61" s="92"/>
      <c r="N61" s="92"/>
      <c r="O61" s="92"/>
      <c r="P61" s="92"/>
      <c r="Q61" s="92"/>
      <c r="R61" s="92"/>
      <c r="S61" s="92"/>
      <c r="T61" s="92"/>
      <c r="U61" s="92"/>
      <c r="V61" s="92"/>
      <c r="W61" s="92"/>
      <c r="X61" s="92"/>
      <c r="Y61" s="92"/>
      <c r="Z61" s="92"/>
    </row>
    <row r="62" spans="1:26" ht="15.75" hidden="1" customHeight="1">
      <c r="A62" s="1022" t="s">
        <v>160</v>
      </c>
      <c r="B62" s="1023">
        <v>4</v>
      </c>
      <c r="C62" s="1024">
        <v>0.12903399917583033</v>
      </c>
      <c r="D62" s="1025">
        <v>0.28275163660496072</v>
      </c>
      <c r="E62" s="1026">
        <v>3.6484574444649177E-2</v>
      </c>
      <c r="F62" s="92"/>
      <c r="G62" s="92"/>
      <c r="H62" s="92"/>
      <c r="I62" s="92"/>
      <c r="J62" s="92"/>
      <c r="K62" s="92"/>
      <c r="L62" s="92"/>
      <c r="M62" s="92"/>
      <c r="N62" s="92"/>
      <c r="O62" s="92"/>
      <c r="P62" s="92"/>
      <c r="Q62" s="92"/>
      <c r="R62" s="92"/>
      <c r="S62" s="92"/>
      <c r="T62" s="92"/>
      <c r="U62" s="92"/>
      <c r="V62" s="92"/>
      <c r="W62" s="92"/>
      <c r="X62" s="92"/>
      <c r="Y62" s="92"/>
      <c r="Z62" s="92"/>
    </row>
    <row r="63" spans="1:26" ht="15.75" hidden="1" customHeight="1">
      <c r="A63" s="1019" t="s">
        <v>256</v>
      </c>
      <c r="B63" s="1020">
        <v>147</v>
      </c>
      <c r="C63" s="1021">
        <v>0.18619988925264025</v>
      </c>
      <c r="D63" s="218">
        <v>0.7439264567808016</v>
      </c>
      <c r="E63" s="219">
        <v>0.13851902386469434</v>
      </c>
      <c r="F63" s="92"/>
      <c r="G63" s="92"/>
      <c r="H63" s="92"/>
      <c r="I63" s="92"/>
      <c r="J63" s="92"/>
      <c r="K63" s="92"/>
      <c r="L63" s="92"/>
      <c r="M63" s="92"/>
      <c r="N63" s="92"/>
      <c r="O63" s="92"/>
      <c r="P63" s="92"/>
      <c r="Q63" s="92"/>
      <c r="R63" s="92"/>
      <c r="S63" s="92"/>
      <c r="T63" s="92"/>
      <c r="U63" s="92"/>
      <c r="V63" s="92"/>
      <c r="W63" s="92"/>
      <c r="X63" s="92"/>
      <c r="Y63" s="92"/>
      <c r="Z63" s="92"/>
    </row>
    <row r="64" spans="1:26" ht="15.75" hidden="1" customHeight="1">
      <c r="A64" s="1022" t="s">
        <v>162</v>
      </c>
      <c r="B64" s="1023">
        <v>24</v>
      </c>
      <c r="C64" s="1024">
        <v>0.12176139467315485</v>
      </c>
      <c r="D64" s="1025">
        <v>0.64754026262183595</v>
      </c>
      <c r="E64" s="1026">
        <v>7.8845405483855713E-2</v>
      </c>
      <c r="F64" s="92"/>
      <c r="G64" s="92"/>
      <c r="H64" s="92"/>
      <c r="I64" s="92"/>
      <c r="J64" s="92"/>
      <c r="K64" s="92"/>
      <c r="L64" s="92"/>
      <c r="M64" s="92"/>
      <c r="N64" s="92"/>
      <c r="O64" s="92"/>
      <c r="P64" s="92"/>
      <c r="Q64" s="92"/>
      <c r="R64" s="92"/>
      <c r="S64" s="92"/>
      <c r="T64" s="92"/>
      <c r="U64" s="92"/>
      <c r="V64" s="92"/>
      <c r="W64" s="92"/>
      <c r="X64" s="92"/>
      <c r="Y64" s="92"/>
      <c r="Z64" s="92"/>
    </row>
    <row r="65" spans="1:26" ht="15.75" hidden="1" customHeight="1">
      <c r="A65" s="1019" t="s">
        <v>163</v>
      </c>
      <c r="B65" s="1020">
        <v>97</v>
      </c>
      <c r="C65" s="1021">
        <v>0.14367131620333529</v>
      </c>
      <c r="D65" s="218">
        <v>-1.4857775028803821E-2</v>
      </c>
      <c r="E65" s="219">
        <v>-2.1346360942412928E-3</v>
      </c>
      <c r="F65" s="92"/>
      <c r="G65" s="92"/>
      <c r="H65" s="92"/>
      <c r="I65" s="92"/>
      <c r="J65" s="92"/>
      <c r="K65" s="92"/>
      <c r="L65" s="92"/>
      <c r="M65" s="92"/>
      <c r="N65" s="92"/>
      <c r="O65" s="92"/>
      <c r="P65" s="92"/>
      <c r="Q65" s="92"/>
      <c r="R65" s="92"/>
      <c r="S65" s="92"/>
      <c r="T65" s="92"/>
      <c r="U65" s="92"/>
      <c r="V65" s="92"/>
      <c r="W65" s="92"/>
      <c r="X65" s="92"/>
      <c r="Y65" s="92"/>
      <c r="Z65" s="92"/>
    </row>
    <row r="66" spans="1:26" ht="15.75" hidden="1" customHeight="1">
      <c r="A66" s="1022" t="s">
        <v>164</v>
      </c>
      <c r="B66" s="1023">
        <v>22</v>
      </c>
      <c r="C66" s="1024">
        <v>0.14486486031209506</v>
      </c>
      <c r="D66" s="1025">
        <v>0.14127571050488755</v>
      </c>
      <c r="E66" s="1026">
        <v>2.0465886067782515E-2</v>
      </c>
      <c r="F66" s="92"/>
      <c r="G66" s="92"/>
      <c r="H66" s="92"/>
      <c r="I66" s="92"/>
      <c r="J66" s="92"/>
      <c r="K66" s="92"/>
      <c r="L66" s="92"/>
      <c r="M66" s="92"/>
      <c r="N66" s="92"/>
      <c r="O66" s="92"/>
      <c r="P66" s="92"/>
      <c r="Q66" s="92"/>
      <c r="R66" s="92"/>
      <c r="S66" s="92"/>
      <c r="T66" s="92"/>
      <c r="U66" s="92"/>
      <c r="V66" s="92"/>
      <c r="W66" s="92"/>
      <c r="X66" s="92"/>
      <c r="Y66" s="92"/>
      <c r="Z66" s="92"/>
    </row>
    <row r="67" spans="1:26" ht="15.75" hidden="1" customHeight="1">
      <c r="A67" s="1019" t="s">
        <v>165</v>
      </c>
      <c r="B67" s="1020">
        <v>6</v>
      </c>
      <c r="C67" s="1021">
        <v>0.19419479914040808</v>
      </c>
      <c r="D67" s="218">
        <v>0.82134475104122406</v>
      </c>
      <c r="E67" s="219">
        <v>0.15950087895347898</v>
      </c>
      <c r="F67" s="92"/>
      <c r="G67" s="92"/>
      <c r="H67" s="92"/>
      <c r="I67" s="92"/>
      <c r="J67" s="92"/>
      <c r="K67" s="92"/>
      <c r="L67" s="92"/>
      <c r="M67" s="92"/>
      <c r="N67" s="92"/>
      <c r="O67" s="92"/>
      <c r="P67" s="92"/>
      <c r="Q67" s="92"/>
      <c r="R67" s="92"/>
      <c r="S67" s="92"/>
      <c r="T67" s="92"/>
      <c r="U67" s="92"/>
      <c r="V67" s="92"/>
      <c r="W67" s="92"/>
      <c r="X67" s="92"/>
      <c r="Y67" s="92"/>
      <c r="Z67" s="92"/>
    </row>
    <row r="68" spans="1:26" ht="15.75" hidden="1" customHeight="1">
      <c r="A68" s="1022" t="s">
        <v>166</v>
      </c>
      <c r="B68" s="1023">
        <v>48</v>
      </c>
      <c r="C68" s="1024">
        <v>6.5649115482740619E-2</v>
      </c>
      <c r="D68" s="1025">
        <v>1.4296025076573129</v>
      </c>
      <c r="E68" s="1026">
        <v>9.3852140119610516E-2</v>
      </c>
      <c r="F68" s="92"/>
      <c r="G68" s="92"/>
      <c r="H68" s="92"/>
      <c r="I68" s="92"/>
      <c r="J68" s="92"/>
      <c r="K68" s="92"/>
      <c r="L68" s="92"/>
      <c r="M68" s="92"/>
      <c r="N68" s="92"/>
      <c r="O68" s="92"/>
      <c r="P68" s="92"/>
      <c r="Q68" s="92"/>
      <c r="R68" s="92"/>
      <c r="S68" s="92"/>
      <c r="T68" s="92"/>
      <c r="U68" s="92"/>
      <c r="V68" s="92"/>
      <c r="W68" s="92"/>
      <c r="X68" s="92"/>
      <c r="Y68" s="92"/>
      <c r="Z68" s="92"/>
    </row>
    <row r="69" spans="1:26" ht="15.75" hidden="1" customHeight="1">
      <c r="A69" s="1019" t="s">
        <v>167</v>
      </c>
      <c r="B69" s="1020">
        <v>60</v>
      </c>
      <c r="C69" s="1021">
        <v>0.12926868423010329</v>
      </c>
      <c r="D69" s="218">
        <v>0.58808354938184104</v>
      </c>
      <c r="E69" s="219">
        <v>7.602078664595957E-2</v>
      </c>
      <c r="F69" s="92"/>
      <c r="G69" s="92"/>
      <c r="H69" s="92"/>
      <c r="I69" s="92"/>
      <c r="J69" s="92"/>
      <c r="K69" s="92"/>
      <c r="L69" s="92"/>
      <c r="M69" s="92"/>
      <c r="N69" s="92"/>
      <c r="O69" s="92"/>
      <c r="P69" s="92"/>
      <c r="Q69" s="92"/>
      <c r="R69" s="92"/>
      <c r="S69" s="92"/>
      <c r="T69" s="92"/>
      <c r="U69" s="92"/>
      <c r="V69" s="92"/>
      <c r="W69" s="92"/>
      <c r="X69" s="92"/>
      <c r="Y69" s="92"/>
      <c r="Z69" s="92"/>
    </row>
    <row r="70" spans="1:26" ht="15.75" hidden="1" customHeight="1">
      <c r="A70" s="1022" t="s">
        <v>168</v>
      </c>
      <c r="B70" s="1023">
        <v>19</v>
      </c>
      <c r="C70" s="1024">
        <v>0.15529613776373735</v>
      </c>
      <c r="D70" s="1025">
        <v>-3.2337085854887253E-2</v>
      </c>
      <c r="E70" s="1026">
        <v>-5.0218245397983729E-3</v>
      </c>
      <c r="F70" s="92"/>
      <c r="G70" s="92"/>
      <c r="H70" s="92"/>
      <c r="I70" s="92"/>
      <c r="J70" s="92"/>
      <c r="K70" s="92"/>
      <c r="L70" s="92"/>
      <c r="M70" s="92"/>
      <c r="N70" s="92"/>
      <c r="O70" s="92"/>
      <c r="P70" s="92"/>
      <c r="Q70" s="92"/>
      <c r="R70" s="92"/>
      <c r="S70" s="92"/>
      <c r="T70" s="92"/>
      <c r="U70" s="92"/>
      <c r="V70" s="92"/>
      <c r="W70" s="92"/>
      <c r="X70" s="92"/>
      <c r="Y70" s="92"/>
      <c r="Z70" s="92"/>
    </row>
    <row r="71" spans="1:26" ht="15.75" hidden="1" customHeight="1">
      <c r="A71" s="1019" t="s">
        <v>169</v>
      </c>
      <c r="B71" s="1020">
        <v>192</v>
      </c>
      <c r="C71" s="1021">
        <v>3.0943075263370073E-2</v>
      </c>
      <c r="D71" s="218">
        <v>-0.65814261589895073</v>
      </c>
      <c r="E71" s="219">
        <v>-2.0364956497792495E-2</v>
      </c>
      <c r="F71" s="92"/>
      <c r="G71" s="92"/>
      <c r="H71" s="92"/>
      <c r="I71" s="92"/>
      <c r="J71" s="92"/>
      <c r="K71" s="92"/>
      <c r="L71" s="92"/>
      <c r="M71" s="92"/>
      <c r="N71" s="92"/>
      <c r="O71" s="92"/>
      <c r="P71" s="92"/>
      <c r="Q71" s="92"/>
      <c r="R71" s="92"/>
      <c r="S71" s="92"/>
      <c r="T71" s="92"/>
      <c r="U71" s="92"/>
      <c r="V71" s="92"/>
      <c r="W71" s="92"/>
      <c r="X71" s="92"/>
      <c r="Y71" s="92"/>
      <c r="Z71" s="92"/>
    </row>
    <row r="72" spans="1:26" ht="15.75" hidden="1" customHeight="1">
      <c r="A72" s="1022" t="s">
        <v>170</v>
      </c>
      <c r="B72" s="1023">
        <v>15</v>
      </c>
      <c r="C72" s="1024">
        <v>3.734709120429483E-2</v>
      </c>
      <c r="D72" s="1025">
        <v>-1.0603866958563923</v>
      </c>
      <c r="E72" s="1026">
        <v>-3.960235864196953E-2</v>
      </c>
      <c r="F72" s="996"/>
      <c r="G72" s="996"/>
      <c r="H72" s="996"/>
      <c r="I72" s="996"/>
      <c r="J72" s="996"/>
      <c r="K72" s="996"/>
      <c r="L72" s="996"/>
      <c r="M72" s="996"/>
      <c r="N72" s="996"/>
      <c r="O72" s="996"/>
      <c r="P72" s="996"/>
      <c r="Q72" s="996"/>
      <c r="R72" s="996"/>
      <c r="S72" s="996"/>
      <c r="T72" s="996"/>
      <c r="U72" s="996"/>
      <c r="V72" s="996"/>
      <c r="W72" s="996"/>
      <c r="X72" s="996"/>
      <c r="Y72" s="996"/>
      <c r="Z72" s="996"/>
    </row>
    <row r="73" spans="1:26" ht="15.75" hidden="1" customHeight="1">
      <c r="A73" s="1019" t="s">
        <v>171</v>
      </c>
      <c r="B73" s="1020">
        <v>11</v>
      </c>
      <c r="C73" s="1021">
        <v>3.9730511253634679E-2</v>
      </c>
      <c r="D73" s="218">
        <v>1.0821106152319355</v>
      </c>
      <c r="E73" s="219">
        <v>4.299280797614996E-2</v>
      </c>
      <c r="F73" s="996"/>
      <c r="G73" s="1027">
        <f>AVERAGE(D73,D72,D51,D33,D31)</f>
        <v>0.32924947995535653</v>
      </c>
      <c r="H73" s="996"/>
      <c r="I73" s="996"/>
      <c r="J73" s="996"/>
      <c r="K73" s="996"/>
      <c r="L73" s="996"/>
      <c r="M73" s="996"/>
      <c r="N73" s="996"/>
      <c r="O73" s="996"/>
      <c r="P73" s="996"/>
      <c r="Q73" s="996"/>
      <c r="R73" s="996"/>
      <c r="S73" s="996"/>
      <c r="T73" s="996"/>
      <c r="U73" s="996"/>
      <c r="V73" s="996"/>
      <c r="W73" s="996"/>
      <c r="X73" s="996"/>
      <c r="Y73" s="996"/>
      <c r="Z73" s="996"/>
    </row>
    <row r="74" spans="1:26" ht="15.75" hidden="1" customHeight="1">
      <c r="A74" s="1022" t="s">
        <v>257</v>
      </c>
      <c r="B74" s="1023">
        <v>60</v>
      </c>
      <c r="C74" s="1024">
        <v>2.8763124525455864E-2</v>
      </c>
      <c r="D74" s="1025">
        <v>3.6429856021044453</v>
      </c>
      <c r="E74" s="1026">
        <v>0.10478364851777297</v>
      </c>
      <c r="F74" s="92"/>
      <c r="G74" s="92"/>
      <c r="H74" s="92"/>
      <c r="I74" s="92"/>
      <c r="J74" s="92"/>
      <c r="K74" s="92"/>
      <c r="L74" s="92"/>
      <c r="M74" s="92"/>
      <c r="N74" s="92"/>
      <c r="O74" s="92"/>
      <c r="P74" s="92"/>
      <c r="Q74" s="92"/>
      <c r="R74" s="92"/>
      <c r="S74" s="92"/>
      <c r="T74" s="92"/>
      <c r="U74" s="92"/>
      <c r="V74" s="92"/>
      <c r="W74" s="92"/>
      <c r="X74" s="92"/>
      <c r="Y74" s="92"/>
      <c r="Z74" s="92"/>
    </row>
    <row r="75" spans="1:26" ht="15.75" hidden="1" customHeight="1">
      <c r="A75" s="1019" t="s">
        <v>173</v>
      </c>
      <c r="B75" s="1020">
        <v>50</v>
      </c>
      <c r="C75" s="1021">
        <v>7.9461315509752592E-2</v>
      </c>
      <c r="D75" s="218">
        <v>0.14852085535701345</v>
      </c>
      <c r="E75" s="219">
        <v>1.1801662547301974E-2</v>
      </c>
      <c r="F75" s="92"/>
      <c r="G75" s="92"/>
      <c r="H75" s="92"/>
      <c r="I75" s="92"/>
      <c r="J75" s="92"/>
      <c r="K75" s="92"/>
      <c r="L75" s="92"/>
      <c r="M75" s="92"/>
      <c r="N75" s="92"/>
      <c r="O75" s="92"/>
      <c r="P75" s="92"/>
      <c r="Q75" s="92"/>
      <c r="R75" s="92"/>
      <c r="S75" s="92"/>
      <c r="T75" s="92"/>
      <c r="U75" s="92"/>
      <c r="V75" s="92"/>
      <c r="W75" s="92"/>
      <c r="X75" s="92"/>
      <c r="Y75" s="92"/>
      <c r="Z75" s="92"/>
    </row>
    <row r="76" spans="1:26" ht="15.75" hidden="1" customHeight="1">
      <c r="A76" s="1022" t="s">
        <v>174</v>
      </c>
      <c r="B76" s="1023">
        <v>1</v>
      </c>
      <c r="C76" s="1024">
        <v>9.8903244217743116E-2</v>
      </c>
      <c r="D76" s="1025">
        <v>0.51080180085332116</v>
      </c>
      <c r="E76" s="1026">
        <v>5.0519955256659005E-2</v>
      </c>
      <c r="F76" s="92"/>
      <c r="G76" s="92"/>
      <c r="H76" s="92"/>
      <c r="I76" s="92"/>
      <c r="J76" s="92"/>
      <c r="K76" s="92"/>
      <c r="L76" s="92"/>
      <c r="M76" s="92"/>
      <c r="N76" s="92"/>
      <c r="O76" s="92"/>
      <c r="P76" s="92"/>
      <c r="Q76" s="92"/>
      <c r="R76" s="92"/>
      <c r="S76" s="92"/>
      <c r="T76" s="92"/>
      <c r="U76" s="92"/>
      <c r="V76" s="92"/>
      <c r="W76" s="92"/>
      <c r="X76" s="92"/>
      <c r="Y76" s="92"/>
      <c r="Z76" s="92"/>
    </row>
    <row r="77" spans="1:26" ht="15.75" hidden="1" customHeight="1">
      <c r="A77" s="1019" t="s">
        <v>175</v>
      </c>
      <c r="B77" s="1020">
        <v>62</v>
      </c>
      <c r="C77" s="1021">
        <v>0.20394892204796075</v>
      </c>
      <c r="D77" s="218">
        <v>0.38719268780136601</v>
      </c>
      <c r="E77" s="219">
        <v>7.8967531301941202E-2</v>
      </c>
      <c r="F77" s="92"/>
      <c r="G77" s="92"/>
      <c r="H77" s="92"/>
      <c r="I77" s="92"/>
      <c r="J77" s="92"/>
      <c r="K77" s="92"/>
      <c r="L77" s="92"/>
      <c r="M77" s="92"/>
      <c r="N77" s="92"/>
      <c r="O77" s="92"/>
      <c r="P77" s="92"/>
      <c r="Q77" s="92"/>
      <c r="R77" s="92"/>
      <c r="S77" s="92"/>
      <c r="T77" s="92"/>
      <c r="U77" s="92"/>
      <c r="V77" s="92"/>
      <c r="W77" s="92"/>
      <c r="X77" s="92"/>
      <c r="Y77" s="92"/>
      <c r="Z77" s="92"/>
    </row>
    <row r="78" spans="1:26" ht="15.75" hidden="1" customHeight="1">
      <c r="A78" s="1022" t="s">
        <v>176</v>
      </c>
      <c r="B78" s="1023">
        <v>29</v>
      </c>
      <c r="C78" s="1024">
        <v>0.12115010427606814</v>
      </c>
      <c r="D78" s="1025">
        <v>0.82898584270808584</v>
      </c>
      <c r="E78" s="1026">
        <v>0.10043172128746881</v>
      </c>
      <c r="F78" s="92"/>
      <c r="G78" s="92"/>
      <c r="H78" s="92"/>
      <c r="I78" s="92"/>
      <c r="J78" s="92"/>
      <c r="K78" s="92"/>
      <c r="L78" s="92"/>
      <c r="M78" s="92"/>
      <c r="N78" s="92"/>
      <c r="O78" s="92"/>
      <c r="P78" s="92"/>
      <c r="Q78" s="92"/>
      <c r="R78" s="92"/>
      <c r="S78" s="92"/>
      <c r="T78" s="92"/>
      <c r="U78" s="92"/>
      <c r="V78" s="92"/>
      <c r="W78" s="92"/>
      <c r="X78" s="92"/>
      <c r="Y78" s="92"/>
      <c r="Z78" s="92"/>
    </row>
    <row r="79" spans="1:26" ht="15.75" hidden="1" customHeight="1">
      <c r="A79" s="1019" t="s">
        <v>177</v>
      </c>
      <c r="B79" s="1020">
        <v>13</v>
      </c>
      <c r="C79" s="1021">
        <v>0.36284596538960717</v>
      </c>
      <c r="D79" s="218">
        <v>0.7168921587957251</v>
      </c>
      <c r="E79" s="219">
        <v>0.26012142743847444</v>
      </c>
      <c r="F79" s="92"/>
      <c r="G79" s="92"/>
      <c r="H79" s="92"/>
      <c r="I79" s="92"/>
      <c r="J79" s="92"/>
      <c r="K79" s="92"/>
      <c r="L79" s="92"/>
      <c r="M79" s="92"/>
      <c r="N79" s="92"/>
      <c r="O79" s="92"/>
      <c r="P79" s="92"/>
      <c r="Q79" s="92"/>
      <c r="R79" s="92"/>
      <c r="S79" s="92"/>
      <c r="T79" s="92"/>
      <c r="U79" s="92"/>
      <c r="V79" s="92"/>
      <c r="W79" s="92"/>
      <c r="X79" s="92"/>
      <c r="Y79" s="92"/>
      <c r="Z79" s="92"/>
    </row>
    <row r="80" spans="1:26" ht="15.75" hidden="1" customHeight="1">
      <c r="A80" s="1022" t="s">
        <v>178</v>
      </c>
      <c r="B80" s="1023">
        <v>66</v>
      </c>
      <c r="C80" s="1024">
        <v>0.17536861677582882</v>
      </c>
      <c r="D80" s="1025">
        <v>1.0195443860624036</v>
      </c>
      <c r="E80" s="1026">
        <v>0.17879608872532532</v>
      </c>
      <c r="F80" s="92"/>
      <c r="G80" s="92"/>
      <c r="H80" s="92"/>
      <c r="I80" s="92"/>
      <c r="J80" s="92"/>
      <c r="K80" s="92"/>
      <c r="L80" s="92"/>
      <c r="M80" s="92"/>
      <c r="N80" s="92"/>
      <c r="O80" s="92"/>
      <c r="P80" s="92"/>
      <c r="Q80" s="92"/>
      <c r="R80" s="92"/>
      <c r="S80" s="92"/>
      <c r="T80" s="92"/>
      <c r="U80" s="92"/>
      <c r="V80" s="92"/>
      <c r="W80" s="92"/>
      <c r="X80" s="92"/>
      <c r="Y80" s="92"/>
      <c r="Z80" s="92"/>
    </row>
    <row r="81" spans="1:26" ht="15.75" hidden="1" customHeight="1">
      <c r="A81" s="1019" t="s">
        <v>179</v>
      </c>
      <c r="B81" s="1020">
        <v>24</v>
      </c>
      <c r="C81" s="1021">
        <v>0.11983290770437496</v>
      </c>
      <c r="D81" s="218">
        <v>0.46411454502668509</v>
      </c>
      <c r="E81" s="219">
        <v>5.5616195438440735E-2</v>
      </c>
      <c r="F81" s="92"/>
      <c r="G81" s="92"/>
      <c r="H81" s="92"/>
      <c r="I81" s="92"/>
      <c r="J81" s="92"/>
      <c r="K81" s="92"/>
      <c r="L81" s="92"/>
      <c r="M81" s="92"/>
      <c r="N81" s="92"/>
      <c r="O81" s="92"/>
      <c r="P81" s="92"/>
      <c r="Q81" s="92"/>
      <c r="R81" s="92"/>
      <c r="S81" s="92"/>
      <c r="T81" s="92"/>
      <c r="U81" s="92"/>
      <c r="V81" s="92"/>
      <c r="W81" s="92"/>
      <c r="X81" s="92"/>
      <c r="Y81" s="92"/>
      <c r="Z81" s="92"/>
    </row>
    <row r="82" spans="1:26" ht="15.75" hidden="1" customHeight="1">
      <c r="A82" s="1022" t="s">
        <v>180</v>
      </c>
      <c r="B82" s="1023">
        <v>17</v>
      </c>
      <c r="C82" s="1024">
        <v>9.247376187945984E-2</v>
      </c>
      <c r="D82" s="1025">
        <v>0.14685770979269633</v>
      </c>
      <c r="E82" s="1026">
        <v>1.3580484885532618E-2</v>
      </c>
      <c r="F82" s="92"/>
      <c r="G82" s="92"/>
      <c r="H82" s="92"/>
      <c r="I82" s="92"/>
      <c r="J82" s="92"/>
      <c r="K82" s="92"/>
      <c r="L82" s="92"/>
      <c r="M82" s="92"/>
      <c r="N82" s="92"/>
      <c r="O82" s="92"/>
      <c r="P82" s="92"/>
      <c r="Q82" s="92"/>
      <c r="R82" s="92"/>
      <c r="S82" s="92"/>
      <c r="T82" s="92"/>
      <c r="U82" s="92"/>
      <c r="V82" s="92"/>
      <c r="W82" s="92"/>
      <c r="X82" s="92"/>
      <c r="Y82" s="92"/>
      <c r="Z82" s="92"/>
    </row>
    <row r="83" spans="1:26" ht="15.75" hidden="1" customHeight="1">
      <c r="A83" s="1019" t="s">
        <v>181</v>
      </c>
      <c r="B83" s="1020">
        <v>28</v>
      </c>
      <c r="C83" s="1021">
        <v>4.9993891014006121E-2</v>
      </c>
      <c r="D83" s="218">
        <v>-0.74880212638467403</v>
      </c>
      <c r="E83" s="219">
        <v>-3.7435531897531432E-2</v>
      </c>
      <c r="F83" s="92"/>
      <c r="G83" s="92"/>
      <c r="H83" s="92"/>
      <c r="I83" s="92"/>
      <c r="J83" s="92"/>
      <c r="K83" s="92"/>
      <c r="L83" s="92"/>
      <c r="M83" s="92"/>
      <c r="N83" s="92"/>
      <c r="O83" s="92"/>
      <c r="P83" s="92"/>
      <c r="Q83" s="92"/>
      <c r="R83" s="92"/>
      <c r="S83" s="92"/>
      <c r="T83" s="92"/>
      <c r="U83" s="92"/>
      <c r="V83" s="92"/>
      <c r="W83" s="92"/>
      <c r="X83" s="92"/>
      <c r="Y83" s="92"/>
      <c r="Z83" s="92"/>
    </row>
    <row r="84" spans="1:26" ht="15.75" hidden="1" customHeight="1">
      <c r="A84" s="1022" t="s">
        <v>182</v>
      </c>
      <c r="B84" s="1023">
        <v>98</v>
      </c>
      <c r="C84" s="1024">
        <v>0.17678385028822469</v>
      </c>
      <c r="D84" s="1025">
        <v>0.2384246819225872</v>
      </c>
      <c r="E84" s="1026">
        <v>4.214963327402025E-2</v>
      </c>
      <c r="F84" s="92"/>
      <c r="G84" s="92"/>
      <c r="H84" s="92"/>
      <c r="I84" s="92"/>
      <c r="J84" s="92"/>
      <c r="K84" s="92"/>
      <c r="L84" s="92"/>
      <c r="M84" s="92"/>
      <c r="N84" s="92"/>
      <c r="O84" s="92"/>
      <c r="P84" s="92"/>
      <c r="Q84" s="92"/>
      <c r="R84" s="92"/>
      <c r="S84" s="92"/>
      <c r="T84" s="92"/>
      <c r="U84" s="92"/>
      <c r="V84" s="92"/>
      <c r="W84" s="92"/>
      <c r="X84" s="92"/>
      <c r="Y84" s="92"/>
      <c r="Z84" s="92"/>
    </row>
    <row r="85" spans="1:26" ht="15.75" hidden="1" customHeight="1">
      <c r="A85" s="1019" t="s">
        <v>183</v>
      </c>
      <c r="B85" s="1020">
        <v>3</v>
      </c>
      <c r="C85" s="1021">
        <v>5.7556753506032426E-2</v>
      </c>
      <c r="D85" s="218">
        <v>0.16171849409183106</v>
      </c>
      <c r="E85" s="219">
        <v>9.3079915018102824E-3</v>
      </c>
      <c r="F85" s="92"/>
      <c r="G85" s="92"/>
      <c r="H85" s="92"/>
      <c r="I85" s="92"/>
      <c r="J85" s="92"/>
      <c r="K85" s="92"/>
      <c r="L85" s="92"/>
      <c r="M85" s="92"/>
      <c r="N85" s="92"/>
      <c r="O85" s="92"/>
      <c r="P85" s="92"/>
      <c r="Q85" s="92"/>
      <c r="R85" s="92"/>
      <c r="S85" s="92"/>
      <c r="T85" s="92"/>
      <c r="U85" s="92"/>
      <c r="V85" s="92"/>
      <c r="W85" s="92"/>
      <c r="X85" s="92"/>
      <c r="Y85" s="92"/>
      <c r="Z85" s="92"/>
    </row>
    <row r="86" spans="1:26" ht="15.75" hidden="1" customHeight="1">
      <c r="A86" s="1022" t="s">
        <v>184</v>
      </c>
      <c r="B86" s="1023">
        <v>63</v>
      </c>
      <c r="C86" s="1024">
        <v>0.21144652173406386</v>
      </c>
      <c r="D86" s="1025">
        <v>0.5930815713362112</v>
      </c>
      <c r="E86" s="1026">
        <v>0.12540503536361494</v>
      </c>
      <c r="F86" s="92"/>
      <c r="G86" s="92"/>
      <c r="H86" s="92"/>
      <c r="I86" s="92"/>
      <c r="J86" s="92"/>
      <c r="K86" s="92"/>
      <c r="L86" s="92"/>
      <c r="M86" s="92"/>
      <c r="N86" s="92"/>
      <c r="O86" s="92"/>
      <c r="P86" s="92"/>
      <c r="Q86" s="92"/>
      <c r="R86" s="92"/>
      <c r="S86" s="92"/>
      <c r="T86" s="92"/>
      <c r="U86" s="92"/>
      <c r="V86" s="92"/>
      <c r="W86" s="92"/>
      <c r="X86" s="92"/>
      <c r="Y86" s="92"/>
      <c r="Z86" s="92"/>
    </row>
    <row r="87" spans="1:26" ht="15.75" hidden="1" customHeight="1">
      <c r="A87" s="1019" t="s">
        <v>185</v>
      </c>
      <c r="B87" s="1020">
        <v>30</v>
      </c>
      <c r="C87" s="1021">
        <v>0.24197449544323665</v>
      </c>
      <c r="D87" s="218">
        <v>4.6679860813353971E-2</v>
      </c>
      <c r="E87" s="219">
        <v>1.1295335767671841E-2</v>
      </c>
      <c r="F87" s="92"/>
      <c r="G87" s="92"/>
      <c r="H87" s="92"/>
      <c r="I87" s="92"/>
      <c r="J87" s="92"/>
      <c r="K87" s="92"/>
      <c r="L87" s="92"/>
      <c r="M87" s="92"/>
      <c r="N87" s="92"/>
      <c r="O87" s="92"/>
      <c r="P87" s="92"/>
      <c r="Q87" s="92"/>
      <c r="R87" s="92"/>
      <c r="S87" s="92"/>
      <c r="T87" s="92"/>
      <c r="U87" s="92"/>
      <c r="V87" s="92"/>
      <c r="W87" s="92"/>
      <c r="X87" s="92"/>
      <c r="Y87" s="92"/>
      <c r="Z87" s="92"/>
    </row>
    <row r="88" spans="1:26" ht="15.75" hidden="1" customHeight="1">
      <c r="A88" s="1022" t="s">
        <v>186</v>
      </c>
      <c r="B88" s="1023">
        <v>8</v>
      </c>
      <c r="C88" s="1024">
        <v>0.13232356550929528</v>
      </c>
      <c r="D88" s="1025">
        <v>0.44179244065462181</v>
      </c>
      <c r="E88" s="1026">
        <v>5.8459550962473295E-2</v>
      </c>
      <c r="F88" s="92"/>
      <c r="G88" s="92"/>
      <c r="H88" s="92"/>
      <c r="I88" s="92"/>
      <c r="J88" s="92"/>
      <c r="K88" s="92"/>
      <c r="L88" s="92"/>
      <c r="M88" s="92"/>
      <c r="N88" s="92"/>
      <c r="O88" s="92"/>
      <c r="P88" s="92"/>
      <c r="Q88" s="92"/>
      <c r="R88" s="92"/>
      <c r="S88" s="92"/>
      <c r="T88" s="92"/>
      <c r="U88" s="92"/>
      <c r="V88" s="92"/>
      <c r="W88" s="92"/>
      <c r="X88" s="92"/>
      <c r="Y88" s="92"/>
      <c r="Z88" s="92"/>
    </row>
    <row r="89" spans="1:26" ht="15.75" hidden="1" customHeight="1">
      <c r="A89" s="1019" t="s">
        <v>187</v>
      </c>
      <c r="B89" s="1020">
        <v>12</v>
      </c>
      <c r="C89" s="1021">
        <v>0.29120897712677157</v>
      </c>
      <c r="D89" s="218">
        <v>-8.2301890690004528E-2</v>
      </c>
      <c r="E89" s="219">
        <v>-2.3967049403435584E-2</v>
      </c>
      <c r="F89" s="92"/>
      <c r="G89" s="92"/>
      <c r="H89" s="92"/>
      <c r="I89" s="92"/>
      <c r="J89" s="92"/>
      <c r="K89" s="92"/>
      <c r="L89" s="92"/>
      <c r="M89" s="92"/>
      <c r="N89" s="92"/>
      <c r="O89" s="92"/>
      <c r="P89" s="92"/>
      <c r="Q89" s="92"/>
      <c r="R89" s="92"/>
      <c r="S89" s="92"/>
      <c r="T89" s="92"/>
      <c r="U89" s="92"/>
      <c r="V89" s="92"/>
      <c r="W89" s="92"/>
      <c r="X89" s="92"/>
      <c r="Y89" s="92"/>
      <c r="Z89" s="92"/>
    </row>
    <row r="90" spans="1:26" ht="15.75" hidden="1" customHeight="1">
      <c r="A90" s="1022" t="s">
        <v>188</v>
      </c>
      <c r="B90" s="1023">
        <v>81</v>
      </c>
      <c r="C90" s="1024">
        <v>0.25294352692701783</v>
      </c>
      <c r="D90" s="1025">
        <v>0.47974527461100563</v>
      </c>
      <c r="E90" s="1026">
        <v>0.12134846178667846</v>
      </c>
      <c r="F90" s="92"/>
      <c r="G90" s="92"/>
      <c r="H90" s="92"/>
      <c r="I90" s="92"/>
      <c r="J90" s="92"/>
      <c r="K90" s="92"/>
      <c r="L90" s="92"/>
      <c r="M90" s="92"/>
      <c r="N90" s="92"/>
      <c r="O90" s="92"/>
      <c r="P90" s="92"/>
      <c r="Q90" s="92"/>
      <c r="R90" s="92"/>
      <c r="S90" s="92"/>
      <c r="T90" s="92"/>
      <c r="U90" s="92"/>
      <c r="V90" s="92"/>
      <c r="W90" s="92"/>
      <c r="X90" s="92"/>
      <c r="Y90" s="92"/>
      <c r="Z90" s="92"/>
    </row>
    <row r="91" spans="1:26" ht="15.75" hidden="1" customHeight="1">
      <c r="A91" s="1019" t="s">
        <v>189</v>
      </c>
      <c r="B91" s="1020">
        <v>29</v>
      </c>
      <c r="C91" s="1021">
        <v>2.9315361747272173E-2</v>
      </c>
      <c r="D91" s="218">
        <v>3.764390677507587</v>
      </c>
      <c r="E91" s="219">
        <v>0.1103544744691939</v>
      </c>
      <c r="F91" s="92"/>
      <c r="G91" s="92"/>
      <c r="H91" s="92"/>
      <c r="I91" s="92"/>
      <c r="J91" s="92"/>
      <c r="K91" s="92"/>
      <c r="L91" s="92"/>
      <c r="M91" s="92"/>
      <c r="N91" s="92"/>
      <c r="O91" s="92"/>
      <c r="P91" s="92"/>
      <c r="Q91" s="92"/>
      <c r="R91" s="92"/>
      <c r="S91" s="92"/>
      <c r="T91" s="92"/>
      <c r="U91" s="92"/>
      <c r="V91" s="92"/>
      <c r="W91" s="92"/>
      <c r="X91" s="92"/>
      <c r="Y91" s="92"/>
      <c r="Z91" s="92"/>
    </row>
    <row r="92" spans="1:26" ht="15.75" hidden="1" customHeight="1">
      <c r="A92" s="1022" t="s">
        <v>190</v>
      </c>
      <c r="B92" s="1023">
        <v>333</v>
      </c>
      <c r="C92" s="1024">
        <v>0.26854772852899061</v>
      </c>
      <c r="D92" s="1025">
        <v>0.93539436133576004</v>
      </c>
      <c r="E92" s="1026">
        <v>0.25119803101554422</v>
      </c>
      <c r="F92" s="92"/>
      <c r="G92" s="92"/>
      <c r="H92" s="92"/>
      <c r="I92" s="92"/>
      <c r="J92" s="92"/>
      <c r="K92" s="92"/>
      <c r="L92" s="92"/>
      <c r="M92" s="92"/>
      <c r="N92" s="92"/>
      <c r="O92" s="92"/>
      <c r="P92" s="92"/>
      <c r="Q92" s="92"/>
      <c r="R92" s="92"/>
      <c r="S92" s="92"/>
      <c r="T92" s="92"/>
      <c r="U92" s="92"/>
      <c r="V92" s="92"/>
      <c r="W92" s="92"/>
      <c r="X92" s="92"/>
      <c r="Y92" s="92"/>
      <c r="Z92" s="92"/>
    </row>
    <row r="93" spans="1:26" ht="15.75" hidden="1" customHeight="1">
      <c r="A93" s="1019" t="s">
        <v>191</v>
      </c>
      <c r="B93" s="1020">
        <v>27</v>
      </c>
      <c r="C93" s="1021">
        <v>0.12494672128873931</v>
      </c>
      <c r="D93" s="218">
        <v>0.60845245527000558</v>
      </c>
      <c r="E93" s="219">
        <v>7.602413934607051E-2</v>
      </c>
      <c r="F93" s="92"/>
      <c r="G93" s="92"/>
      <c r="H93" s="92"/>
      <c r="I93" s="92"/>
      <c r="J93" s="92"/>
      <c r="K93" s="92"/>
      <c r="L93" s="92"/>
      <c r="M93" s="92"/>
      <c r="N93" s="92"/>
      <c r="O93" s="92"/>
      <c r="P93" s="92"/>
      <c r="Q93" s="92"/>
      <c r="R93" s="92"/>
      <c r="S93" s="92"/>
      <c r="T93" s="92"/>
      <c r="U93" s="92"/>
      <c r="V93" s="92"/>
      <c r="W93" s="92"/>
      <c r="X93" s="92"/>
      <c r="Y93" s="92"/>
      <c r="Z93" s="92"/>
    </row>
    <row r="94" spans="1:26" ht="15.75" hidden="1" customHeight="1">
      <c r="A94" s="1022" t="s">
        <v>192</v>
      </c>
      <c r="B94" s="1023">
        <v>11</v>
      </c>
      <c r="C94" s="1024">
        <v>8.3054259364976443E-2</v>
      </c>
      <c r="D94" s="1025">
        <v>6.822127620077649E-2</v>
      </c>
      <c r="E94" s="1026">
        <v>5.6660675677889854E-3</v>
      </c>
      <c r="F94" s="92"/>
      <c r="G94" s="92"/>
      <c r="H94" s="92"/>
      <c r="I94" s="92"/>
      <c r="J94" s="92"/>
      <c r="K94" s="92"/>
      <c r="L94" s="92"/>
      <c r="M94" s="92"/>
      <c r="N94" s="92"/>
      <c r="O94" s="92"/>
      <c r="P94" s="92"/>
      <c r="Q94" s="92"/>
      <c r="R94" s="92"/>
      <c r="S94" s="92"/>
      <c r="T94" s="92"/>
      <c r="U94" s="92"/>
      <c r="V94" s="92"/>
      <c r="W94" s="92"/>
      <c r="X94" s="92"/>
      <c r="Y94" s="92"/>
      <c r="Z94" s="92"/>
    </row>
    <row r="95" spans="1:26" ht="15.75" hidden="1" customHeight="1">
      <c r="A95" s="1019" t="s">
        <v>193</v>
      </c>
      <c r="B95" s="1020">
        <v>61</v>
      </c>
      <c r="C95" s="1021">
        <v>0.21770547180939451</v>
      </c>
      <c r="D95" s="218">
        <v>1.5162671716874174</v>
      </c>
      <c r="E95" s="219">
        <v>0.33009966000130542</v>
      </c>
      <c r="F95" s="92"/>
      <c r="G95" s="92"/>
      <c r="H95" s="92"/>
      <c r="I95" s="92"/>
      <c r="J95" s="92"/>
      <c r="K95" s="92"/>
      <c r="L95" s="92"/>
      <c r="M95" s="92"/>
      <c r="N95" s="92"/>
      <c r="O95" s="92"/>
      <c r="P95" s="92"/>
      <c r="Q95" s="92"/>
      <c r="R95" s="92"/>
      <c r="S95" s="92"/>
      <c r="T95" s="92"/>
      <c r="U95" s="92"/>
      <c r="V95" s="92"/>
      <c r="W95" s="92"/>
      <c r="X95" s="92"/>
      <c r="Y95" s="92"/>
      <c r="Z95" s="92"/>
    </row>
    <row r="96" spans="1:26" ht="15.75" hidden="1" customHeight="1">
      <c r="A96" s="1022" t="s">
        <v>194</v>
      </c>
      <c r="B96" s="1023">
        <v>32</v>
      </c>
      <c r="C96" s="1024">
        <v>0.1168586516115778</v>
      </c>
      <c r="D96" s="1025">
        <v>3.8956674413500404E-2</v>
      </c>
      <c r="E96" s="1026">
        <v>4.5524244432329107E-3</v>
      </c>
      <c r="F96" s="92"/>
      <c r="G96" s="92"/>
      <c r="H96" s="92"/>
      <c r="I96" s="92"/>
      <c r="J96" s="92"/>
      <c r="K96" s="92"/>
      <c r="L96" s="92"/>
      <c r="M96" s="92"/>
      <c r="N96" s="92"/>
      <c r="O96" s="92"/>
      <c r="P96" s="92"/>
      <c r="Q96" s="92"/>
      <c r="R96" s="92"/>
      <c r="S96" s="92"/>
      <c r="T96" s="92"/>
      <c r="U96" s="92"/>
      <c r="V96" s="92"/>
      <c r="W96" s="92"/>
      <c r="X96" s="92"/>
      <c r="Y96" s="92"/>
      <c r="Z96" s="92"/>
    </row>
    <row r="97" spans="1:26" ht="15.75" hidden="1" customHeight="1">
      <c r="A97" s="1019" t="s">
        <v>195</v>
      </c>
      <c r="B97" s="1020">
        <v>12</v>
      </c>
      <c r="C97" s="1021">
        <v>0.57899212485822715</v>
      </c>
      <c r="D97" s="218">
        <v>-1.3103944020907228E-2</v>
      </c>
      <c r="E97" s="219">
        <v>-7.5870803926883371E-3</v>
      </c>
      <c r="F97" s="92"/>
      <c r="G97" s="92"/>
      <c r="H97" s="92"/>
      <c r="I97" s="92"/>
      <c r="J97" s="92"/>
      <c r="K97" s="92"/>
      <c r="L97" s="92"/>
      <c r="M97" s="92"/>
      <c r="N97" s="92"/>
      <c r="O97" s="92"/>
      <c r="P97" s="92"/>
      <c r="Q97" s="92"/>
      <c r="R97" s="92"/>
      <c r="S97" s="92"/>
      <c r="T97" s="92"/>
      <c r="U97" s="92"/>
      <c r="V97" s="92"/>
      <c r="W97" s="92"/>
      <c r="X97" s="92"/>
      <c r="Y97" s="92"/>
      <c r="Z97" s="92"/>
    </row>
    <row r="98" spans="1:26" ht="15.75" hidden="1" customHeight="1">
      <c r="A98" s="1022" t="s">
        <v>196</v>
      </c>
      <c r="B98" s="1023">
        <v>21</v>
      </c>
      <c r="C98" s="1024">
        <v>0.10895423734411661</v>
      </c>
      <c r="D98" s="1025">
        <v>1.0095105897567116</v>
      </c>
      <c r="E98" s="1026">
        <v>0.10999045639775189</v>
      </c>
      <c r="F98" s="92"/>
      <c r="G98" s="92"/>
      <c r="H98" s="92"/>
      <c r="I98" s="92"/>
      <c r="J98" s="92"/>
      <c r="K98" s="92"/>
      <c r="L98" s="92"/>
      <c r="M98" s="92"/>
      <c r="N98" s="92"/>
      <c r="O98" s="92"/>
      <c r="P98" s="92"/>
      <c r="Q98" s="92"/>
      <c r="R98" s="92"/>
      <c r="S98" s="92"/>
      <c r="T98" s="92"/>
      <c r="U98" s="92"/>
      <c r="V98" s="92"/>
      <c r="W98" s="92"/>
      <c r="X98" s="92"/>
      <c r="Y98" s="92"/>
      <c r="Z98" s="92"/>
    </row>
    <row r="99" spans="1:26" ht="15.75" hidden="1" customHeight="1">
      <c r="A99" s="1019" t="s">
        <v>197</v>
      </c>
      <c r="B99" s="1020">
        <v>4</v>
      </c>
      <c r="C99" s="1021">
        <v>0.15062156493399784</v>
      </c>
      <c r="D99" s="218">
        <v>0.3189368237221375</v>
      </c>
      <c r="E99" s="219">
        <v>4.8038763504106956E-2</v>
      </c>
      <c r="F99" s="92"/>
      <c r="G99" s="92"/>
      <c r="H99" s="92"/>
      <c r="I99" s="92"/>
      <c r="J99" s="92"/>
      <c r="K99" s="92"/>
      <c r="L99" s="92"/>
      <c r="M99" s="92"/>
      <c r="N99" s="92"/>
      <c r="O99" s="92"/>
      <c r="P99" s="92"/>
      <c r="Q99" s="92"/>
      <c r="R99" s="92"/>
      <c r="S99" s="92"/>
      <c r="T99" s="92"/>
      <c r="U99" s="92"/>
      <c r="V99" s="92"/>
      <c r="W99" s="92"/>
      <c r="X99" s="92"/>
      <c r="Y99" s="92"/>
      <c r="Z99" s="92"/>
    </row>
    <row r="100" spans="1:26" ht="15.75" hidden="1" customHeight="1">
      <c r="A100" s="1022" t="s">
        <v>198</v>
      </c>
      <c r="B100" s="1023">
        <v>24</v>
      </c>
      <c r="C100" s="1024">
        <v>9.2994405161781868E-2</v>
      </c>
      <c r="D100" s="1025">
        <v>1.6422339837953763</v>
      </c>
      <c r="E100" s="1026">
        <v>0.15271857245951434</v>
      </c>
      <c r="F100" s="92"/>
      <c r="G100" s="92"/>
      <c r="H100" s="92"/>
      <c r="I100" s="92"/>
      <c r="J100" s="92"/>
      <c r="K100" s="92"/>
      <c r="L100" s="92"/>
      <c r="M100" s="92"/>
      <c r="N100" s="92"/>
      <c r="O100" s="92"/>
      <c r="P100" s="92"/>
      <c r="Q100" s="92"/>
      <c r="R100" s="92"/>
      <c r="S100" s="92"/>
      <c r="T100" s="92"/>
      <c r="U100" s="92"/>
      <c r="V100" s="92"/>
      <c r="W100" s="92"/>
      <c r="X100" s="92"/>
      <c r="Y100" s="92"/>
      <c r="Z100" s="92"/>
    </row>
    <row r="101" spans="1:26" ht="15.75" hidden="1" customHeight="1">
      <c r="A101" s="1019" t="s">
        <v>199</v>
      </c>
      <c r="B101" s="1020">
        <v>14</v>
      </c>
      <c r="C101" s="1021">
        <v>6.0541913857707054E-2</v>
      </c>
      <c r="D101" s="218">
        <v>1.5320810969483256</v>
      </c>
      <c r="E101" s="219">
        <v>9.2755121794466863E-2</v>
      </c>
      <c r="F101" s="92"/>
      <c r="G101" s="92"/>
      <c r="H101" s="92"/>
      <c r="I101" s="92"/>
      <c r="J101" s="92"/>
      <c r="K101" s="92"/>
      <c r="L101" s="92"/>
      <c r="M101" s="92"/>
      <c r="N101" s="92"/>
      <c r="O101" s="92"/>
      <c r="P101" s="92"/>
      <c r="Q101" s="92"/>
      <c r="R101" s="92"/>
      <c r="S101" s="92"/>
      <c r="T101" s="92"/>
      <c r="U101" s="92"/>
      <c r="V101" s="92"/>
      <c r="W101" s="92"/>
      <c r="X101" s="92"/>
      <c r="Y101" s="92"/>
      <c r="Z101" s="92"/>
    </row>
    <row r="102" spans="1:26" ht="15.75" hidden="1" customHeight="1">
      <c r="A102" s="1022" t="s">
        <v>200</v>
      </c>
      <c r="B102" s="1023">
        <v>15</v>
      </c>
      <c r="C102" s="1024">
        <v>8.7282709945582834E-2</v>
      </c>
      <c r="D102" s="1025">
        <v>1.5664814339057058</v>
      </c>
      <c r="E102" s="1026">
        <v>0.13672674463073242</v>
      </c>
      <c r="F102" s="92"/>
      <c r="G102" s="92"/>
      <c r="H102" s="92"/>
      <c r="I102" s="92"/>
      <c r="J102" s="92"/>
      <c r="K102" s="95"/>
      <c r="L102" s="95"/>
      <c r="M102" s="95"/>
      <c r="N102" s="95"/>
      <c r="O102" s="95"/>
      <c r="P102" s="95"/>
      <c r="Q102" s="95"/>
      <c r="R102" s="95"/>
      <c r="S102" s="95"/>
      <c r="T102" s="95"/>
      <c r="U102" s="95"/>
      <c r="V102" s="95"/>
      <c r="W102" s="95"/>
      <c r="X102" s="95"/>
      <c r="Y102" s="95"/>
      <c r="Z102" s="95"/>
    </row>
    <row r="103" spans="1:26" ht="15.75" hidden="1" customHeight="1">
      <c r="A103" s="1019" t="s">
        <v>201</v>
      </c>
      <c r="B103" s="1020">
        <v>6062</v>
      </c>
      <c r="C103" s="1021">
        <v>8.7282709945582834E-2</v>
      </c>
      <c r="D103" s="218">
        <v>0.47727231933717679</v>
      </c>
      <c r="E103" s="219">
        <v>4.1657621413762384E-2</v>
      </c>
      <c r="F103" s="92"/>
      <c r="G103" s="92"/>
      <c r="H103" s="92"/>
      <c r="I103" s="92"/>
      <c r="J103" s="92"/>
      <c r="K103" s="92"/>
      <c r="L103" s="92"/>
      <c r="M103" s="92"/>
      <c r="N103" s="92"/>
      <c r="O103" s="92"/>
      <c r="P103" s="92"/>
      <c r="Q103" s="92"/>
      <c r="R103" s="92"/>
      <c r="S103" s="92"/>
      <c r="T103" s="92"/>
      <c r="U103" s="92"/>
      <c r="V103" s="92"/>
      <c r="W103" s="92"/>
      <c r="X103" s="92"/>
      <c r="Y103" s="92"/>
      <c r="Z103" s="92"/>
    </row>
    <row r="104" spans="1:26" ht="15.75" hidden="1" customHeight="1">
      <c r="A104" s="1028" t="s">
        <v>258</v>
      </c>
      <c r="B104" s="1029">
        <v>4935</v>
      </c>
      <c r="C104" s="1030">
        <v>0.15008472975146017</v>
      </c>
      <c r="D104" s="1031">
        <v>0.50790118641989512</v>
      </c>
      <c r="E104" s="1032">
        <v>7.6228212304275955E-2</v>
      </c>
      <c r="F104" s="95"/>
      <c r="G104" s="95"/>
      <c r="H104" s="95"/>
      <c r="I104" s="95"/>
      <c r="J104" s="95"/>
      <c r="K104" s="95"/>
      <c r="L104" s="95"/>
      <c r="M104" s="95"/>
      <c r="N104" s="95"/>
      <c r="O104" s="95"/>
      <c r="P104" s="95"/>
      <c r="Q104" s="95"/>
      <c r="R104" s="95"/>
      <c r="S104" s="95"/>
      <c r="T104" s="95"/>
      <c r="U104" s="95"/>
      <c r="V104" s="95"/>
      <c r="W104" s="95"/>
      <c r="X104" s="95"/>
      <c r="Y104" s="95"/>
      <c r="Z104" s="95"/>
    </row>
    <row r="105" spans="1:26" ht="15.75" hidden="1" customHeight="1">
      <c r="A105" s="228"/>
      <c r="B105" s="1033"/>
      <c r="C105" s="220">
        <f t="shared" ref="C105:E105" si="0">AVERAGE(C22,C54)</f>
        <v>0.25690598609069015</v>
      </c>
      <c r="D105" s="220">
        <f t="shared" si="0"/>
        <v>0.24692305899112951</v>
      </c>
      <c r="E105" s="220">
        <f t="shared" si="0"/>
        <v>6.1150763969896132E-2</v>
      </c>
      <c r="F105" s="92"/>
      <c r="G105" s="92"/>
      <c r="H105" s="92"/>
      <c r="I105" s="92"/>
      <c r="J105" s="92"/>
      <c r="K105" s="92"/>
      <c r="L105" s="92"/>
      <c r="M105" s="92"/>
      <c r="N105" s="92"/>
      <c r="O105" s="92"/>
      <c r="P105" s="92"/>
      <c r="Q105" s="92"/>
      <c r="R105" s="92"/>
      <c r="S105" s="92"/>
      <c r="T105" s="92"/>
      <c r="U105" s="92"/>
      <c r="V105" s="92"/>
      <c r="W105" s="92"/>
      <c r="X105" s="92"/>
      <c r="Y105" s="92"/>
      <c r="Z105" s="92"/>
    </row>
    <row r="106" spans="1:26" ht="15.75" customHeight="1">
      <c r="A106" s="234"/>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spans="1:26" ht="15.75" customHeight="1">
      <c r="A107" s="234"/>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spans="1:26" ht="15.75" customHeight="1">
      <c r="A108" s="234"/>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spans="1:26" ht="15.75" customHeight="1">
      <c r="A109" s="234"/>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spans="1:26" ht="15.75" customHeight="1">
      <c r="A110" s="234"/>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spans="1:26" ht="15.75" customHeight="1">
      <c r="A111" s="234"/>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spans="1:26" ht="15.75" customHeight="1">
      <c r="A112" s="234"/>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spans="1:26" ht="15.75" customHeight="1">
      <c r="A113" s="234"/>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spans="1:26" ht="15.75" customHeight="1">
      <c r="A114" s="234"/>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spans="1:26" ht="15.75" customHeight="1">
      <c r="A115" s="234"/>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spans="1:26" ht="15.75" customHeight="1">
      <c r="A116" s="234"/>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spans="1:26" ht="15.75" customHeight="1">
      <c r="A117" s="234"/>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spans="1:26" ht="15.75" customHeight="1">
      <c r="A118" s="234"/>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spans="1:26" ht="15.75" customHeight="1">
      <c r="A119" s="234"/>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spans="1:26" ht="15.75" customHeight="1">
      <c r="A120" s="234"/>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spans="1:26" ht="15.75" customHeight="1">
      <c r="A121" s="234"/>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spans="1:26" ht="15.75" customHeight="1">
      <c r="A122" s="234"/>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spans="1:26" ht="15.75" customHeight="1">
      <c r="A123" s="234"/>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spans="1:26" ht="15.75" customHeight="1">
      <c r="A124" s="234"/>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spans="1:26" ht="15.75" customHeight="1">
      <c r="A125" s="234"/>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spans="1:26" ht="15.75" customHeight="1">
      <c r="A126" s="234"/>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spans="1:26" ht="15.75" customHeight="1">
      <c r="A127" s="234"/>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spans="1:26" ht="15.75" customHeight="1">
      <c r="A128" s="234"/>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spans="1:26" ht="15.75" customHeight="1">
      <c r="A129" s="234"/>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spans="1:26" ht="15.75" customHeight="1">
      <c r="A130" s="234"/>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spans="1:26" ht="15.75" customHeight="1">
      <c r="A131" s="234"/>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spans="1:26" ht="15.75" customHeight="1">
      <c r="A132" s="234"/>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spans="1:26" ht="15.75" customHeight="1">
      <c r="A133" s="234"/>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spans="1:26" ht="15.75" customHeight="1">
      <c r="A134" s="234"/>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spans="1:26" ht="15.75" customHeight="1">
      <c r="A135" s="234"/>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spans="1:26" ht="15.75" customHeight="1">
      <c r="A136" s="234"/>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spans="1:26" ht="15.75" customHeight="1">
      <c r="A137" s="234"/>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spans="1:26" ht="15.75" customHeight="1">
      <c r="A138" s="234"/>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spans="1:26" ht="15.75" customHeight="1">
      <c r="A139" s="234"/>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spans="1:26" ht="15.75" customHeight="1">
      <c r="A140" s="234"/>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spans="1:26" ht="15.75" customHeight="1">
      <c r="A141" s="234"/>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spans="1:26" ht="15.75" customHeight="1">
      <c r="A142" s="234"/>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spans="1:26" ht="15.75" customHeight="1">
      <c r="A143" s="234"/>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spans="1:26" ht="15.75" customHeight="1">
      <c r="A144" s="234"/>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spans="1:26" ht="15.75" customHeight="1">
      <c r="A145" s="234"/>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spans="1:26" ht="15.75" customHeight="1">
      <c r="A146" s="234"/>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spans="1:26" ht="15.75" customHeight="1">
      <c r="A147" s="234"/>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spans="1:26" ht="15.75" customHeight="1">
      <c r="A148" s="234"/>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spans="1:26" ht="15.75" customHeight="1">
      <c r="A149" s="234"/>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spans="1:26" ht="15.75" customHeight="1">
      <c r="A150" s="234"/>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spans="1:26" ht="15.75" customHeight="1">
      <c r="A151" s="234"/>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spans="1:26" ht="15.75" customHeight="1">
      <c r="A152" s="234"/>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spans="1:26" ht="15.75" customHeight="1">
      <c r="A153" s="234"/>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spans="1:26" ht="15.75" customHeight="1">
      <c r="A154" s="234"/>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spans="1:26" ht="15.75" customHeight="1">
      <c r="A155" s="234"/>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spans="1:26" ht="15.75" customHeight="1">
      <c r="A156" s="234"/>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spans="1:26" ht="15.75" customHeight="1">
      <c r="A157" s="234"/>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spans="1:26" ht="15.75" customHeight="1">
      <c r="A158" s="234"/>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spans="1:26" ht="15.75" customHeight="1">
      <c r="A159" s="234"/>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spans="1:26" ht="15.75" customHeight="1">
      <c r="A160" s="234"/>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spans="1:26" ht="15.75" customHeight="1">
      <c r="A161" s="234"/>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spans="1:26" ht="15.75" customHeight="1">
      <c r="A162" s="234"/>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spans="1:26" ht="15.75" customHeight="1">
      <c r="A163" s="234"/>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spans="1:26" ht="15.75" customHeight="1">
      <c r="A164" s="234"/>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spans="1:26" ht="15.75" customHeight="1">
      <c r="A165" s="234"/>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spans="1:26" ht="15.75" customHeight="1">
      <c r="A166" s="234"/>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spans="1:26" ht="15.75" customHeight="1">
      <c r="A167" s="234"/>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spans="1:26" ht="15.75" customHeight="1">
      <c r="A168" s="234"/>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spans="1:26" ht="15.75" customHeight="1">
      <c r="A169" s="234"/>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spans="1:26" ht="15.75" customHeight="1">
      <c r="A170" s="234"/>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spans="1:26" ht="15.75" customHeight="1">
      <c r="A171" s="234"/>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spans="1:26" ht="15.75" customHeight="1">
      <c r="A172" s="234"/>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spans="1:26" ht="15.75" customHeight="1">
      <c r="A173" s="234"/>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spans="1:26" ht="15.75" customHeight="1">
      <c r="A174" s="234"/>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spans="1:26" ht="15.75" customHeight="1">
      <c r="A175" s="234"/>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spans="1:26" ht="15.75" customHeight="1">
      <c r="A176" s="234"/>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spans="1:26" ht="15.75" customHeight="1">
      <c r="A177" s="234"/>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spans="1:26" ht="15.75" customHeight="1">
      <c r="A178" s="234"/>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spans="1:26" ht="15.75" customHeight="1">
      <c r="A179" s="234"/>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spans="1:26" ht="15.75" customHeight="1">
      <c r="A180" s="234"/>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spans="1:26" ht="15.75" customHeight="1">
      <c r="A181" s="234"/>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spans="1:26" ht="15.75" customHeight="1">
      <c r="A182" s="234"/>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spans="1:26" ht="15.75" customHeight="1">
      <c r="A183" s="234"/>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spans="1:26" ht="15.75" customHeight="1">
      <c r="A184" s="234"/>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spans="1:26" ht="15.75" customHeight="1">
      <c r="A185" s="234"/>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spans="1:26" ht="15.75" customHeight="1">
      <c r="A186" s="234"/>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spans="1:26" ht="15.75" customHeight="1">
      <c r="A187" s="234"/>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spans="1:26" ht="15.75" customHeight="1">
      <c r="A188" s="234"/>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spans="1:26" ht="15.75" customHeight="1">
      <c r="A189" s="234"/>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spans="1:26" ht="15.75" customHeight="1">
      <c r="A190" s="234"/>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spans="1:26" ht="15.75" customHeight="1">
      <c r="A191" s="234"/>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spans="1:26" ht="15.75" customHeight="1">
      <c r="A192" s="234"/>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spans="1:26" ht="15.75" customHeight="1">
      <c r="A193" s="234"/>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spans="1:26" ht="15.75" customHeight="1">
      <c r="A194" s="234"/>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spans="1:26" ht="15.75" customHeight="1">
      <c r="A195" s="234"/>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spans="1:26" ht="15.75" customHeight="1">
      <c r="A196" s="234"/>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spans="1:26" ht="15.75" customHeight="1">
      <c r="A197" s="234"/>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spans="1:26" ht="15.75" customHeight="1">
      <c r="A198" s="234"/>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spans="1:26" ht="15.75" customHeight="1">
      <c r="A199" s="234"/>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spans="1:26" ht="15.75" customHeight="1">
      <c r="A200" s="234"/>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spans="1:26" ht="15.75" customHeight="1">
      <c r="A201" s="234"/>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spans="1:26" ht="15.75" customHeight="1">
      <c r="A202" s="234"/>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spans="1:26" ht="15.75" customHeight="1">
      <c r="A203" s="234"/>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spans="1:26" ht="15.75" customHeight="1">
      <c r="A204" s="234"/>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spans="1:26" ht="15.75" customHeight="1">
      <c r="A205" s="234"/>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spans="1:26" ht="15.75" customHeight="1">
      <c r="A206" s="234"/>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spans="1:26" ht="15.75" customHeight="1">
      <c r="A207" s="234"/>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spans="1:26" ht="15.75" customHeight="1">
      <c r="A208" s="234"/>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spans="1:26" ht="15.75" customHeight="1">
      <c r="A209" s="234"/>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spans="1:26" ht="15.75" customHeight="1">
      <c r="A210" s="234"/>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spans="1:26" ht="15.75" customHeight="1">
      <c r="A211" s="234"/>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spans="1:26" ht="15.75" customHeight="1">
      <c r="A212" s="234"/>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spans="1:26" ht="15.75" customHeight="1">
      <c r="A213" s="234"/>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spans="1:26" ht="15.75" customHeight="1">
      <c r="A214" s="234"/>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spans="1:26" ht="15.75" customHeight="1">
      <c r="A215" s="234"/>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spans="1:26" ht="15.75" customHeight="1">
      <c r="A216" s="234"/>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spans="1:26" ht="15.75" customHeight="1">
      <c r="A217" s="234"/>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spans="1:26" ht="15.75" customHeight="1">
      <c r="A218" s="234"/>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spans="1:26" ht="15.75" customHeight="1">
      <c r="A219" s="234"/>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spans="1:26" ht="15.75" customHeight="1">
      <c r="A220" s="234"/>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spans="1:26" ht="15.75" customHeight="1">
      <c r="A221" s="234"/>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spans="1:26" ht="15.75" customHeight="1">
      <c r="A222" s="234"/>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spans="1:26" ht="15.75" customHeight="1">
      <c r="A223" s="234"/>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spans="1:26" ht="15.75" customHeight="1">
      <c r="A224" s="234"/>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spans="1:26" ht="15.75" customHeight="1">
      <c r="A225" s="234"/>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spans="1:26" ht="15.75" customHeight="1">
      <c r="A226" s="234"/>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spans="1:26" ht="15.75" customHeight="1">
      <c r="A227" s="234"/>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spans="1:26" ht="15.75" customHeight="1">
      <c r="A228" s="234"/>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spans="1:26" ht="15.75" customHeight="1">
      <c r="A229" s="234"/>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spans="1:26" ht="15.75" customHeight="1">
      <c r="A230" s="234"/>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spans="1:26" ht="15.75" customHeight="1">
      <c r="A231" s="234"/>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spans="1:26" ht="15.75" customHeight="1">
      <c r="A232" s="234"/>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spans="1:26" ht="15.75" customHeight="1">
      <c r="A233" s="234"/>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spans="1:26" ht="15.75" customHeight="1">
      <c r="A234" s="234"/>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spans="1:26" ht="15.75" customHeight="1">
      <c r="A235" s="234"/>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spans="1:26" ht="15.75" customHeight="1">
      <c r="A236" s="234"/>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spans="1:26" ht="15.75" customHeight="1">
      <c r="A237" s="234"/>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spans="1:26" ht="15.75" customHeight="1">
      <c r="A238" s="234"/>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spans="1:26" ht="15.75" customHeight="1">
      <c r="A239" s="234"/>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spans="1:26" ht="15.75" customHeight="1">
      <c r="A240" s="234"/>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spans="1:26" ht="15.75" customHeight="1">
      <c r="A241" s="234"/>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spans="1:26" ht="15.75" customHeight="1">
      <c r="A242" s="234"/>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spans="1:26" ht="15.75" customHeight="1">
      <c r="A243" s="234"/>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spans="1:26" ht="15.75" customHeight="1">
      <c r="A244" s="234"/>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spans="1:26" ht="15.75" customHeight="1">
      <c r="A245" s="234"/>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spans="1:26" ht="15.75" customHeight="1">
      <c r="A246" s="234"/>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spans="1:26" ht="15.75" customHeight="1">
      <c r="A247" s="234"/>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spans="1:26" ht="15.75" customHeight="1">
      <c r="A248" s="234"/>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spans="1:26" ht="15.75" customHeight="1">
      <c r="A249" s="234"/>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spans="1:26" ht="15.75" customHeight="1">
      <c r="A250" s="234"/>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spans="1:26" ht="15.75" customHeight="1">
      <c r="A251" s="234"/>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spans="1:26" ht="15.75" customHeight="1">
      <c r="A252" s="234"/>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spans="1:26" ht="15.75" customHeight="1">
      <c r="A253" s="234"/>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spans="1:26" ht="15.75" customHeight="1">
      <c r="A254" s="234"/>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spans="1:26" ht="15.75" customHeight="1">
      <c r="A255" s="234"/>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spans="1:26" ht="15.75" customHeight="1">
      <c r="A256" s="234"/>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spans="1:26" ht="15.75" customHeight="1">
      <c r="A257" s="234"/>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spans="1:26" ht="15.75" customHeight="1">
      <c r="A258" s="234"/>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spans="1:26" ht="15.75" customHeight="1">
      <c r="A259" s="234"/>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spans="1:26" ht="15.75" customHeight="1">
      <c r="A260" s="234"/>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spans="1:26" ht="15.75" customHeight="1">
      <c r="A261" s="234"/>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spans="1:26" ht="15.75" customHeight="1">
      <c r="A262" s="234"/>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spans="1:26" ht="15.75" customHeight="1">
      <c r="A263" s="234"/>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spans="1:26" ht="15.75" customHeight="1">
      <c r="A264" s="234"/>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spans="1:26" ht="15.75" customHeight="1">
      <c r="A265" s="234"/>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spans="1:26" ht="15.75" customHeight="1">
      <c r="A266" s="234"/>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spans="1:26" ht="15.75" customHeight="1">
      <c r="A267" s="234"/>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spans="1:26" ht="15.75" customHeight="1">
      <c r="A268" s="234"/>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spans="1:26" ht="15.75" customHeight="1">
      <c r="A269" s="234"/>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spans="1:26" ht="15.75" customHeight="1">
      <c r="A270" s="234"/>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spans="1:26" ht="15.75" customHeight="1">
      <c r="A271" s="234"/>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spans="1:26" ht="15.75" customHeight="1">
      <c r="A272" s="234"/>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spans="1:26" ht="15.75" customHeight="1">
      <c r="A273" s="234"/>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spans="1:26" ht="15.75" customHeight="1">
      <c r="A274" s="234"/>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spans="1:26" ht="15.75" customHeight="1">
      <c r="A275" s="234"/>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spans="1:26" ht="15.75" customHeight="1">
      <c r="A276" s="234"/>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spans="1:26" ht="15.75" customHeight="1">
      <c r="A277" s="234"/>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spans="1:26" ht="15.75" customHeight="1">
      <c r="A278" s="234"/>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spans="1:26" ht="15.75" customHeight="1">
      <c r="A279" s="234"/>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spans="1:26" ht="15.75" customHeight="1">
      <c r="A280" s="234"/>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spans="1:26" ht="15.75" customHeight="1">
      <c r="A281" s="234"/>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spans="1:26" ht="15.75" customHeight="1">
      <c r="A282" s="234"/>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spans="1:26" ht="15.75" customHeight="1">
      <c r="A283" s="234"/>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spans="1:26" ht="15.75" customHeight="1">
      <c r="A284" s="234"/>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spans="1:26" ht="15.75" customHeight="1">
      <c r="A285" s="234"/>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spans="1:26" ht="15.75" customHeight="1">
      <c r="A286" s="234"/>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spans="1:26" ht="15.75" customHeight="1">
      <c r="A287" s="234"/>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spans="1:26" ht="15.75" customHeight="1">
      <c r="A288" s="234"/>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spans="1:26" ht="15.75" customHeight="1">
      <c r="A289" s="234"/>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spans="1:26" ht="15.75" customHeight="1">
      <c r="A290" s="234"/>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spans="1:26" ht="15.75" customHeight="1">
      <c r="A291" s="234"/>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spans="1:26" ht="15.75" customHeight="1">
      <c r="A292" s="234"/>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spans="1:26" ht="15.75" customHeight="1">
      <c r="A293" s="234"/>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spans="1:26" ht="15.75" customHeight="1">
      <c r="A294" s="234"/>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spans="1:26" ht="15.75" customHeight="1">
      <c r="A295" s="234"/>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spans="1:26" ht="15.75" customHeight="1">
      <c r="A296" s="234"/>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spans="1:26" ht="15.75" customHeight="1">
      <c r="A297" s="234"/>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spans="1:26" ht="15.75" customHeight="1">
      <c r="A298" s="234"/>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spans="1:26" ht="15.75" customHeight="1">
      <c r="A299" s="234"/>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spans="1:26" ht="15.75" customHeight="1">
      <c r="A300" s="234"/>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spans="1:26" ht="15.75" customHeight="1">
      <c r="A301" s="234"/>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spans="1:26" ht="15.75" customHeight="1">
      <c r="A302" s="234"/>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spans="1:26" ht="15.75" customHeight="1">
      <c r="A303" s="234"/>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spans="1:26" ht="15.75" customHeight="1">
      <c r="A304" s="234"/>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spans="1:26" ht="15.75" customHeight="1">
      <c r="A305" s="234"/>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spans="1:26" ht="15.75" customHeight="1"/>
    <row r="307" spans="1:26" ht="15.75" customHeight="1"/>
    <row r="308" spans="1:26" ht="15.75" customHeight="1"/>
    <row r="309" spans="1:26" ht="15.75" customHeight="1"/>
    <row r="310" spans="1:26" ht="15.75" customHeight="1"/>
    <row r="311" spans="1:26" ht="15.75" customHeight="1"/>
    <row r="312" spans="1:26" ht="15.75" customHeight="1"/>
    <row r="313" spans="1:26" ht="15.75" customHeight="1"/>
    <row r="314" spans="1:26" ht="15.75" customHeight="1"/>
    <row r="315" spans="1:26" ht="15.75" customHeight="1"/>
    <row r="316" spans="1:26" ht="15.75" customHeight="1"/>
    <row r="317" spans="1:26" ht="15.75" customHeight="1"/>
    <row r="318" spans="1:26" ht="15.75" customHeight="1"/>
    <row r="319" spans="1:26" ht="15.75" customHeight="1"/>
    <row r="320" spans="1:26"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8:E105" xr:uid="{00000000-0009-0000-0000-000011000000}">
    <filterColumn colId="0">
      <filters>
        <filter val="Engineering/Construction"/>
      </filters>
    </filterColumn>
  </autoFilter>
  <mergeCells count="8">
    <mergeCell ref="B5:G5"/>
    <mergeCell ref="B6:G6"/>
    <mergeCell ref="B7:G7"/>
    <mergeCell ref="B1:G1"/>
    <mergeCell ref="B2:G2"/>
    <mergeCell ref="B3:E3"/>
    <mergeCell ref="F3:G3"/>
    <mergeCell ref="B4:G4"/>
  </mergeCells>
  <hyperlinks>
    <hyperlink ref="B2" r:id="rId1" xr:uid="{00000000-0004-0000-1100-000000000000}"/>
    <hyperlink ref="B4" r:id="rId2" xr:uid="{00000000-0004-0000-1100-000001000000}"/>
    <hyperlink ref="B5" r:id="rId3" xr:uid="{00000000-0004-0000-1100-000002000000}"/>
    <hyperlink ref="B6" r:id="rId4" xr:uid="{00000000-0004-0000-1100-000003000000}"/>
    <hyperlink ref="B7" r:id="rId5" xr:uid="{00000000-0004-0000-1100-000004000000}"/>
  </hyperlinks>
  <pageMargins left="0.75" right="0.75" top="1" bottom="1" header="0" footer="0"/>
  <pageSetup orientation="portrai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2A2EA0"/>
  </sheetPr>
  <dimension ref="A1:N1000"/>
  <sheetViews>
    <sheetView showGridLines="0" workbookViewId="0"/>
  </sheetViews>
  <sheetFormatPr baseColWidth="10" defaultColWidth="14.44140625" defaultRowHeight="15" customHeight="1"/>
  <cols>
    <col min="1" max="1" width="10.6640625" customWidth="1"/>
    <col min="2" max="2" width="22.33203125" customWidth="1"/>
    <col min="3" max="3" width="10.6640625" customWidth="1"/>
    <col min="4" max="4" width="12.6640625" hidden="1" customWidth="1"/>
    <col min="5" max="5" width="15.88671875" customWidth="1"/>
    <col min="6" max="6" width="12.6640625" customWidth="1"/>
    <col min="7" max="7" width="10.6640625" customWidth="1"/>
    <col min="8" max="8" width="12.6640625" customWidth="1"/>
    <col min="9" max="9" width="12.33203125" customWidth="1"/>
    <col min="10" max="10" width="11.44140625" customWidth="1"/>
    <col min="11" max="14" width="10.6640625" customWidth="1"/>
  </cols>
  <sheetData>
    <row r="1" spans="2:12" ht="14.4">
      <c r="B1" s="1380" t="s">
        <v>567</v>
      </c>
      <c r="C1" s="1334"/>
      <c r="D1" s="1334"/>
      <c r="E1" s="1334"/>
      <c r="F1" s="1334"/>
      <c r="G1" s="1334"/>
      <c r="H1" s="1334"/>
      <c r="I1" s="1334"/>
      <c r="J1" s="1"/>
      <c r="K1" s="1"/>
      <c r="L1" s="1"/>
    </row>
    <row r="3" spans="2:12" ht="14.4">
      <c r="B3" s="129" t="s">
        <v>568</v>
      </c>
      <c r="C3" s="129"/>
      <c r="D3" s="129"/>
      <c r="E3" s="129"/>
      <c r="F3" s="129"/>
      <c r="G3" s="129"/>
      <c r="H3" s="129"/>
      <c r="I3" s="129"/>
      <c r="J3" s="129"/>
      <c r="K3" s="1"/>
      <c r="L3" s="1"/>
    </row>
    <row r="4" spans="2:12" ht="14.4">
      <c r="B4" s="129" t="s">
        <v>0</v>
      </c>
      <c r="C4" s="129"/>
      <c r="D4" s="1034" t="s">
        <v>569</v>
      </c>
      <c r="E4" s="127">
        <v>2019</v>
      </c>
      <c r="F4" s="127">
        <f>+E4+1</f>
        <v>2020</v>
      </c>
      <c r="G4" s="127">
        <f>+F4+1</f>
        <v>2021</v>
      </c>
      <c r="H4" s="127">
        <f>+G4+1</f>
        <v>2022</v>
      </c>
      <c r="I4" s="127">
        <f>+H4+1</f>
        <v>2023</v>
      </c>
      <c r="J4" s="127">
        <f>+I4+1</f>
        <v>2024</v>
      </c>
      <c r="K4" s="127"/>
      <c r="L4" s="1"/>
    </row>
    <row r="5" spans="2:12" ht="14.4">
      <c r="B5" s="35" t="s">
        <v>373</v>
      </c>
      <c r="C5" s="35"/>
      <c r="D5" s="1035" t="e">
        <f>+#REF!</f>
        <v>#REF!</v>
      </c>
      <c r="E5" s="1035">
        <f>+'1. Datos'!D8</f>
        <v>0</v>
      </c>
      <c r="F5" s="1035">
        <f>+'1. Datos'!E8</f>
        <v>0</v>
      </c>
      <c r="G5" s="1035">
        <f>+'1. Datos'!F8</f>
        <v>0</v>
      </c>
      <c r="H5" s="1035">
        <f>+'1. Datos'!G8</f>
        <v>0</v>
      </c>
      <c r="I5" s="1035">
        <f>+'1. Datos'!H8</f>
        <v>0</v>
      </c>
      <c r="J5" s="1035">
        <f>+'1. Datos'!I8</f>
        <v>0</v>
      </c>
      <c r="K5" s="1035"/>
      <c r="L5" s="1035"/>
    </row>
    <row r="6" spans="2:12" ht="14.4">
      <c r="B6" s="35" t="s">
        <v>570</v>
      </c>
      <c r="C6" s="35"/>
      <c r="D6" s="1035" t="e">
        <f>+#REF!</f>
        <v>#REF!</v>
      </c>
      <c r="E6" s="1035">
        <f>+'1. Datos'!D30</f>
        <v>0</v>
      </c>
      <c r="F6" s="1035">
        <f>+'1. Datos'!E30</f>
        <v>0</v>
      </c>
      <c r="G6" s="1035">
        <f>+'1. Datos'!F30</f>
        <v>0</v>
      </c>
      <c r="H6" s="1035">
        <f>+'1. Datos'!G30</f>
        <v>0</v>
      </c>
      <c r="I6" s="1035">
        <f>+'1. Datos'!H30</f>
        <v>0</v>
      </c>
      <c r="J6" s="1035">
        <f>+'1. Datos'!I30</f>
        <v>0</v>
      </c>
      <c r="K6" s="1035"/>
      <c r="L6" s="1"/>
    </row>
    <row r="7" spans="2:12" ht="14.4">
      <c r="B7" s="35" t="s">
        <v>341</v>
      </c>
      <c r="C7" s="35"/>
      <c r="D7" s="1035" t="e">
        <f>+#REF!</f>
        <v>#REF!</v>
      </c>
      <c r="E7" s="1035">
        <f>+'1. Datos'!D95</f>
        <v>0</v>
      </c>
      <c r="F7" s="1035">
        <f>+'1. Datos'!E95</f>
        <v>0</v>
      </c>
      <c r="G7" s="1035">
        <f>+'1. Datos'!F95</f>
        <v>0</v>
      </c>
      <c r="H7" s="1035">
        <f>+'1. Datos'!G95</f>
        <v>0</v>
      </c>
      <c r="I7" s="1035">
        <f>+'1. Datos'!H95</f>
        <v>0</v>
      </c>
      <c r="J7" s="1035">
        <f>+'1. Datos'!I95</f>
        <v>0</v>
      </c>
      <c r="K7" s="1035"/>
      <c r="L7" s="1"/>
    </row>
    <row r="8" spans="2:12" ht="14.4">
      <c r="B8" s="35" t="s">
        <v>352</v>
      </c>
      <c r="C8" s="35"/>
      <c r="D8" s="1035" t="e">
        <f>+#REF!</f>
        <v>#REF!</v>
      </c>
      <c r="E8" s="1035">
        <f>+'1. Datos'!D123</f>
        <v>0</v>
      </c>
      <c r="F8" s="1035">
        <f>+'1. Datos'!E123</f>
        <v>0</v>
      </c>
      <c r="G8" s="1035">
        <f>+'1. Datos'!F123</f>
        <v>0</v>
      </c>
      <c r="H8" s="1035">
        <f>+'1. Datos'!G123</f>
        <v>0</v>
      </c>
      <c r="I8" s="1035">
        <f>+'1. Datos'!H123</f>
        <v>0</v>
      </c>
      <c r="J8" s="1035">
        <f>+'1. Datos'!I123</f>
        <v>0</v>
      </c>
      <c r="K8" s="1035"/>
      <c r="L8" s="1"/>
    </row>
    <row r="9" spans="2:12" ht="14.4">
      <c r="B9" s="35" t="s">
        <v>571</v>
      </c>
      <c r="C9" s="35"/>
      <c r="D9" s="1035" t="e">
        <f>+#REF!</f>
        <v>#REF!</v>
      </c>
      <c r="E9" s="1035">
        <f>+'1. Datos'!D135</f>
        <v>0</v>
      </c>
      <c r="F9" s="1035">
        <f>+'1. Datos'!E135</f>
        <v>0</v>
      </c>
      <c r="G9" s="1035">
        <f>+'1. Datos'!F135</f>
        <v>0</v>
      </c>
      <c r="H9" s="1035">
        <f>+'1. Datos'!G135</f>
        <v>0</v>
      </c>
      <c r="I9" s="1035">
        <f>+'1. Datos'!H135</f>
        <v>0</v>
      </c>
      <c r="J9" s="1035">
        <f>+'1. Datos'!I135</f>
        <v>0</v>
      </c>
      <c r="K9" s="1035"/>
      <c r="L9" s="1"/>
    </row>
    <row r="10" spans="2:12" ht="14.4">
      <c r="B10" s="35" t="s">
        <v>572</v>
      </c>
      <c r="C10" s="35"/>
      <c r="D10" s="1035" t="e">
        <f>+#REF!</f>
        <v>#REF!</v>
      </c>
      <c r="E10" s="1035">
        <f>+'1. Datos'!D44</f>
        <v>0</v>
      </c>
      <c r="F10" s="1035">
        <f>+'1. Datos'!E44</f>
        <v>6046273</v>
      </c>
      <c r="G10" s="1035">
        <f>+'1. Datos'!F44</f>
        <v>0</v>
      </c>
      <c r="H10" s="1035">
        <f>+'1. Datos'!G44</f>
        <v>0</v>
      </c>
      <c r="I10" s="1035">
        <f>+'1. Datos'!H44</f>
        <v>0</v>
      </c>
      <c r="J10" s="1035">
        <f>+'1. Datos'!I44</f>
        <v>0</v>
      </c>
      <c r="K10" s="1035"/>
      <c r="L10" s="1"/>
    </row>
    <row r="11" spans="2:12" ht="14.4">
      <c r="B11" s="35" t="s">
        <v>573</v>
      </c>
      <c r="C11" s="35"/>
      <c r="D11" s="1035" t="e">
        <f>+#REF!</f>
        <v>#REF!</v>
      </c>
      <c r="E11" s="1035">
        <f>+'1. Datos'!D104</f>
        <v>0</v>
      </c>
      <c r="F11" s="1035">
        <f>+'1. Datos'!E104</f>
        <v>0</v>
      </c>
      <c r="G11" s="1035">
        <f>+'1. Datos'!F104</f>
        <v>0</v>
      </c>
      <c r="H11" s="1035">
        <f>+'1. Datos'!G104</f>
        <v>0</v>
      </c>
      <c r="I11" s="1035">
        <f>+'1. Datos'!H104</f>
        <v>0</v>
      </c>
      <c r="J11" s="1035">
        <f>+'1. Datos'!I104</f>
        <v>0</v>
      </c>
      <c r="K11" s="1035"/>
      <c r="L11" s="1"/>
    </row>
    <row r="12" spans="2:12" ht="14.4">
      <c r="B12" s="35" t="s">
        <v>574</v>
      </c>
      <c r="C12" s="35"/>
      <c r="D12" s="1035" t="e">
        <f>+#REF!</f>
        <v>#REF!</v>
      </c>
      <c r="E12" s="1035">
        <f>+'1. Datos'!D95</f>
        <v>0</v>
      </c>
      <c r="F12" s="1035">
        <f>+'1. Datos'!E95</f>
        <v>0</v>
      </c>
      <c r="G12" s="1035">
        <f>+'1. Datos'!F95</f>
        <v>0</v>
      </c>
      <c r="H12" s="1035">
        <f>+'1. Datos'!G95</f>
        <v>0</v>
      </c>
      <c r="I12" s="1035">
        <f>+'1. Datos'!H95</f>
        <v>0</v>
      </c>
      <c r="J12" s="1035">
        <f>+'1. Datos'!I95</f>
        <v>0</v>
      </c>
      <c r="K12" s="1035"/>
      <c r="L12" s="1"/>
    </row>
    <row r="13" spans="2:12" ht="14.4">
      <c r="B13" s="35" t="s">
        <v>575</v>
      </c>
      <c r="C13" s="35"/>
      <c r="D13" s="1035" t="e">
        <f>+#REF!</f>
        <v>#REF!</v>
      </c>
      <c r="E13" s="1035">
        <f>+'1. Datos'!D119</f>
        <v>0</v>
      </c>
      <c r="F13" s="1035">
        <f>+'1. Datos'!E119</f>
        <v>0</v>
      </c>
      <c r="G13" s="1035">
        <f>+'1. Datos'!F119</f>
        <v>0</v>
      </c>
      <c r="H13" s="1035">
        <f>+'1. Datos'!G119</f>
        <v>0</v>
      </c>
      <c r="I13" s="1035">
        <f>+'1. Datos'!H119</f>
        <v>0</v>
      </c>
      <c r="J13" s="1035">
        <f>+'1. Datos'!I119</f>
        <v>0</v>
      </c>
      <c r="K13" s="1035"/>
      <c r="L13" s="1"/>
    </row>
    <row r="14" spans="2:12" ht="14.4">
      <c r="B14" s="35" t="s">
        <v>576</v>
      </c>
      <c r="C14" s="35"/>
      <c r="D14" s="1035" t="e">
        <f>+#REF!</f>
        <v>#REF!</v>
      </c>
      <c r="E14" s="1035">
        <f>+'1. Datos'!D123</f>
        <v>0</v>
      </c>
      <c r="F14" s="1035">
        <f>+'1. Datos'!E123</f>
        <v>0</v>
      </c>
      <c r="G14" s="1035">
        <f>+'1. Datos'!F123</f>
        <v>0</v>
      </c>
      <c r="H14" s="1035">
        <f>+'1. Datos'!G123</f>
        <v>0</v>
      </c>
      <c r="I14" s="1035">
        <f>+'1. Datos'!H123</f>
        <v>0</v>
      </c>
      <c r="J14" s="1035">
        <f>+'1. Datos'!I123</f>
        <v>0</v>
      </c>
      <c r="K14" s="1035"/>
      <c r="L14" s="1"/>
    </row>
    <row r="15" spans="2:12" ht="14.4">
      <c r="B15" s="35" t="s">
        <v>577</v>
      </c>
      <c r="C15" s="35"/>
      <c r="D15" s="1035" t="e">
        <f>+#REF!</f>
        <v>#REF!</v>
      </c>
      <c r="E15" s="1035">
        <f>+'1. Datos'!D125</f>
        <v>0</v>
      </c>
      <c r="F15" s="1035">
        <f>+'1. Datos'!E125</f>
        <v>0</v>
      </c>
      <c r="G15" s="1035">
        <f>+'1. Datos'!F125</f>
        <v>0</v>
      </c>
      <c r="H15" s="1035">
        <f>+'1. Datos'!G125</f>
        <v>0</v>
      </c>
      <c r="I15" s="1035">
        <f>+'1. Datos'!H125</f>
        <v>0</v>
      </c>
      <c r="J15" s="1035">
        <f>+'1. Datos'!I125</f>
        <v>0</v>
      </c>
      <c r="K15" s="1035"/>
      <c r="L15" s="1"/>
    </row>
    <row r="16" spans="2:12" ht="14.4">
      <c r="B16" s="35" t="s">
        <v>578</v>
      </c>
      <c r="C16" s="35"/>
      <c r="D16" s="1035" t="e">
        <f>+#REF!</f>
        <v>#REF!</v>
      </c>
      <c r="E16" s="1035">
        <f>+'1. Datos'!D9</f>
        <v>0</v>
      </c>
      <c r="F16" s="1035">
        <f>+'1. Datos'!E9</f>
        <v>0</v>
      </c>
      <c r="G16" s="1035">
        <f>+'1. Datos'!F9</f>
        <v>0</v>
      </c>
      <c r="H16" s="1035">
        <f>+'1. Datos'!G9</f>
        <v>0</v>
      </c>
      <c r="I16" s="1035">
        <f>+'1. Datos'!H9</f>
        <v>0</v>
      </c>
      <c r="J16" s="1035">
        <f>+'1. Datos'!I9</f>
        <v>0</v>
      </c>
      <c r="K16" s="1035"/>
      <c r="L16" s="1"/>
    </row>
    <row r="17" spans="1:12" ht="14.4">
      <c r="A17" s="1"/>
      <c r="B17" s="35" t="s">
        <v>579</v>
      </c>
      <c r="C17" s="35"/>
      <c r="D17" s="1035" t="e">
        <f>+#REF!</f>
        <v>#REF!</v>
      </c>
      <c r="E17" s="1035">
        <f>+'1. Datos'!D47</f>
        <v>0</v>
      </c>
      <c r="F17" s="1035">
        <f>+'1. Datos'!E47</f>
        <v>0</v>
      </c>
      <c r="G17" s="1035">
        <f>+'1. Datos'!F47</f>
        <v>0</v>
      </c>
      <c r="H17" s="1035">
        <f>+'1. Datos'!G47</f>
        <v>0</v>
      </c>
      <c r="I17" s="1035">
        <f>+'1. Datos'!H47</f>
        <v>0</v>
      </c>
      <c r="J17" s="1035">
        <f>+'1. Datos'!I47</f>
        <v>0</v>
      </c>
      <c r="K17" s="1035"/>
      <c r="L17" s="1"/>
    </row>
    <row r="18" spans="1:12" ht="14.4">
      <c r="A18" s="1"/>
      <c r="B18" s="35" t="s">
        <v>580</v>
      </c>
      <c r="C18" s="35"/>
      <c r="D18" s="1035" t="e">
        <f>+#REF!</f>
        <v>#REF!</v>
      </c>
      <c r="E18" s="1035">
        <f>+'1. Datos'!D104</f>
        <v>0</v>
      </c>
      <c r="F18" s="1035">
        <f>+'1. Datos'!E104</f>
        <v>0</v>
      </c>
      <c r="G18" s="1035">
        <f>+'1. Datos'!F104</f>
        <v>0</v>
      </c>
      <c r="H18" s="1035">
        <f>+'1. Datos'!G104</f>
        <v>0</v>
      </c>
      <c r="I18" s="1035">
        <f>+'1. Datos'!H104</f>
        <v>0</v>
      </c>
      <c r="J18" s="1035">
        <f>+'1. Datos'!I104</f>
        <v>0</v>
      </c>
      <c r="K18" s="1035"/>
      <c r="L18" s="1"/>
    </row>
    <row r="19" spans="1:12" ht="14.4">
      <c r="A19" s="1"/>
      <c r="B19" s="35" t="s">
        <v>581</v>
      </c>
      <c r="C19" s="35"/>
      <c r="D19" s="1035" t="e">
        <f>+#REF!</f>
        <v>#REF!</v>
      </c>
      <c r="E19" s="1035">
        <f>+'1. Datos'!D10</f>
        <v>0</v>
      </c>
      <c r="F19" s="1035">
        <f>+'1. Datos'!E10</f>
        <v>0</v>
      </c>
      <c r="G19" s="1035">
        <f>+'1. Datos'!F10</f>
        <v>0</v>
      </c>
      <c r="H19" s="1035">
        <f>+'1. Datos'!G10</f>
        <v>0</v>
      </c>
      <c r="I19" s="1035">
        <f>+'1. Datos'!H10</f>
        <v>0</v>
      </c>
      <c r="J19" s="1035">
        <f>+'1. Datos'!I10</f>
        <v>0</v>
      </c>
      <c r="K19" s="1035"/>
      <c r="L19" s="1"/>
    </row>
    <row r="20" spans="1:12" ht="14.4">
      <c r="A20" s="1"/>
      <c r="B20" s="35" t="s">
        <v>582</v>
      </c>
      <c r="C20" s="35"/>
      <c r="D20" s="1035" t="e">
        <f>+#REF!</f>
        <v>#REF!</v>
      </c>
      <c r="E20" s="1035">
        <f>+'1. Datos'!D15</f>
        <v>0</v>
      </c>
      <c r="F20" s="1035">
        <f>+'1. Datos'!E15</f>
        <v>0</v>
      </c>
      <c r="G20" s="1035">
        <f>+'1. Datos'!F15</f>
        <v>0</v>
      </c>
      <c r="H20" s="1035">
        <f>+'1. Datos'!G15</f>
        <v>0</v>
      </c>
      <c r="I20" s="1035">
        <f>+'1. Datos'!H15</f>
        <v>0</v>
      </c>
      <c r="J20" s="1035">
        <f>+'1. Datos'!I15</f>
        <v>0</v>
      </c>
      <c r="K20" s="1035"/>
      <c r="L20" s="1"/>
    </row>
    <row r="21" spans="1:12" ht="15.75" customHeight="1">
      <c r="A21" s="1"/>
      <c r="B21" s="35" t="s">
        <v>287</v>
      </c>
      <c r="C21" s="35"/>
      <c r="D21" s="1035" t="e">
        <f>+#REF!</f>
        <v>#REF!</v>
      </c>
      <c r="E21" s="1035">
        <f>+'1. Datos'!D57</f>
        <v>0</v>
      </c>
      <c r="F21" s="1035">
        <f>+'1. Datos'!E57</f>
        <v>0</v>
      </c>
      <c r="G21" s="1035">
        <f>+'1. Datos'!F57</f>
        <v>0</v>
      </c>
      <c r="H21" s="1035">
        <f>+'1. Datos'!G57</f>
        <v>0</v>
      </c>
      <c r="I21" s="1035">
        <f>+'1. Datos'!H57</f>
        <v>0</v>
      </c>
      <c r="J21" s="1035">
        <f>+'1. Datos'!I57</f>
        <v>0</v>
      </c>
      <c r="K21" s="1035"/>
      <c r="L21" s="1"/>
    </row>
    <row r="22" spans="1:12" ht="15.75" customHeight="1">
      <c r="A22" s="1"/>
      <c r="B22" s="35" t="s">
        <v>583</v>
      </c>
      <c r="C22" s="35"/>
      <c r="D22" s="1035" t="e">
        <f>+#REF!</f>
        <v>#REF!</v>
      </c>
      <c r="E22" s="1035">
        <f>+'1. Datos'!D44</f>
        <v>0</v>
      </c>
      <c r="F22" s="1035">
        <f>+'1. Datos'!E44</f>
        <v>6046273</v>
      </c>
      <c r="G22" s="1035">
        <f>+'1. Datos'!F44</f>
        <v>0</v>
      </c>
      <c r="H22" s="1035">
        <f>+'1. Datos'!G44</f>
        <v>0</v>
      </c>
      <c r="I22" s="1035">
        <f>+'1. Datos'!H44</f>
        <v>0</v>
      </c>
      <c r="J22" s="1035">
        <f>+'1. Datos'!I44</f>
        <v>0</v>
      </c>
      <c r="K22" s="1035"/>
      <c r="L22" s="1"/>
    </row>
    <row r="23" spans="1:12" ht="15.75" customHeight="1">
      <c r="A23" s="1"/>
      <c r="B23" s="35" t="s">
        <v>584</v>
      </c>
      <c r="C23" s="128"/>
      <c r="D23" s="1035" t="e">
        <f>+#REF!</f>
        <v>#REF!</v>
      </c>
      <c r="E23" s="1035">
        <f>+'1. Datos'!D20</f>
        <v>0</v>
      </c>
      <c r="F23" s="1035">
        <f>+'1. Datos'!E20</f>
        <v>0</v>
      </c>
      <c r="G23" s="1035">
        <f>+'1. Datos'!F20</f>
        <v>0</v>
      </c>
      <c r="H23" s="1035">
        <f>+'1. Datos'!G20</f>
        <v>0</v>
      </c>
      <c r="I23" s="1035">
        <f>+'1. Datos'!H20</f>
        <v>0</v>
      </c>
      <c r="J23" s="1035">
        <f>+'1. Datos'!I20</f>
        <v>0</v>
      </c>
      <c r="K23" s="1035"/>
      <c r="L23" s="1"/>
    </row>
    <row r="24" spans="1:12" ht="15.75" customHeight="1">
      <c r="A24" s="1"/>
      <c r="B24" s="940" t="s">
        <v>375</v>
      </c>
      <c r="C24" s="128"/>
      <c r="D24" s="1035"/>
      <c r="E24" s="1035">
        <f>+E20</f>
        <v>0</v>
      </c>
      <c r="F24" s="1035">
        <f>+F20</f>
        <v>0</v>
      </c>
      <c r="G24" s="1035">
        <f>+G20</f>
        <v>0</v>
      </c>
      <c r="H24" s="1035">
        <f>+H20</f>
        <v>0</v>
      </c>
      <c r="I24" s="1035">
        <f>+I20</f>
        <v>0</v>
      </c>
      <c r="J24" s="1035">
        <f>+J20</f>
        <v>0</v>
      </c>
      <c r="K24" s="1035"/>
      <c r="L24" s="1"/>
    </row>
    <row r="25" spans="1:12" ht="15.75" customHeight="1">
      <c r="A25" s="1"/>
      <c r="B25" s="1"/>
      <c r="C25" s="1"/>
      <c r="D25" s="1036"/>
      <c r="E25" s="1036"/>
      <c r="F25" s="1036"/>
      <c r="G25" s="1036"/>
      <c r="H25" s="1036"/>
      <c r="I25" s="1"/>
      <c r="J25" s="1"/>
      <c r="K25" s="1"/>
      <c r="L25" s="1"/>
    </row>
    <row r="26" spans="1:12" ht="15.75" customHeight="1">
      <c r="A26" s="1"/>
      <c r="B26" s="73" t="s">
        <v>418</v>
      </c>
      <c r="C26" s="73"/>
      <c r="D26" s="39"/>
      <c r="E26" s="39" t="e">
        <f>+E6/E9</f>
        <v>#DIV/0!</v>
      </c>
      <c r="F26" s="39" t="e">
        <f>+F6/F9</f>
        <v>#DIV/0!</v>
      </c>
      <c r="G26" s="39" t="e">
        <f>+G6/G9</f>
        <v>#DIV/0!</v>
      </c>
      <c r="H26" s="39" t="e">
        <f>+H6/H9</f>
        <v>#DIV/0!</v>
      </c>
      <c r="I26" s="39" t="e">
        <f>+I6/I9</f>
        <v>#DIV/0!</v>
      </c>
      <c r="J26" s="39" t="e">
        <f>+J6/J9</f>
        <v>#DIV/0!</v>
      </c>
      <c r="K26" s="1037" t="e">
        <f>+K6/K9</f>
        <v>#DIV/0!</v>
      </c>
      <c r="L26" s="1" t="s">
        <v>585</v>
      </c>
    </row>
    <row r="27" spans="1:12" ht="15.75" customHeight="1">
      <c r="A27" s="127" t="s">
        <v>586</v>
      </c>
      <c r="B27" s="73" t="s">
        <v>587</v>
      </c>
      <c r="C27" s="73"/>
      <c r="D27" s="39"/>
      <c r="E27" s="39" t="e">
        <f>+E6/E7</f>
        <v>#DIV/0!</v>
      </c>
      <c r="F27" s="39" t="e">
        <f>+F6/F7</f>
        <v>#DIV/0!</v>
      </c>
      <c r="G27" s="39" t="e">
        <f>+G6/G7</f>
        <v>#DIV/0!</v>
      </c>
      <c r="H27" s="39" t="e">
        <f>+H6/H7</f>
        <v>#DIV/0!</v>
      </c>
      <c r="I27" s="39" t="e">
        <f>+I6/I7</f>
        <v>#DIV/0!</v>
      </c>
      <c r="J27" s="39" t="e">
        <f>+J6/J7</f>
        <v>#DIV/0!</v>
      </c>
      <c r="K27" s="1037" t="e">
        <f>+K6/K7</f>
        <v>#DIV/0!</v>
      </c>
      <c r="L27" s="1" t="s">
        <v>588</v>
      </c>
    </row>
    <row r="28" spans="1:12" ht="15.75" customHeight="1">
      <c r="A28" s="127" t="s">
        <v>589</v>
      </c>
      <c r="B28" s="73" t="s">
        <v>590</v>
      </c>
      <c r="C28" s="73"/>
      <c r="D28" s="54"/>
      <c r="E28" s="54" t="e">
        <f>+E7/E9</f>
        <v>#DIV/0!</v>
      </c>
      <c r="F28" s="54" t="e">
        <f>+F7/F9</f>
        <v>#DIV/0!</v>
      </c>
      <c r="G28" s="54" t="e">
        <f>+G7/G9</f>
        <v>#DIV/0!</v>
      </c>
      <c r="H28" s="54" t="e">
        <f>+H7/H9</f>
        <v>#DIV/0!</v>
      </c>
      <c r="I28" s="54" t="e">
        <f>+I7/I9</f>
        <v>#DIV/0!</v>
      </c>
      <c r="J28" s="54" t="e">
        <f>+J7/J9</f>
        <v>#DIV/0!</v>
      </c>
      <c r="K28" s="1038" t="e">
        <f>+K7/K9</f>
        <v>#DIV/0!</v>
      </c>
      <c r="L28" s="1" t="s">
        <v>591</v>
      </c>
    </row>
    <row r="29" spans="1:12" ht="15.75" customHeight="1">
      <c r="A29" s="1"/>
      <c r="B29" s="73"/>
      <c r="C29" s="73"/>
      <c r="D29" s="54"/>
      <c r="E29" s="54"/>
      <c r="F29" s="54"/>
      <c r="G29" s="54"/>
      <c r="H29" s="54"/>
      <c r="I29" s="1"/>
      <c r="J29" s="1"/>
      <c r="K29" s="887"/>
      <c r="L29" s="1"/>
    </row>
    <row r="30" spans="1:12" ht="15.75" customHeight="1">
      <c r="A30" s="1"/>
      <c r="B30" s="1"/>
      <c r="C30" s="1"/>
      <c r="D30" s="1"/>
      <c r="E30" s="1"/>
      <c r="F30" s="1"/>
      <c r="G30" s="1"/>
      <c r="H30" s="1"/>
      <c r="I30" s="127"/>
      <c r="J30" s="1"/>
      <c r="K30" s="887"/>
      <c r="L30" s="1"/>
    </row>
    <row r="31" spans="1:12" ht="15.75" customHeight="1">
      <c r="A31" s="1465" t="s">
        <v>586</v>
      </c>
      <c r="B31" s="1039" t="s">
        <v>592</v>
      </c>
      <c r="C31" s="73"/>
      <c r="D31" s="141"/>
      <c r="E31" s="141" t="e">
        <f>+E6/E5</f>
        <v>#DIV/0!</v>
      </c>
      <c r="F31" s="141" t="e">
        <f>+F6/F5</f>
        <v>#DIV/0!</v>
      </c>
      <c r="G31" s="141"/>
      <c r="H31" s="141" t="e">
        <f>+H6/H5</f>
        <v>#DIV/0!</v>
      </c>
      <c r="I31" s="141" t="e">
        <f>+I6/I5</f>
        <v>#DIV/0!</v>
      </c>
      <c r="J31" s="141" t="e">
        <f>+J6/J5</f>
        <v>#DIV/0!</v>
      </c>
      <c r="K31" s="1040" t="e">
        <f>+K6/K5</f>
        <v>#DIV/0!</v>
      </c>
      <c r="L31" s="1"/>
    </row>
    <row r="32" spans="1:12" ht="15.75" customHeight="1">
      <c r="A32" s="1466"/>
      <c r="B32" s="1041" t="s">
        <v>593</v>
      </c>
      <c r="C32" s="73"/>
      <c r="D32" s="141"/>
      <c r="E32" s="141" t="e">
        <f>+E5/E7</f>
        <v>#DIV/0!</v>
      </c>
      <c r="F32" s="141" t="e">
        <f>+F5/F7</f>
        <v>#DIV/0!</v>
      </c>
      <c r="G32" s="141" t="e">
        <f>+G5/G7</f>
        <v>#DIV/0!</v>
      </c>
      <c r="H32" s="141" t="e">
        <f>+H5/H7</f>
        <v>#DIV/0!</v>
      </c>
      <c r="I32" s="141" t="e">
        <f>+I5/I7</f>
        <v>#DIV/0!</v>
      </c>
      <c r="J32" s="141" t="e">
        <f>+J5/J7</f>
        <v>#DIV/0!</v>
      </c>
      <c r="K32" s="1040" t="e">
        <f>+K5/K7</f>
        <v>#DIV/0!</v>
      </c>
      <c r="L32" s="1"/>
    </row>
    <row r="33" spans="1:13" ht="15.75" customHeight="1">
      <c r="A33" s="1042" t="s">
        <v>589</v>
      </c>
      <c r="B33" s="1043" t="s">
        <v>590</v>
      </c>
      <c r="C33" s="73"/>
      <c r="D33" s="146"/>
      <c r="E33" s="146" t="e">
        <f>+E7/E9</f>
        <v>#DIV/0!</v>
      </c>
      <c r="F33" s="146" t="e">
        <f>+F7/F9</f>
        <v>#DIV/0!</v>
      </c>
      <c r="G33" s="146" t="e">
        <f>+G7/G9</f>
        <v>#DIV/0!</v>
      </c>
      <c r="H33" s="146" t="e">
        <f>+H7/H9</f>
        <v>#DIV/0!</v>
      </c>
      <c r="I33" s="146" t="e">
        <f>+I7/I9</f>
        <v>#DIV/0!</v>
      </c>
      <c r="J33" s="146" t="e">
        <f>+J7/J9</f>
        <v>#DIV/0!</v>
      </c>
      <c r="K33" s="886" t="e">
        <f>+K7/K9</f>
        <v>#DIV/0!</v>
      </c>
      <c r="L33" s="1"/>
      <c r="M33" s="1"/>
    </row>
    <row r="34" spans="1:13" ht="15.75" customHeight="1">
      <c r="A34" s="1"/>
      <c r="B34" s="1044" t="s">
        <v>594</v>
      </c>
      <c r="C34" s="1044"/>
      <c r="D34" s="141"/>
      <c r="E34" s="141" t="e">
        <f>+E31*E32*E33</f>
        <v>#DIV/0!</v>
      </c>
      <c r="F34" s="141" t="e">
        <f>+F31*F32*F33</f>
        <v>#DIV/0!</v>
      </c>
      <c r="G34" s="141" t="e">
        <f>+G31*G32*G33</f>
        <v>#DIV/0!</v>
      </c>
      <c r="H34" s="141" t="e">
        <f>+H31*H32*H33</f>
        <v>#DIV/0!</v>
      </c>
      <c r="I34" s="141" t="e">
        <f>+I31*I32*I33</f>
        <v>#DIV/0!</v>
      </c>
      <c r="J34" s="141" t="e">
        <f>+J31*J32*J33</f>
        <v>#DIV/0!</v>
      </c>
      <c r="K34" s="1040" t="e">
        <f>+K31*K32*K33</f>
        <v>#DIV/0!</v>
      </c>
      <c r="L34" s="1"/>
      <c r="M34" s="1"/>
    </row>
    <row r="35" spans="1:13" ht="15.75" customHeight="1">
      <c r="A35" s="1"/>
      <c r="B35" s="1045" t="s">
        <v>595</v>
      </c>
      <c r="C35" s="1045"/>
      <c r="D35" s="1046"/>
      <c r="E35" s="1046" t="e">
        <f>+E26-E34</f>
        <v>#DIV/0!</v>
      </c>
      <c r="F35" s="1046" t="e">
        <f>+F26-F34</f>
        <v>#DIV/0!</v>
      </c>
      <c r="G35" s="1046" t="e">
        <f>+G26-G34</f>
        <v>#DIV/0!</v>
      </c>
      <c r="H35" s="1046" t="e">
        <f>+H26-H34</f>
        <v>#DIV/0!</v>
      </c>
      <c r="I35" s="1046" t="e">
        <f>+I26-I34</f>
        <v>#DIV/0!</v>
      </c>
      <c r="J35" s="1046" t="e">
        <f>+J26-J34</f>
        <v>#DIV/0!</v>
      </c>
      <c r="K35" s="1"/>
      <c r="L35" s="1"/>
      <c r="M35" s="1"/>
    </row>
    <row r="36" spans="1:13" ht="15.75" customHeight="1">
      <c r="A36" s="1047"/>
      <c r="B36" s="1047"/>
      <c r="C36" s="1047"/>
      <c r="D36" s="1047"/>
      <c r="E36" s="1047"/>
      <c r="F36" s="1047"/>
      <c r="G36" s="1047"/>
      <c r="H36" s="1047"/>
      <c r="I36" s="1047"/>
      <c r="J36" s="1047"/>
      <c r="K36" s="1047"/>
      <c r="L36" s="1047"/>
      <c r="M36" s="1047"/>
    </row>
    <row r="37" spans="1:13" ht="15.75" customHeight="1">
      <c r="A37" s="1047"/>
      <c r="B37" s="1048" t="s">
        <v>596</v>
      </c>
      <c r="C37" s="1048" t="s">
        <v>597</v>
      </c>
      <c r="D37" s="1049" t="s">
        <v>1021</v>
      </c>
      <c r="E37" s="1049" t="s">
        <v>1022</v>
      </c>
      <c r="F37" s="1049" t="s">
        <v>1023</v>
      </c>
      <c r="G37" s="1049" t="s">
        <v>1024</v>
      </c>
      <c r="H37" s="1049" t="s">
        <v>1025</v>
      </c>
      <c r="I37" s="1049" t="s">
        <v>1026</v>
      </c>
      <c r="J37" s="1049" t="s">
        <v>1027</v>
      </c>
      <c r="K37" s="1050" t="s">
        <v>268</v>
      </c>
      <c r="L37" s="1047"/>
      <c r="M37" s="1047"/>
    </row>
    <row r="38" spans="1:13" ht="15.75" customHeight="1">
      <c r="A38" s="1047"/>
      <c r="B38" s="1051" t="s">
        <v>598</v>
      </c>
      <c r="C38" s="1051" t="s">
        <v>599</v>
      </c>
      <c r="D38" s="1052"/>
      <c r="E38" s="1052" t="e">
        <f>+E10/E11</f>
        <v>#DIV/0!</v>
      </c>
      <c r="F38" s="1052" t="e">
        <f>+F10/F11</f>
        <v>#DIV/0!</v>
      </c>
      <c r="G38" s="1052" t="e">
        <f>+G10/G11</f>
        <v>#DIV/0!</v>
      </c>
      <c r="H38" s="1052" t="e">
        <f>+H10/H11</f>
        <v>#DIV/0!</v>
      </c>
      <c r="I38" s="1052" t="e">
        <f>+I10/I11</f>
        <v>#DIV/0!</v>
      </c>
      <c r="J38" s="1052" t="e">
        <f>+J10/J11</f>
        <v>#DIV/0!</v>
      </c>
      <c r="K38" s="1053" t="e">
        <f>+AVERAGE(G38:J38)</f>
        <v>#DIV/0!</v>
      </c>
      <c r="L38" s="1047"/>
      <c r="M38" s="1047"/>
    </row>
    <row r="39" spans="1:13" ht="23.25" customHeight="1">
      <c r="A39" s="1047"/>
      <c r="B39" s="1467" t="s">
        <v>600</v>
      </c>
      <c r="C39" s="1360"/>
      <c r="D39" s="1360"/>
      <c r="E39" s="1360"/>
      <c r="F39" s="1360"/>
      <c r="G39" s="1360"/>
      <c r="H39" s="1360"/>
      <c r="I39" s="1360"/>
      <c r="J39" s="1361"/>
      <c r="K39" s="1054"/>
      <c r="L39" s="1047"/>
      <c r="M39" s="1047"/>
    </row>
    <row r="40" spans="1:13" ht="11.25" customHeight="1">
      <c r="A40" s="1047"/>
      <c r="B40" s="1055"/>
      <c r="C40" s="1055"/>
      <c r="D40" s="1055"/>
      <c r="E40" s="1055"/>
      <c r="F40" s="1055"/>
      <c r="G40" s="1055"/>
      <c r="H40" s="1055"/>
      <c r="I40" s="1055"/>
      <c r="J40" s="557"/>
      <c r="K40" s="557"/>
      <c r="L40" s="1047"/>
      <c r="M40" s="1047"/>
    </row>
    <row r="41" spans="1:13" ht="15.75" customHeight="1">
      <c r="A41" s="1047"/>
      <c r="B41" s="1056" t="s">
        <v>601</v>
      </c>
      <c r="C41" s="1051" t="s">
        <v>602</v>
      </c>
      <c r="D41" s="1052"/>
      <c r="E41" s="1052" t="e">
        <f>+(E10-E21)/E11</f>
        <v>#DIV/0!</v>
      </c>
      <c r="F41" s="1052" t="e">
        <f>+(F10-F21)/F11</f>
        <v>#DIV/0!</v>
      </c>
      <c r="G41" s="1052" t="e">
        <f>+(G10-G21)/G11</f>
        <v>#DIV/0!</v>
      </c>
      <c r="H41" s="1052" t="e">
        <f>+(H10-H21)/H11</f>
        <v>#DIV/0!</v>
      </c>
      <c r="I41" s="1052" t="e">
        <f>+(I10-I21)/I11</f>
        <v>#DIV/0!</v>
      </c>
      <c r="J41" s="1052" t="e">
        <f>+(J10-J21)/J11</f>
        <v>#DIV/0!</v>
      </c>
      <c r="K41" s="557"/>
      <c r="L41" s="1047"/>
      <c r="M41" s="1047"/>
    </row>
    <row r="42" spans="1:13" ht="30" customHeight="1">
      <c r="A42" s="1047"/>
      <c r="B42" s="1467" t="s">
        <v>603</v>
      </c>
      <c r="C42" s="1360"/>
      <c r="D42" s="1360"/>
      <c r="E42" s="1360"/>
      <c r="F42" s="1360"/>
      <c r="G42" s="1360"/>
      <c r="H42" s="1360"/>
      <c r="I42" s="1360"/>
      <c r="J42" s="1361"/>
      <c r="K42" s="557"/>
      <c r="L42" s="1047"/>
      <c r="M42" s="1047"/>
    </row>
    <row r="43" spans="1:13" ht="15.75" customHeight="1">
      <c r="A43" s="1047"/>
      <c r="B43" s="1055"/>
      <c r="C43" s="1055"/>
      <c r="D43" s="1055"/>
      <c r="E43" s="1055"/>
      <c r="F43" s="1055"/>
      <c r="G43" s="1055"/>
      <c r="H43" s="1055"/>
      <c r="I43" s="1055"/>
      <c r="J43" s="557"/>
      <c r="K43" s="557"/>
      <c r="L43" s="1047"/>
      <c r="M43" s="1047"/>
    </row>
    <row r="44" spans="1:13" ht="15.75" customHeight="1">
      <c r="A44" s="1047"/>
      <c r="B44" s="1056" t="s">
        <v>604</v>
      </c>
      <c r="C44" s="1057" t="s">
        <v>605</v>
      </c>
      <c r="D44" s="1058"/>
      <c r="E44" s="1058" t="e">
        <f>+(E17*365)/E5</f>
        <v>#DIV/0!</v>
      </c>
      <c r="F44" s="1058" t="e">
        <f>+(F17*365)/F5</f>
        <v>#DIV/0!</v>
      </c>
      <c r="G44" s="1058" t="e">
        <f>+(G17*365)/G5</f>
        <v>#DIV/0!</v>
      </c>
      <c r="H44" s="1058" t="e">
        <f>+(H17*365)/H5</f>
        <v>#DIV/0!</v>
      </c>
      <c r="I44" s="1058" t="e">
        <f>+(I17*365)/I5</f>
        <v>#DIV/0!</v>
      </c>
      <c r="J44" s="1058" t="e">
        <f>+(J17*365)/J5</f>
        <v>#DIV/0!</v>
      </c>
      <c r="K44" s="1053" t="e">
        <f>+AVERAGE(D44:J44)</f>
        <v>#DIV/0!</v>
      </c>
      <c r="L44" s="1047"/>
      <c r="M44" s="1047"/>
    </row>
    <row r="45" spans="1:13" ht="29.25" customHeight="1">
      <c r="A45" s="1047"/>
      <c r="B45" s="1468" t="s">
        <v>606</v>
      </c>
      <c r="C45" s="1360"/>
      <c r="D45" s="1360"/>
      <c r="E45" s="1360"/>
      <c r="F45" s="1360"/>
      <c r="G45" s="1360"/>
      <c r="H45" s="1360"/>
      <c r="I45" s="1360"/>
      <c r="J45" s="1361"/>
      <c r="K45" s="1054"/>
      <c r="L45" s="1047"/>
      <c r="M45" s="1047"/>
    </row>
    <row r="46" spans="1:13" ht="7.5" customHeight="1">
      <c r="A46" s="1047"/>
      <c r="B46" s="1055"/>
      <c r="C46" s="1055"/>
      <c r="D46" s="1055"/>
      <c r="E46" s="1055"/>
      <c r="F46" s="1055"/>
      <c r="G46" s="1055"/>
      <c r="H46" s="1055"/>
      <c r="I46" s="1055"/>
      <c r="J46" s="557"/>
      <c r="K46" s="557"/>
      <c r="L46" s="1047"/>
      <c r="M46" s="1047"/>
    </row>
    <row r="47" spans="1:13" ht="15.75" customHeight="1">
      <c r="A47" s="1047"/>
      <c r="B47" s="1059" t="s">
        <v>607</v>
      </c>
      <c r="C47" s="1060" t="s">
        <v>608</v>
      </c>
      <c r="D47" s="1061"/>
      <c r="E47" s="1061" t="e">
        <f>+(E21*365)/E16</f>
        <v>#DIV/0!</v>
      </c>
      <c r="F47" s="1062" t="e">
        <f>+(F21*365)/F16</f>
        <v>#DIV/0!</v>
      </c>
      <c r="G47" s="1062" t="e">
        <f>+(G21*365)/G16</f>
        <v>#DIV/0!</v>
      </c>
      <c r="H47" s="1063" t="e">
        <f>+(H21*365)/H16</f>
        <v>#DIV/0!</v>
      </c>
      <c r="I47" s="1064" t="e">
        <f>+AVERAGE(D47:H47)</f>
        <v>#DIV/0!</v>
      </c>
      <c r="J47" s="557"/>
      <c r="K47" s="557"/>
      <c r="L47" s="1047"/>
      <c r="M47" s="1047"/>
    </row>
    <row r="48" spans="1:13" ht="27.75" customHeight="1">
      <c r="A48" s="1047"/>
      <c r="B48" s="1464" t="s">
        <v>609</v>
      </c>
      <c r="C48" s="1389"/>
      <c r="D48" s="1389"/>
      <c r="E48" s="1389"/>
      <c r="F48" s="1389"/>
      <c r="G48" s="1389"/>
      <c r="H48" s="1389"/>
      <c r="I48" s="1390"/>
      <c r="J48" s="557"/>
      <c r="K48" s="557"/>
      <c r="L48" s="1047"/>
      <c r="M48" s="1047"/>
    </row>
    <row r="49" spans="1:13" ht="15.75" customHeight="1">
      <c r="A49" s="1047"/>
      <c r="B49" s="1065"/>
      <c r="C49" s="1065"/>
      <c r="D49" s="1065"/>
      <c r="E49" s="1065"/>
      <c r="F49" s="1065"/>
      <c r="G49" s="1065"/>
      <c r="H49" s="1065"/>
      <c r="I49" s="1065"/>
      <c r="J49" s="557"/>
      <c r="K49" s="557"/>
      <c r="L49" s="1047"/>
      <c r="M49" s="1047"/>
    </row>
    <row r="50" spans="1:13" ht="15.75" customHeight="1">
      <c r="A50" s="1047"/>
      <c r="B50" s="1059" t="s">
        <v>610</v>
      </c>
      <c r="C50" s="1060" t="s">
        <v>611</v>
      </c>
      <c r="D50" s="1061" t="e">
        <f>+D5/D22</f>
        <v>#REF!</v>
      </c>
      <c r="E50" s="1061" t="e">
        <f>+E5/E22</f>
        <v>#DIV/0!</v>
      </c>
      <c r="F50" s="1062">
        <f>+F5/F22</f>
        <v>0</v>
      </c>
      <c r="G50" s="1062" t="e">
        <f>+G5/G22</f>
        <v>#DIV/0!</v>
      </c>
      <c r="H50" s="1066" t="e">
        <f>+H5/H22</f>
        <v>#DIV/0!</v>
      </c>
      <c r="I50" s="1064" t="e">
        <f>+AVERAGE(E50:H50)</f>
        <v>#DIV/0!</v>
      </c>
      <c r="J50" s="557"/>
      <c r="K50" s="557"/>
      <c r="L50" s="1047"/>
      <c r="M50" s="1047"/>
    </row>
    <row r="51" spans="1:13" ht="15.75" customHeight="1">
      <c r="A51" s="1047"/>
      <c r="B51" s="1464" t="s">
        <v>612</v>
      </c>
      <c r="C51" s="1389"/>
      <c r="D51" s="1389"/>
      <c r="E51" s="1389"/>
      <c r="F51" s="1389"/>
      <c r="G51" s="1389"/>
      <c r="H51" s="1389"/>
      <c r="I51" s="1390"/>
      <c r="J51" s="557"/>
      <c r="K51" s="557"/>
      <c r="L51" s="1047"/>
      <c r="M51" s="1047"/>
    </row>
    <row r="52" spans="1:13" ht="15.75" customHeight="1">
      <c r="A52" s="1047"/>
      <c r="B52" s="1065"/>
      <c r="C52" s="1065"/>
      <c r="D52" s="1065"/>
      <c r="E52" s="1065"/>
      <c r="F52" s="1065"/>
      <c r="G52" s="1065"/>
      <c r="H52" s="1065"/>
      <c r="I52" s="1065"/>
      <c r="J52" s="557"/>
      <c r="K52" s="557"/>
      <c r="L52" s="1047"/>
      <c r="M52" s="1047"/>
    </row>
    <row r="53" spans="1:13" ht="15.75" customHeight="1">
      <c r="A53" s="1047"/>
      <c r="B53" s="1067" t="s">
        <v>613</v>
      </c>
      <c r="C53" s="1068" t="s">
        <v>614</v>
      </c>
      <c r="D53" s="1069"/>
      <c r="E53" s="1069" t="e">
        <f>+E14/E15</f>
        <v>#DIV/0!</v>
      </c>
      <c r="F53" s="1062" t="e">
        <f>+F14/F15</f>
        <v>#DIV/0!</v>
      </c>
      <c r="G53" s="1062" t="e">
        <f>+G14/G15</f>
        <v>#DIV/0!</v>
      </c>
      <c r="H53" s="1062" t="e">
        <f>+H14/H15</f>
        <v>#DIV/0!</v>
      </c>
      <c r="I53" s="1070" t="e">
        <f>AVERAGE(E53:H53)</f>
        <v>#DIV/0!</v>
      </c>
      <c r="J53" s="557"/>
      <c r="K53" s="557"/>
      <c r="L53" s="1047"/>
      <c r="M53" s="1047"/>
    </row>
    <row r="54" spans="1:13" ht="24.75" customHeight="1">
      <c r="A54" s="1047"/>
      <c r="B54" s="1464" t="s">
        <v>615</v>
      </c>
      <c r="C54" s="1389"/>
      <c r="D54" s="1389"/>
      <c r="E54" s="1389"/>
      <c r="F54" s="1389"/>
      <c r="G54" s="1389"/>
      <c r="H54" s="1389"/>
      <c r="I54" s="1390"/>
      <c r="J54" s="557"/>
      <c r="K54" s="557"/>
      <c r="L54" s="1047"/>
      <c r="M54" s="1047"/>
    </row>
    <row r="55" spans="1:13" ht="15.75" customHeight="1">
      <c r="A55" s="1047"/>
      <c r="B55" s="1055"/>
      <c r="C55" s="1055"/>
      <c r="D55" s="1055"/>
      <c r="E55" s="1055"/>
      <c r="F55" s="1055"/>
      <c r="G55" s="1055"/>
      <c r="H55" s="1055"/>
      <c r="I55" s="1055"/>
      <c r="J55" s="557"/>
      <c r="K55" s="557"/>
      <c r="L55" s="1047"/>
      <c r="M55" s="1047"/>
    </row>
    <row r="56" spans="1:13" ht="15.75" customHeight="1">
      <c r="A56" s="1047"/>
      <c r="B56" s="1059" t="s">
        <v>616</v>
      </c>
      <c r="C56" s="1060" t="s">
        <v>617</v>
      </c>
      <c r="D56" s="1061"/>
      <c r="E56" s="1061"/>
      <c r="F56" s="1062" t="e">
        <f>+F13/F15</f>
        <v>#DIV/0!</v>
      </c>
      <c r="G56" s="1062" t="e">
        <f>+G13/G15</f>
        <v>#DIV/0!</v>
      </c>
      <c r="H56" s="1062"/>
      <c r="I56" s="1070" t="e">
        <f>+AVERAGE(D56:H56)</f>
        <v>#DIV/0!</v>
      </c>
      <c r="J56" s="557"/>
      <c r="K56" s="557"/>
      <c r="L56" s="1047"/>
      <c r="M56" s="1047"/>
    </row>
    <row r="57" spans="1:13" ht="23.25" customHeight="1">
      <c r="A57" s="1047"/>
      <c r="B57" s="1464" t="s">
        <v>618</v>
      </c>
      <c r="C57" s="1389"/>
      <c r="D57" s="1389"/>
      <c r="E57" s="1389"/>
      <c r="F57" s="1389"/>
      <c r="G57" s="1389"/>
      <c r="H57" s="1389"/>
      <c r="I57" s="1390"/>
      <c r="J57" s="557" t="s">
        <v>619</v>
      </c>
      <c r="K57" s="557"/>
      <c r="L57" s="1047"/>
      <c r="M57" s="1047"/>
    </row>
    <row r="58" spans="1:13" ht="15.75" customHeight="1">
      <c r="A58" s="1047"/>
      <c r="B58" s="1055"/>
      <c r="C58" s="1055"/>
      <c r="D58" s="1055"/>
      <c r="E58" s="1055"/>
      <c r="F58" s="1055"/>
      <c r="G58" s="1055"/>
      <c r="H58" s="1055"/>
      <c r="I58" s="1055"/>
      <c r="J58" s="557"/>
      <c r="K58" s="557"/>
      <c r="L58" s="1047"/>
      <c r="M58" s="1047"/>
    </row>
    <row r="59" spans="1:13" ht="15.75" customHeight="1">
      <c r="A59" s="1047"/>
      <c r="B59" s="1059" t="s">
        <v>620</v>
      </c>
      <c r="C59" s="1060" t="s">
        <v>621</v>
      </c>
      <c r="D59" s="1071"/>
      <c r="E59" s="1071" t="e">
        <f>+E24/E23</f>
        <v>#DIV/0!</v>
      </c>
      <c r="F59" s="1071" t="e">
        <f>+F24/F23</f>
        <v>#DIV/0!</v>
      </c>
      <c r="G59" s="1071" t="e">
        <f>+G24/G23</f>
        <v>#DIV/0!</v>
      </c>
      <c r="H59" s="1071" t="e">
        <f>+H24/H23</f>
        <v>#DIV/0!</v>
      </c>
      <c r="I59" s="1072" t="e">
        <f>+AVERAGE(D59:H59)</f>
        <v>#DIV/0!</v>
      </c>
      <c r="J59" s="557"/>
      <c r="K59" s="557"/>
      <c r="L59" s="1047"/>
      <c r="M59" s="1047"/>
    </row>
    <row r="60" spans="1:13" ht="15.75" customHeight="1">
      <c r="A60" s="1047"/>
      <c r="B60" s="1464" t="s">
        <v>622</v>
      </c>
      <c r="C60" s="1389"/>
      <c r="D60" s="1389"/>
      <c r="E60" s="1389"/>
      <c r="F60" s="1389"/>
      <c r="G60" s="1389"/>
      <c r="H60" s="1389"/>
      <c r="I60" s="1390"/>
      <c r="J60" s="557"/>
      <c r="K60" s="557"/>
      <c r="L60" s="1047"/>
      <c r="M60" s="1047"/>
    </row>
    <row r="61" spans="1:13" ht="15.75" customHeight="1">
      <c r="A61" s="1047"/>
      <c r="B61" s="1065"/>
      <c r="C61" s="1065"/>
      <c r="D61" s="1065"/>
      <c r="E61" s="1065"/>
      <c r="F61" s="1065"/>
      <c r="G61" s="1065"/>
      <c r="H61" s="1065"/>
      <c r="I61" s="1065"/>
      <c r="J61" s="557"/>
      <c r="K61" s="557"/>
      <c r="L61" s="1047"/>
      <c r="M61" s="1047"/>
    </row>
    <row r="62" spans="1:13" ht="26.25" customHeight="1">
      <c r="A62" s="1047"/>
      <c r="B62" s="1073" t="s">
        <v>623</v>
      </c>
      <c r="C62" s="1074" t="s">
        <v>624</v>
      </c>
      <c r="D62" s="1075"/>
      <c r="E62" s="1075" t="e">
        <f>+E19/E5</f>
        <v>#DIV/0!</v>
      </c>
      <c r="F62" s="1076" t="e">
        <f>+F19/F5</f>
        <v>#DIV/0!</v>
      </c>
      <c r="G62" s="1076" t="e">
        <f>+G19/G5</f>
        <v>#DIV/0!</v>
      </c>
      <c r="H62" s="1076" t="e">
        <f>+H19/H5</f>
        <v>#DIV/0!</v>
      </c>
      <c r="I62" s="1076" t="e">
        <f>+I19/I5</f>
        <v>#DIV/0!</v>
      </c>
      <c r="J62" s="1076" t="e">
        <f>+J19/J5</f>
        <v>#DIV/0!</v>
      </c>
      <c r="K62" s="1077" t="e">
        <f>+AVERAGE(G62:J62)</f>
        <v>#DIV/0!</v>
      </c>
      <c r="L62" s="1047"/>
      <c r="M62" s="1047"/>
    </row>
    <row r="63" spans="1:13" ht="36.75" customHeight="1">
      <c r="A63" s="1047"/>
      <c r="B63" s="1467" t="s">
        <v>625</v>
      </c>
      <c r="C63" s="1360"/>
      <c r="D63" s="1360"/>
      <c r="E63" s="1360"/>
      <c r="F63" s="1360"/>
      <c r="G63" s="1360"/>
      <c r="H63" s="1360"/>
      <c r="I63" s="1360"/>
      <c r="J63" s="1361"/>
      <c r="K63" s="1054"/>
      <c r="L63" s="1047"/>
      <c r="M63" s="1047"/>
    </row>
    <row r="64" spans="1:13" ht="15.75" customHeight="1">
      <c r="A64" s="1047"/>
      <c r="B64" s="1055"/>
      <c r="C64" s="1055"/>
      <c r="D64" s="1055"/>
      <c r="E64" s="1055"/>
      <c r="F64" s="1055"/>
      <c r="G64" s="1055"/>
      <c r="H64" s="1055"/>
      <c r="I64" s="1055"/>
      <c r="J64" s="557"/>
      <c r="K64" s="557"/>
      <c r="L64" s="1047"/>
      <c r="M64" s="1047"/>
    </row>
    <row r="65" spans="1:14" ht="15.75" customHeight="1">
      <c r="A65" s="1047"/>
      <c r="B65" s="1073" t="s">
        <v>626</v>
      </c>
      <c r="C65" s="1074" t="s">
        <v>627</v>
      </c>
      <c r="D65" s="1075"/>
      <c r="E65" s="1075" t="e">
        <f>+E20/E5</f>
        <v>#DIV/0!</v>
      </c>
      <c r="F65" s="1076" t="e">
        <f>+F20/F5</f>
        <v>#DIV/0!</v>
      </c>
      <c r="G65" s="1076" t="e">
        <f>+G20/G5</f>
        <v>#DIV/0!</v>
      </c>
      <c r="H65" s="1076" t="e">
        <f>+H20/H5</f>
        <v>#DIV/0!</v>
      </c>
      <c r="I65" s="1076" t="e">
        <f>+I20/I5</f>
        <v>#DIV/0!</v>
      </c>
      <c r="J65" s="1076" t="e">
        <f>+J20/J5</f>
        <v>#DIV/0!</v>
      </c>
      <c r="K65" s="1077" t="e">
        <f>+AVERAGE(G65:J65)</f>
        <v>#DIV/0!</v>
      </c>
      <c r="L65" s="1047"/>
      <c r="M65" s="1047"/>
      <c r="N65" s="1"/>
    </row>
    <row r="66" spans="1:14" ht="23.25" customHeight="1">
      <c r="A66" s="1047"/>
      <c r="B66" s="1467" t="s">
        <v>628</v>
      </c>
      <c r="C66" s="1360"/>
      <c r="D66" s="1360"/>
      <c r="E66" s="1360"/>
      <c r="F66" s="1360"/>
      <c r="G66" s="1360"/>
      <c r="H66" s="1360"/>
      <c r="I66" s="1360"/>
      <c r="J66" s="1361"/>
      <c r="K66" s="1054"/>
      <c r="L66" s="1047"/>
      <c r="M66" s="1047"/>
      <c r="N66" s="1"/>
    </row>
    <row r="67" spans="1:14" ht="15.75" customHeight="1">
      <c r="A67" s="1047"/>
      <c r="B67" s="1047"/>
      <c r="C67" s="1047"/>
      <c r="D67" s="1047"/>
      <c r="E67" s="1047"/>
      <c r="F67" s="1047"/>
      <c r="G67" s="1047"/>
      <c r="H67" s="1047"/>
      <c r="I67" s="1047"/>
      <c r="J67" s="1047"/>
      <c r="K67" s="1047"/>
      <c r="L67" s="1047"/>
      <c r="M67" s="1047"/>
      <c r="N67" s="1"/>
    </row>
    <row r="68" spans="1:14" ht="15.75" customHeight="1">
      <c r="A68" s="1"/>
      <c r="B68" s="1"/>
      <c r="C68" s="1"/>
      <c r="D68" s="1"/>
      <c r="E68" s="1"/>
      <c r="F68" s="1"/>
      <c r="G68" s="1"/>
      <c r="H68" s="1"/>
      <c r="I68" s="1"/>
      <c r="J68" s="1"/>
      <c r="K68" s="1"/>
      <c r="L68" s="1"/>
      <c r="M68" s="1"/>
      <c r="N68" s="54"/>
    </row>
    <row r="69" spans="1:14" ht="15.75" customHeight="1">
      <c r="A69" s="1"/>
      <c r="B69" s="1"/>
      <c r="C69" s="1"/>
      <c r="D69" s="1"/>
      <c r="E69" s="1"/>
      <c r="F69" s="1"/>
      <c r="G69" s="1"/>
      <c r="H69" s="1"/>
      <c r="I69" s="1"/>
      <c r="J69" s="1"/>
      <c r="K69" s="1"/>
      <c r="L69" s="1"/>
      <c r="M69" s="1"/>
      <c r="N69" s="1"/>
    </row>
    <row r="70" spans="1:14" ht="15.75" customHeight="1">
      <c r="A70" s="1"/>
      <c r="B70" s="1"/>
      <c r="C70" s="1"/>
      <c r="D70" s="1"/>
      <c r="E70" s="1"/>
      <c r="F70" s="1"/>
      <c r="G70" s="1"/>
      <c r="H70" s="1"/>
      <c r="I70" s="1"/>
      <c r="J70" s="1"/>
      <c r="K70" s="1"/>
      <c r="L70" s="1"/>
      <c r="M70" s="1"/>
      <c r="N70" s="1"/>
    </row>
    <row r="71" spans="1:14" ht="15.75" customHeight="1">
      <c r="A71" s="1"/>
      <c r="B71" s="1"/>
      <c r="C71" s="1"/>
      <c r="D71" s="1"/>
      <c r="E71" s="1"/>
      <c r="F71" s="1"/>
      <c r="G71" s="1"/>
      <c r="H71" s="1"/>
      <c r="I71" s="1"/>
      <c r="J71" s="1"/>
      <c r="K71" s="1"/>
      <c r="L71" s="1"/>
      <c r="M71" s="1"/>
      <c r="N71" s="1"/>
    </row>
    <row r="72" spans="1:14" ht="15.75" customHeight="1">
      <c r="A72" s="1"/>
      <c r="B72" s="12"/>
      <c r="C72" s="12"/>
      <c r="D72" s="1"/>
      <c r="E72" s="1"/>
      <c r="F72" s="1"/>
      <c r="G72" s="1"/>
      <c r="H72" s="1"/>
      <c r="I72" s="1"/>
      <c r="J72" s="1"/>
      <c r="K72" s="1"/>
      <c r="L72" s="1"/>
      <c r="M72" s="1"/>
      <c r="N72" s="1"/>
    </row>
    <row r="73" spans="1:14" ht="15.75" customHeight="1">
      <c r="A73" s="1"/>
      <c r="B73" s="1"/>
      <c r="C73" s="1"/>
      <c r="D73" s="1"/>
      <c r="E73" s="1"/>
      <c r="F73" s="1"/>
      <c r="G73" s="1"/>
      <c r="H73" s="1"/>
      <c r="I73" s="1"/>
      <c r="J73" s="1"/>
      <c r="K73" s="1"/>
      <c r="L73" s="1"/>
      <c r="M73" s="1"/>
      <c r="N73" s="1"/>
    </row>
    <row r="74" spans="1:14" ht="15.75" customHeight="1">
      <c r="A74" s="1"/>
      <c r="B74" s="1"/>
      <c r="C74" s="1"/>
      <c r="D74" s="1"/>
      <c r="E74" s="1"/>
      <c r="F74" s="1"/>
      <c r="G74" s="1"/>
      <c r="H74" s="1"/>
      <c r="I74" s="1"/>
      <c r="J74" s="1"/>
      <c r="K74" s="1"/>
      <c r="L74" s="1"/>
      <c r="M74" s="1"/>
      <c r="N74" s="1"/>
    </row>
    <row r="75" spans="1:14" ht="15.75" customHeight="1">
      <c r="A75" s="1"/>
      <c r="B75" s="1"/>
      <c r="C75" s="1"/>
      <c r="D75" s="1"/>
      <c r="E75" s="1"/>
      <c r="F75" s="1"/>
      <c r="G75" s="1"/>
      <c r="H75" s="1"/>
      <c r="I75" s="1"/>
      <c r="J75" s="1"/>
      <c r="K75" s="1"/>
      <c r="L75" s="1"/>
      <c r="M75" s="1"/>
      <c r="N75" s="1"/>
    </row>
    <row r="76" spans="1:14" ht="15.75" customHeight="1">
      <c r="A76" s="1"/>
      <c r="B76" s="1"/>
      <c r="C76" s="1"/>
      <c r="D76" s="1"/>
      <c r="E76" s="1"/>
      <c r="F76" s="1"/>
      <c r="G76" s="1"/>
      <c r="H76" s="1"/>
      <c r="I76" s="1"/>
      <c r="J76" s="1"/>
      <c r="K76" s="1"/>
      <c r="L76" s="1"/>
      <c r="M76" s="1"/>
      <c r="N76" s="1"/>
    </row>
    <row r="77" spans="1:14" ht="15.75" customHeight="1">
      <c r="A77" s="1"/>
      <c r="B77" s="1"/>
      <c r="C77" s="1"/>
      <c r="D77" s="1"/>
      <c r="E77" s="1"/>
      <c r="F77" s="1"/>
      <c r="G77" s="1"/>
      <c r="H77" s="1"/>
      <c r="I77" s="1"/>
      <c r="J77" s="1"/>
      <c r="K77" s="1"/>
      <c r="L77" s="1"/>
      <c r="M77" s="1"/>
      <c r="N77" s="1"/>
    </row>
    <row r="78" spans="1:14" ht="15.75" customHeight="1">
      <c r="A78" s="1"/>
      <c r="B78" s="1"/>
      <c r="C78" s="1"/>
      <c r="D78" s="1"/>
      <c r="E78" s="1"/>
      <c r="F78" s="1"/>
      <c r="G78" s="1"/>
      <c r="H78" s="1"/>
      <c r="I78" s="1"/>
      <c r="J78" s="1"/>
      <c r="K78" s="1"/>
      <c r="L78" s="1"/>
      <c r="M78" s="1"/>
      <c r="N78" s="1"/>
    </row>
    <row r="79" spans="1:14" ht="15.75" customHeight="1">
      <c r="A79" s="1"/>
      <c r="B79" s="1"/>
      <c r="C79" s="1"/>
      <c r="D79" s="1"/>
      <c r="E79" s="1"/>
      <c r="F79" s="1"/>
      <c r="G79" s="1"/>
      <c r="H79" s="1"/>
      <c r="I79" s="1"/>
      <c r="J79" s="1"/>
      <c r="K79" s="1"/>
      <c r="L79" s="1"/>
      <c r="M79" s="1"/>
      <c r="N79" s="1"/>
    </row>
    <row r="80" spans="1:14" ht="15.75" customHeight="1">
      <c r="A80" s="1"/>
      <c r="B80" s="1"/>
      <c r="C80" s="1"/>
      <c r="D80" s="1"/>
      <c r="E80" s="1"/>
      <c r="F80" s="1"/>
      <c r="G80" s="1"/>
      <c r="H80" s="1"/>
      <c r="I80" s="1"/>
      <c r="J80" s="1"/>
      <c r="K80" s="1"/>
      <c r="L80" s="1"/>
      <c r="M80" s="1"/>
      <c r="N80" s="1"/>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54:I54"/>
    <mergeCell ref="B57:I57"/>
    <mergeCell ref="B60:I60"/>
    <mergeCell ref="B63:J63"/>
    <mergeCell ref="B66:J66"/>
    <mergeCell ref="B48:I48"/>
    <mergeCell ref="B51:I51"/>
    <mergeCell ref="B1:I1"/>
    <mergeCell ref="A31:A32"/>
    <mergeCell ref="B39:J39"/>
    <mergeCell ref="B42:J42"/>
    <mergeCell ref="B45:J45"/>
  </mergeCells>
  <conditionalFormatting sqref="L5 D5:K24 I26:K28 D26:H29">
    <cfRule type="cellIs" dxfId="4" priority="1" operator="lessThan">
      <formula>0</formula>
    </cfRule>
  </conditionalFormatting>
  <pageMargins left="0.7" right="0.7" top="0.75" bottom="0.75" header="0" footer="0"/>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filterMode="1"/>
  <dimension ref="A1:R1000"/>
  <sheetViews>
    <sheetView workbookViewId="0"/>
  </sheetViews>
  <sheetFormatPr baseColWidth="10" defaultColWidth="14.44140625" defaultRowHeight="15" customHeight="1"/>
  <cols>
    <col min="1" max="1" width="37.88671875" customWidth="1"/>
    <col min="2" max="2" width="18.109375" customWidth="1"/>
    <col min="3" max="3" width="21.44140625" customWidth="1"/>
    <col min="4" max="4" width="39.44140625" customWidth="1"/>
    <col min="5" max="5" width="28.109375" customWidth="1"/>
    <col min="6" max="6" width="18.109375" customWidth="1"/>
    <col min="7" max="7" width="14.88671875" customWidth="1"/>
    <col min="8" max="8" width="11.44140625" customWidth="1"/>
    <col min="9" max="9" width="23.33203125" customWidth="1"/>
    <col min="10" max="10" width="11.44140625" customWidth="1"/>
    <col min="11" max="11" width="23.33203125" customWidth="1"/>
    <col min="12" max="18" width="11.44140625" customWidth="1"/>
  </cols>
  <sheetData>
    <row r="1" spans="1:18" ht="15.75" customHeight="1">
      <c r="A1" s="91" t="s">
        <v>69</v>
      </c>
      <c r="B1" s="1362">
        <v>45662</v>
      </c>
      <c r="C1" s="1363"/>
      <c r="D1" s="1363"/>
      <c r="E1" s="1363"/>
      <c r="F1" s="1363"/>
      <c r="G1" s="1368"/>
      <c r="H1" s="92"/>
      <c r="I1" s="92"/>
      <c r="J1" s="92"/>
      <c r="K1" s="92"/>
      <c r="L1" s="92"/>
      <c r="M1" s="92"/>
      <c r="N1" s="92"/>
      <c r="O1" s="92"/>
      <c r="P1" s="92"/>
      <c r="Q1" s="92"/>
      <c r="R1" s="92"/>
    </row>
    <row r="2" spans="1:18" ht="15.75" customHeight="1">
      <c r="A2" s="94" t="s">
        <v>72</v>
      </c>
      <c r="B2" s="1369" t="s">
        <v>73</v>
      </c>
      <c r="C2" s="1339"/>
      <c r="D2" s="1339"/>
      <c r="E2" s="1339"/>
      <c r="F2" s="1339"/>
      <c r="G2" s="1387"/>
      <c r="H2" s="92"/>
      <c r="I2" s="1469" t="s">
        <v>629</v>
      </c>
      <c r="J2" s="92"/>
      <c r="K2" s="92"/>
      <c r="L2" s="92"/>
      <c r="M2" s="92"/>
      <c r="N2" s="92"/>
      <c r="O2" s="92"/>
      <c r="P2" s="92"/>
      <c r="Q2" s="92"/>
      <c r="R2" s="92"/>
    </row>
    <row r="3" spans="1:18" ht="15.75" customHeight="1">
      <c r="A3" s="94" t="s">
        <v>75</v>
      </c>
      <c r="B3" s="1375" t="s">
        <v>630</v>
      </c>
      <c r="C3" s="1339"/>
      <c r="D3" s="1339"/>
      <c r="E3" s="1340"/>
      <c r="F3" s="1375" t="s">
        <v>77</v>
      </c>
      <c r="G3" s="1387"/>
      <c r="H3" s="84"/>
      <c r="I3" s="1334"/>
      <c r="J3" s="84"/>
      <c r="K3" s="92"/>
      <c r="L3" s="92"/>
      <c r="M3" s="92"/>
      <c r="N3" s="92"/>
      <c r="O3" s="92"/>
      <c r="P3" s="92"/>
      <c r="Q3" s="92"/>
      <c r="R3" s="92"/>
    </row>
    <row r="4" spans="1:18" ht="15.75" customHeight="1">
      <c r="A4" s="94" t="s">
        <v>78</v>
      </c>
      <c r="B4" s="1376" t="s">
        <v>79</v>
      </c>
      <c r="C4" s="1339"/>
      <c r="D4" s="1339"/>
      <c r="E4" s="1339"/>
      <c r="F4" s="1339"/>
      <c r="G4" s="1387"/>
      <c r="H4" s="92"/>
      <c r="I4" s="1334"/>
      <c r="J4" s="92"/>
      <c r="K4" s="92"/>
      <c r="L4" s="92"/>
      <c r="M4" s="92"/>
      <c r="N4" s="92"/>
      <c r="O4" s="92"/>
      <c r="P4" s="92"/>
      <c r="Q4" s="92"/>
      <c r="R4" s="92"/>
    </row>
    <row r="5" spans="1:18" ht="15.75" customHeight="1">
      <c r="A5" s="94" t="s">
        <v>80</v>
      </c>
      <c r="B5" s="1355" t="s">
        <v>631</v>
      </c>
      <c r="C5" s="1339"/>
      <c r="D5" s="1339"/>
      <c r="E5" s="1339"/>
      <c r="F5" s="1339"/>
      <c r="G5" s="1387"/>
      <c r="H5" s="92"/>
      <c r="I5" s="1334"/>
      <c r="J5" s="92"/>
      <c r="K5" s="92"/>
      <c r="L5" s="92"/>
      <c r="M5" s="92"/>
      <c r="N5" s="92"/>
      <c r="O5" s="92"/>
      <c r="P5" s="92"/>
      <c r="Q5" s="92"/>
      <c r="R5" s="92"/>
    </row>
    <row r="6" spans="1:18" ht="15.75" customHeight="1">
      <c r="A6" s="94" t="s">
        <v>82</v>
      </c>
      <c r="B6" s="1369" t="s">
        <v>632</v>
      </c>
      <c r="C6" s="1339"/>
      <c r="D6" s="1339"/>
      <c r="E6" s="1339"/>
      <c r="F6" s="1339"/>
      <c r="G6" s="1387"/>
      <c r="H6" s="95"/>
      <c r="I6" s="1334"/>
      <c r="J6" s="95"/>
      <c r="K6" s="95"/>
      <c r="L6" s="95"/>
      <c r="M6" s="95"/>
      <c r="N6" s="95"/>
      <c r="O6" s="95"/>
      <c r="P6" s="95"/>
      <c r="Q6" s="95"/>
      <c r="R6" s="95"/>
    </row>
    <row r="7" spans="1:18" ht="15.75" customHeight="1">
      <c r="A7" s="1078" t="s">
        <v>84</v>
      </c>
      <c r="B7" s="1388" t="s">
        <v>633</v>
      </c>
      <c r="C7" s="1389"/>
      <c r="D7" s="1389"/>
      <c r="E7" s="1389"/>
      <c r="F7" s="1389"/>
      <c r="G7" s="1390"/>
      <c r="H7" s="92"/>
      <c r="I7" s="92"/>
      <c r="J7" s="92"/>
      <c r="K7" s="92"/>
      <c r="L7" s="92"/>
      <c r="M7" s="92"/>
      <c r="N7" s="92"/>
      <c r="O7" s="92"/>
      <c r="P7" s="92"/>
      <c r="Q7" s="92"/>
      <c r="R7" s="92"/>
    </row>
    <row r="8" spans="1:18" ht="15.75" customHeight="1">
      <c r="A8" s="1079" t="s">
        <v>634</v>
      </c>
      <c r="B8" s="1079"/>
      <c r="C8" s="1079"/>
      <c r="D8" s="1079"/>
      <c r="E8" s="1080"/>
      <c r="F8" s="1080"/>
      <c r="G8" s="1080" t="s">
        <v>635</v>
      </c>
      <c r="H8" s="1080"/>
      <c r="I8" s="1080"/>
      <c r="J8" s="1080"/>
      <c r="K8" s="1080"/>
      <c r="L8" s="92"/>
      <c r="M8" s="92"/>
      <c r="N8" s="92"/>
      <c r="O8" s="92"/>
      <c r="P8" s="92"/>
      <c r="Q8" s="92"/>
      <c r="R8" s="92"/>
    </row>
    <row r="9" spans="1:18" ht="15.75" customHeight="1">
      <c r="A9" s="1080" t="s">
        <v>636</v>
      </c>
      <c r="B9" s="1080"/>
      <c r="C9" s="1080"/>
      <c r="D9" s="1081">
        <v>4.58E-2</v>
      </c>
      <c r="E9" s="1080"/>
      <c r="F9" s="1080"/>
      <c r="G9" s="1082" t="s">
        <v>637</v>
      </c>
      <c r="H9" s="1082"/>
      <c r="I9" s="1082" t="s">
        <v>638</v>
      </c>
      <c r="J9" s="1080"/>
      <c r="K9" s="1080"/>
      <c r="L9" s="92"/>
      <c r="M9" s="92"/>
      <c r="N9" s="92"/>
      <c r="O9" s="92"/>
      <c r="P9" s="92"/>
      <c r="Q9" s="92"/>
      <c r="R9" s="92"/>
    </row>
    <row r="10" spans="1:18" ht="15.75" customHeight="1">
      <c r="A10" s="1080" t="s">
        <v>639</v>
      </c>
      <c r="B10" s="1080"/>
      <c r="C10" s="1080"/>
      <c r="D10" s="1083">
        <v>5.7099999999999998E-2</v>
      </c>
      <c r="E10" s="1080"/>
      <c r="F10" s="1080"/>
      <c r="G10" s="1084">
        <v>0</v>
      </c>
      <c r="H10" s="1085">
        <v>0.3</v>
      </c>
      <c r="I10" s="1086">
        <v>5.0000000000000001E-3</v>
      </c>
      <c r="J10" s="1080"/>
      <c r="K10" s="1080"/>
      <c r="L10" s="92"/>
      <c r="M10" s="92"/>
      <c r="N10" s="92"/>
      <c r="O10" s="92"/>
      <c r="P10" s="92"/>
      <c r="Q10" s="92"/>
      <c r="R10" s="92"/>
    </row>
    <row r="11" spans="1:18" ht="15.75" customHeight="1">
      <c r="A11" s="1080" t="s">
        <v>640</v>
      </c>
      <c r="B11" s="1080"/>
      <c r="C11" s="1080"/>
      <c r="D11" s="1087">
        <v>1.04E-2</v>
      </c>
      <c r="E11" s="1080"/>
      <c r="F11" s="1080"/>
      <c r="G11" s="1088">
        <v>0.30001</v>
      </c>
      <c r="H11" s="1089">
        <v>0.45</v>
      </c>
      <c r="I11" s="1090">
        <v>9.4999999999999998E-3</v>
      </c>
      <c r="J11" s="1080"/>
      <c r="K11" s="1080"/>
      <c r="L11" s="92"/>
      <c r="M11" s="92"/>
      <c r="N11" s="92"/>
      <c r="O11" s="92"/>
      <c r="P11" s="92"/>
      <c r="Q11" s="92"/>
      <c r="R11" s="92"/>
    </row>
    <row r="12" spans="1:18" ht="15.75" customHeight="1">
      <c r="A12" s="1080" t="s">
        <v>641</v>
      </c>
      <c r="B12" s="1080"/>
      <c r="C12" s="1080"/>
      <c r="D12" s="1080"/>
      <c r="E12" s="1080"/>
      <c r="F12" s="1091" t="s">
        <v>642</v>
      </c>
      <c r="G12" s="1088">
        <v>0.45001000000000002</v>
      </c>
      <c r="H12" s="1089">
        <v>0.65</v>
      </c>
      <c r="I12" s="1090">
        <v>1.2E-2</v>
      </c>
      <c r="J12" s="1080"/>
      <c r="K12" s="1080"/>
      <c r="L12" s="92"/>
      <c r="M12" s="92"/>
      <c r="N12" s="92"/>
      <c r="O12" s="92"/>
      <c r="P12" s="92"/>
      <c r="Q12" s="92"/>
      <c r="R12" s="92"/>
    </row>
    <row r="13" spans="1:18" ht="15.75" customHeight="1">
      <c r="A13" s="1080" t="s">
        <v>643</v>
      </c>
      <c r="B13" s="1080"/>
      <c r="C13" s="1080"/>
      <c r="D13" s="1080"/>
      <c r="E13" s="1080"/>
      <c r="F13" s="1092">
        <v>0.25219999999999998</v>
      </c>
      <c r="G13" s="1088">
        <v>0.65000100000000005</v>
      </c>
      <c r="H13" s="1089">
        <v>0.8</v>
      </c>
      <c r="I13" s="1090">
        <v>1.83E-2</v>
      </c>
      <c r="J13" s="1080"/>
      <c r="K13" s="1080"/>
      <c r="L13" s="92"/>
      <c r="M13" s="92"/>
      <c r="N13" s="92"/>
      <c r="O13" s="92"/>
      <c r="P13" s="92"/>
      <c r="Q13" s="92"/>
      <c r="R13" s="92"/>
    </row>
    <row r="14" spans="1:18" ht="15.75" customHeight="1">
      <c r="A14" s="1080"/>
      <c r="B14" s="1080"/>
      <c r="C14" s="1080"/>
      <c r="D14" s="1080"/>
      <c r="E14" s="1080"/>
      <c r="F14" s="1080"/>
      <c r="G14" s="1088">
        <v>0.80000099999999996</v>
      </c>
      <c r="H14" s="1089">
        <v>0.9</v>
      </c>
      <c r="I14" s="1090">
        <v>0.03</v>
      </c>
      <c r="J14" s="1080"/>
      <c r="K14" s="1080"/>
      <c r="L14" s="92"/>
      <c r="M14" s="92"/>
      <c r="N14" s="92"/>
      <c r="O14" s="92"/>
      <c r="P14" s="92"/>
      <c r="Q14" s="92"/>
      <c r="R14" s="92"/>
    </row>
    <row r="15" spans="1:18" ht="15.75" customHeight="1">
      <c r="A15" s="1093" t="s">
        <v>644</v>
      </c>
      <c r="B15" s="1080"/>
      <c r="C15" s="1080"/>
      <c r="D15" s="1080"/>
      <c r="E15" s="1080"/>
      <c r="F15" s="1080"/>
      <c r="G15" s="1088">
        <v>0.90000100000000005</v>
      </c>
      <c r="H15" s="1089">
        <v>1</v>
      </c>
      <c r="I15" s="1090">
        <v>4.4200000000000003E-2</v>
      </c>
      <c r="J15" s="1080"/>
      <c r="K15" s="1080"/>
      <c r="L15" s="92"/>
      <c r="M15" s="92"/>
      <c r="N15" s="92"/>
      <c r="O15" s="92"/>
      <c r="P15" s="92"/>
      <c r="Q15" s="92"/>
      <c r="R15" s="92"/>
    </row>
    <row r="16" spans="1:18" ht="15.75" customHeight="1">
      <c r="A16" s="1080" t="s">
        <v>645</v>
      </c>
      <c r="B16" s="1080"/>
      <c r="C16" s="1087">
        <v>1.4999999999999999E-2</v>
      </c>
      <c r="D16" s="1080"/>
      <c r="E16" s="1080"/>
      <c r="F16" s="1080"/>
      <c r="G16" s="1088">
        <v>1.0000009999999999</v>
      </c>
      <c r="H16" s="1089">
        <v>10</v>
      </c>
      <c r="I16" s="1090">
        <v>7.2800000000000004E-2</v>
      </c>
      <c r="J16" s="1080"/>
      <c r="K16" s="1080"/>
      <c r="L16" s="92"/>
      <c r="M16" s="92"/>
      <c r="N16" s="92"/>
      <c r="O16" s="92"/>
      <c r="P16" s="92"/>
      <c r="Q16" s="92"/>
      <c r="R16" s="92"/>
    </row>
    <row r="17" spans="1:18" ht="15.75" customHeight="1">
      <c r="A17" s="1080" t="s">
        <v>646</v>
      </c>
      <c r="B17" s="1080"/>
      <c r="C17" s="1087">
        <v>1.4999999999999999E-2</v>
      </c>
      <c r="D17" s="1080"/>
      <c r="E17" s="1080"/>
      <c r="F17" s="1080"/>
      <c r="G17" s="1080"/>
      <c r="H17" s="1080"/>
      <c r="I17" s="1080"/>
      <c r="J17" s="1080"/>
      <c r="K17" s="1080"/>
      <c r="L17" s="92"/>
      <c r="M17" s="92"/>
      <c r="N17" s="92"/>
      <c r="O17" s="92"/>
      <c r="P17" s="92"/>
      <c r="Q17" s="92"/>
      <c r="R17" s="92"/>
    </row>
    <row r="18" spans="1:18" ht="15.75" customHeight="1">
      <c r="A18" s="1080"/>
      <c r="B18" s="1080"/>
      <c r="C18" s="1080"/>
      <c r="D18" s="1080"/>
      <c r="E18" s="1080"/>
      <c r="F18" s="1080"/>
      <c r="G18" s="1080"/>
      <c r="H18" s="1080"/>
      <c r="I18" s="1080"/>
      <c r="J18" s="1080"/>
      <c r="K18" s="1080"/>
      <c r="L18" s="92"/>
      <c r="M18" s="92"/>
      <c r="N18" s="92"/>
      <c r="O18" s="92"/>
      <c r="P18" s="92"/>
      <c r="Q18" s="92"/>
      <c r="R18" s="92"/>
    </row>
    <row r="19" spans="1:18" ht="15.6">
      <c r="A19" s="1094" t="s">
        <v>204</v>
      </c>
      <c r="B19" s="1094" t="s">
        <v>247</v>
      </c>
      <c r="C19" s="1094" t="s">
        <v>647</v>
      </c>
      <c r="D19" s="203" t="s">
        <v>648</v>
      </c>
      <c r="E19" s="1095" t="s">
        <v>649</v>
      </c>
      <c r="F19" s="1095" t="s">
        <v>650</v>
      </c>
      <c r="G19" s="203" t="s">
        <v>651</v>
      </c>
      <c r="H19" s="1095" t="s">
        <v>652</v>
      </c>
      <c r="I19" s="203" t="s">
        <v>653</v>
      </c>
      <c r="J19" s="203" t="s">
        <v>654</v>
      </c>
      <c r="K19" s="1096" t="s">
        <v>655</v>
      </c>
      <c r="L19" s="92"/>
      <c r="M19" s="92"/>
      <c r="N19" s="92"/>
      <c r="O19" s="92"/>
      <c r="P19" s="92"/>
      <c r="Q19" s="92"/>
      <c r="R19" s="92"/>
    </row>
    <row r="20" spans="1:18" ht="15.6" hidden="1">
      <c r="A20" s="1097" t="s">
        <v>106</v>
      </c>
      <c r="B20" s="1097">
        <v>417</v>
      </c>
      <c r="C20" s="1098">
        <v>1.254409764675642</v>
      </c>
      <c r="D20" s="218">
        <f t="shared" ref="D20:D115" si="0">$D$9+C20*$D$10</f>
        <v>0.11742679756297916</v>
      </c>
      <c r="E20" s="218">
        <v>0.7809299238999956</v>
      </c>
      <c r="F20" s="218">
        <v>0.47409030355897464</v>
      </c>
      <c r="G20" s="1021">
        <f t="shared" ref="G20:G115" si="1">$D$9+VLOOKUP(F20,$G$10:$I$16,3)+$D$11</f>
        <v>6.8200000000000011E-2</v>
      </c>
      <c r="H20" s="1021">
        <v>0.14376235296448503</v>
      </c>
      <c r="I20" s="218">
        <f t="shared" ref="I20:I115" si="2">IF($F$12="Yes",G20*(1-$F$13),G20*(1-H20))</f>
        <v>5.0999960000000011E-2</v>
      </c>
      <c r="J20" s="1021">
        <f t="shared" ref="J20:J115" si="3">1-E20</f>
        <v>0.2190700761000044</v>
      </c>
      <c r="K20" s="219">
        <f t="shared" ref="K20:K115" si="4">D20*(1-J20)+I20*J20</f>
        <v>0.1028746652029747</v>
      </c>
      <c r="L20" s="92"/>
      <c r="M20" s="92"/>
      <c r="N20" s="92"/>
      <c r="O20" s="92"/>
      <c r="P20" s="92"/>
      <c r="Q20" s="92"/>
      <c r="R20" s="92"/>
    </row>
    <row r="21" spans="1:18" ht="15.75" hidden="1" customHeight="1">
      <c r="A21" s="1099" t="s">
        <v>107</v>
      </c>
      <c r="B21" s="1099">
        <v>300</v>
      </c>
      <c r="C21" s="1100">
        <v>1.037195471112474</v>
      </c>
      <c r="D21" s="1025">
        <f t="shared" si="0"/>
        <v>0.10502386140052226</v>
      </c>
      <c r="E21" s="1025">
        <v>0.84083707994436563</v>
      </c>
      <c r="F21" s="1025">
        <v>0.40681270069304865</v>
      </c>
      <c r="G21" s="1024">
        <f t="shared" si="1"/>
        <v>6.5700000000000008E-2</v>
      </c>
      <c r="H21" s="1024">
        <v>9.4028578776713861E-2</v>
      </c>
      <c r="I21" s="1025">
        <f t="shared" si="2"/>
        <v>4.9130460000000008E-2</v>
      </c>
      <c r="J21" s="1024">
        <f t="shared" si="3"/>
        <v>0.15916292005563437</v>
      </c>
      <c r="K21" s="1026">
        <f t="shared" si="4"/>
        <v>9.6127704421773458E-2</v>
      </c>
      <c r="L21" s="92"/>
      <c r="M21" s="92"/>
      <c r="N21" s="92"/>
      <c r="O21" s="92"/>
      <c r="P21" s="92"/>
      <c r="Q21" s="92"/>
      <c r="R21" s="92"/>
    </row>
    <row r="22" spans="1:18" ht="15.75" hidden="1" customHeight="1">
      <c r="A22" s="1097" t="s">
        <v>108</v>
      </c>
      <c r="B22" s="1097">
        <v>151</v>
      </c>
      <c r="C22" s="1098">
        <v>1.2946167772204054</v>
      </c>
      <c r="D22" s="218">
        <f t="shared" si="0"/>
        <v>0.11972261797928516</v>
      </c>
      <c r="E22" s="218">
        <v>0.51960209578757166</v>
      </c>
      <c r="F22" s="218">
        <v>0.34980433042159803</v>
      </c>
      <c r="G22" s="1021">
        <f t="shared" si="1"/>
        <v>6.5700000000000008E-2</v>
      </c>
      <c r="H22" s="1021">
        <v>0.12181027768388239</v>
      </c>
      <c r="I22" s="218">
        <f t="shared" si="2"/>
        <v>4.9130460000000008E-2</v>
      </c>
      <c r="J22" s="1021">
        <f t="shared" si="3"/>
        <v>0.48039790421242834</v>
      </c>
      <c r="K22" s="219">
        <f t="shared" si="4"/>
        <v>8.5810293232203919E-2</v>
      </c>
      <c r="L22" s="92"/>
      <c r="M22" s="92"/>
      <c r="N22" s="92"/>
      <c r="O22" s="92"/>
      <c r="P22" s="92"/>
      <c r="Q22" s="92"/>
      <c r="R22" s="92"/>
    </row>
    <row r="23" spans="1:18" ht="15.75" hidden="1" customHeight="1">
      <c r="A23" s="1099" t="s">
        <v>109</v>
      </c>
      <c r="B23" s="1099">
        <v>1194</v>
      </c>
      <c r="C23" s="1100">
        <v>0.75053973841130484</v>
      </c>
      <c r="D23" s="1025">
        <f t="shared" si="0"/>
        <v>8.8655819063285513E-2</v>
      </c>
      <c r="E23" s="1025">
        <v>0.83583385894335938</v>
      </c>
      <c r="F23" s="1025">
        <v>0.38575066387969126</v>
      </c>
      <c r="G23" s="1024">
        <f t="shared" si="1"/>
        <v>6.5700000000000008E-2</v>
      </c>
      <c r="H23" s="1024">
        <v>0.1373262342575402</v>
      </c>
      <c r="I23" s="1025">
        <f t="shared" si="2"/>
        <v>4.9130460000000008E-2</v>
      </c>
      <c r="J23" s="1024">
        <f t="shared" si="3"/>
        <v>0.16416614105664062</v>
      </c>
      <c r="K23" s="1026">
        <f t="shared" si="4"/>
        <v>8.2167093391987828E-2</v>
      </c>
      <c r="L23" s="92"/>
      <c r="M23" s="92"/>
      <c r="N23" s="92"/>
      <c r="O23" s="92"/>
      <c r="P23" s="92"/>
      <c r="Q23" s="92"/>
      <c r="R23" s="92"/>
    </row>
    <row r="24" spans="1:18" ht="15.75" hidden="1" customHeight="1">
      <c r="A24" s="1097" t="s">
        <v>110</v>
      </c>
      <c r="B24" s="1097">
        <v>162</v>
      </c>
      <c r="C24" s="1098">
        <v>1.5289121782877741</v>
      </c>
      <c r="D24" s="218">
        <f t="shared" si="0"/>
        <v>0.1331008853802319</v>
      </c>
      <c r="E24" s="218">
        <v>0.66839837981375871</v>
      </c>
      <c r="F24" s="218">
        <v>0.47910660285728646</v>
      </c>
      <c r="G24" s="1021">
        <f t="shared" si="1"/>
        <v>6.8200000000000011E-2</v>
      </c>
      <c r="H24" s="1021">
        <v>9.9703363211726292E-2</v>
      </c>
      <c r="I24" s="218">
        <f t="shared" si="2"/>
        <v>5.0999960000000011E-2</v>
      </c>
      <c r="J24" s="1021">
        <f t="shared" si="3"/>
        <v>0.33160162018624129</v>
      </c>
      <c r="K24" s="219">
        <f t="shared" si="4"/>
        <v>0.10587608550535732</v>
      </c>
      <c r="L24" s="92"/>
      <c r="M24" s="92"/>
      <c r="N24" s="92"/>
      <c r="O24" s="92"/>
      <c r="P24" s="92"/>
      <c r="Q24" s="92"/>
      <c r="R24" s="92"/>
    </row>
    <row r="25" spans="1:18" ht="15.75" hidden="1" customHeight="1">
      <c r="A25" s="1099" t="s">
        <v>111</v>
      </c>
      <c r="B25" s="1099">
        <v>780</v>
      </c>
      <c r="C25" s="1100">
        <v>1.2988008165300675</v>
      </c>
      <c r="D25" s="1025">
        <f t="shared" si="0"/>
        <v>0.11996152662386686</v>
      </c>
      <c r="E25" s="1025">
        <v>0.73574085236841757</v>
      </c>
      <c r="F25" s="1025">
        <v>0.36388827016804043</v>
      </c>
      <c r="G25" s="1024">
        <f t="shared" si="1"/>
        <v>6.5700000000000008E-2</v>
      </c>
      <c r="H25" s="1024">
        <v>0.16103259452445998</v>
      </c>
      <c r="I25" s="1025">
        <f t="shared" si="2"/>
        <v>4.9130460000000008E-2</v>
      </c>
      <c r="J25" s="1024">
        <f t="shared" si="3"/>
        <v>0.26425914763158243</v>
      </c>
      <c r="K25" s="1026">
        <f t="shared" si="4"/>
        <v>0.10124376933200797</v>
      </c>
      <c r="L25" s="92"/>
      <c r="M25" s="92"/>
      <c r="N25" s="92"/>
      <c r="O25" s="92"/>
      <c r="P25" s="92"/>
      <c r="Q25" s="92"/>
      <c r="R25" s="92"/>
    </row>
    <row r="26" spans="1:18" ht="15.75" hidden="1" customHeight="1">
      <c r="A26" s="1097" t="s">
        <v>112</v>
      </c>
      <c r="B26" s="1097">
        <v>621</v>
      </c>
      <c r="C26" s="1098">
        <v>0.79703324846926948</v>
      </c>
      <c r="D26" s="218">
        <f t="shared" si="0"/>
        <v>9.131059848759529E-2</v>
      </c>
      <c r="E26" s="218">
        <v>0.2739405493428444</v>
      </c>
      <c r="F26" s="218">
        <v>0.23784037636515615</v>
      </c>
      <c r="G26" s="1021">
        <f t="shared" si="1"/>
        <v>6.1199999999999997E-2</v>
      </c>
      <c r="H26" s="1021">
        <v>0.2163852605799147</v>
      </c>
      <c r="I26" s="218">
        <f t="shared" si="2"/>
        <v>4.5765359999999998E-2</v>
      </c>
      <c r="J26" s="1021">
        <f t="shared" si="3"/>
        <v>0.7260594506571556</v>
      </c>
      <c r="K26" s="219">
        <f t="shared" si="4"/>
        <v>5.8242047651242718E-2</v>
      </c>
      <c r="L26" s="92"/>
      <c r="M26" s="92"/>
      <c r="N26" s="92"/>
      <c r="O26" s="92"/>
      <c r="P26" s="92"/>
      <c r="Q26" s="92"/>
      <c r="R26" s="92"/>
    </row>
    <row r="27" spans="1:18" ht="15.75" hidden="1" customHeight="1">
      <c r="A27" s="1099" t="s">
        <v>114</v>
      </c>
      <c r="B27" s="1099">
        <v>849</v>
      </c>
      <c r="C27" s="1100">
        <v>0.5570410856784398</v>
      </c>
      <c r="D27" s="1025">
        <f t="shared" si="0"/>
        <v>7.7607045992238916E-2</v>
      </c>
      <c r="E27" s="1025">
        <v>0.30646193210147366</v>
      </c>
      <c r="F27" s="1025">
        <v>0.27469873140890805</v>
      </c>
      <c r="G27" s="1024">
        <f t="shared" si="1"/>
        <v>6.1199999999999997E-2</v>
      </c>
      <c r="H27" s="1024">
        <v>0.18284346245612015</v>
      </c>
      <c r="I27" s="1025">
        <f t="shared" si="2"/>
        <v>4.5765359999999998E-2</v>
      </c>
      <c r="J27" s="1024">
        <f t="shared" si="3"/>
        <v>0.69353806789852634</v>
      </c>
      <c r="K27" s="1026">
        <f t="shared" si="4"/>
        <v>5.5523624610549965E-2</v>
      </c>
      <c r="L27" s="92"/>
      <c r="M27" s="92"/>
      <c r="N27" s="92"/>
      <c r="O27" s="92"/>
      <c r="P27" s="92"/>
      <c r="Q27" s="92"/>
      <c r="R27" s="92"/>
    </row>
    <row r="28" spans="1:18" ht="15.75" hidden="1" customHeight="1">
      <c r="A28" s="1097" t="s">
        <v>115</v>
      </c>
      <c r="B28" s="1097">
        <v>216</v>
      </c>
      <c r="C28" s="1098">
        <v>0.86351323985664896</v>
      </c>
      <c r="D28" s="218">
        <f t="shared" si="0"/>
        <v>9.5106605995814664E-2</v>
      </c>
      <c r="E28" s="218">
        <v>0.80989113213774477</v>
      </c>
      <c r="F28" s="218">
        <v>0.32159699196792862</v>
      </c>
      <c r="G28" s="1021">
        <f t="shared" si="1"/>
        <v>6.5700000000000008E-2</v>
      </c>
      <c r="H28" s="1021">
        <v>0.1621585532300848</v>
      </c>
      <c r="I28" s="218">
        <f t="shared" si="2"/>
        <v>4.9130460000000008E-2</v>
      </c>
      <c r="J28" s="1021">
        <f t="shared" si="3"/>
        <v>0.19010886786225523</v>
      </c>
      <c r="K28" s="219">
        <f t="shared" si="4"/>
        <v>8.6366132931880585E-2</v>
      </c>
      <c r="L28" s="92"/>
      <c r="M28" s="92"/>
      <c r="N28" s="92"/>
      <c r="O28" s="92"/>
      <c r="P28" s="92"/>
      <c r="Q28" s="92"/>
      <c r="R28" s="92"/>
    </row>
    <row r="29" spans="1:18" ht="15.75" hidden="1" customHeight="1">
      <c r="A29" s="1099" t="s">
        <v>116</v>
      </c>
      <c r="B29" s="1099">
        <v>101</v>
      </c>
      <c r="C29" s="1100">
        <v>0.57262636973795178</v>
      </c>
      <c r="D29" s="1025">
        <f t="shared" si="0"/>
        <v>7.8496965712037042E-2</v>
      </c>
      <c r="E29" s="1025">
        <v>0.84382468540512579</v>
      </c>
      <c r="F29" s="1025">
        <v>0.34852094064678985</v>
      </c>
      <c r="G29" s="1024">
        <f t="shared" si="1"/>
        <v>6.5700000000000008E-2</v>
      </c>
      <c r="H29" s="1024">
        <v>0.11828586530741129</v>
      </c>
      <c r="I29" s="1025">
        <f t="shared" si="2"/>
        <v>4.9130460000000008E-2</v>
      </c>
      <c r="J29" s="1024">
        <f t="shared" si="3"/>
        <v>0.15617531459487421</v>
      </c>
      <c r="K29" s="1026">
        <f t="shared" si="4"/>
        <v>7.3910642443907493E-2</v>
      </c>
      <c r="L29" s="92"/>
      <c r="M29" s="92"/>
      <c r="N29" s="92"/>
      <c r="O29" s="92"/>
      <c r="P29" s="92"/>
      <c r="Q29" s="92"/>
      <c r="R29" s="92"/>
    </row>
    <row r="30" spans="1:18" ht="15.75" hidden="1" customHeight="1">
      <c r="A30" s="1097" t="s">
        <v>117</v>
      </c>
      <c r="B30" s="1097">
        <v>126</v>
      </c>
      <c r="C30" s="1098">
        <v>1.0043908188810557</v>
      </c>
      <c r="D30" s="218">
        <f t="shared" si="0"/>
        <v>0.10315071575810827</v>
      </c>
      <c r="E30" s="218">
        <v>0.54483752104492156</v>
      </c>
      <c r="F30" s="218">
        <v>0.39297438939225027</v>
      </c>
      <c r="G30" s="1021">
        <f t="shared" si="1"/>
        <v>6.5700000000000008E-2</v>
      </c>
      <c r="H30" s="1021">
        <v>0.14865863163963045</v>
      </c>
      <c r="I30" s="218">
        <f t="shared" si="2"/>
        <v>4.9130460000000008E-2</v>
      </c>
      <c r="J30" s="1021">
        <f t="shared" si="3"/>
        <v>0.45516247895507844</v>
      </c>
      <c r="K30" s="219">
        <f t="shared" si="4"/>
        <v>7.8562722233460364E-2</v>
      </c>
      <c r="L30" s="92"/>
      <c r="M30" s="92"/>
      <c r="N30" s="92"/>
      <c r="O30" s="92"/>
      <c r="P30" s="92"/>
      <c r="Q30" s="92"/>
      <c r="R30" s="92"/>
    </row>
    <row r="31" spans="1:18" ht="15.75" hidden="1" customHeight="1">
      <c r="A31" s="1099" t="s">
        <v>118</v>
      </c>
      <c r="B31" s="1099">
        <v>606</v>
      </c>
      <c r="C31" s="1100">
        <v>0.90851379972544732</v>
      </c>
      <c r="D31" s="1025">
        <f t="shared" si="0"/>
        <v>9.7676137964323034E-2</v>
      </c>
      <c r="E31" s="1025">
        <v>0.31599791571540359</v>
      </c>
      <c r="F31" s="1025">
        <v>0.38888892303727779</v>
      </c>
      <c r="G31" s="1024">
        <f t="shared" si="1"/>
        <v>6.5700000000000008E-2</v>
      </c>
      <c r="H31" s="1024">
        <v>0.13185490204757436</v>
      </c>
      <c r="I31" s="1025">
        <f t="shared" si="2"/>
        <v>4.9130460000000008E-2</v>
      </c>
      <c r="J31" s="1024">
        <f t="shared" si="3"/>
        <v>0.68400208428459641</v>
      </c>
      <c r="K31" s="1026">
        <f t="shared" si="4"/>
        <v>6.4470793053717279E-2</v>
      </c>
      <c r="L31" s="92"/>
      <c r="M31" s="92"/>
      <c r="N31" s="92"/>
      <c r="O31" s="92"/>
      <c r="P31" s="92"/>
      <c r="Q31" s="92"/>
      <c r="R31" s="92"/>
    </row>
    <row r="32" spans="1:18" ht="15.75" hidden="1" customHeight="1">
      <c r="A32" s="1097" t="s">
        <v>119</v>
      </c>
      <c r="B32" s="1097">
        <v>462</v>
      </c>
      <c r="C32" s="1098">
        <v>1.026465291452767</v>
      </c>
      <c r="D32" s="218">
        <f t="shared" si="0"/>
        <v>0.104411168141953</v>
      </c>
      <c r="E32" s="218">
        <v>0.82010275087619589</v>
      </c>
      <c r="F32" s="218">
        <v>0.31754053539247207</v>
      </c>
      <c r="G32" s="1021">
        <f t="shared" si="1"/>
        <v>6.5700000000000008E-2</v>
      </c>
      <c r="H32" s="1021">
        <v>0.15935721471413286</v>
      </c>
      <c r="I32" s="218">
        <f t="shared" si="2"/>
        <v>4.9130460000000008E-2</v>
      </c>
      <c r="J32" s="1021">
        <f t="shared" si="3"/>
        <v>0.17989724912380411</v>
      </c>
      <c r="K32" s="219">
        <f t="shared" si="4"/>
        <v>9.4466320817599786E-2</v>
      </c>
      <c r="L32" s="92"/>
      <c r="M32" s="92"/>
      <c r="N32" s="92"/>
      <c r="O32" s="92"/>
      <c r="P32" s="92"/>
      <c r="Q32" s="92"/>
      <c r="R32" s="92"/>
    </row>
    <row r="33" spans="1:18" ht="15.75" hidden="1" customHeight="1">
      <c r="A33" s="1099" t="s">
        <v>120</v>
      </c>
      <c r="B33" s="1099">
        <v>974</v>
      </c>
      <c r="C33" s="1100">
        <v>1.0155396933661369</v>
      </c>
      <c r="D33" s="1025">
        <f t="shared" si="0"/>
        <v>0.10378731649120641</v>
      </c>
      <c r="E33" s="1025">
        <v>0.85281320030001939</v>
      </c>
      <c r="F33" s="1025">
        <v>0.38820796548927772</v>
      </c>
      <c r="G33" s="1024">
        <f t="shared" si="1"/>
        <v>6.5700000000000008E-2</v>
      </c>
      <c r="H33" s="1024">
        <v>0.16799356876584551</v>
      </c>
      <c r="I33" s="1025">
        <f t="shared" si="2"/>
        <v>4.9130460000000008E-2</v>
      </c>
      <c r="J33" s="1024">
        <f t="shared" si="3"/>
        <v>0.14718679969998061</v>
      </c>
      <c r="K33" s="1026">
        <f t="shared" si="4"/>
        <v>9.5742548702604638E-2</v>
      </c>
      <c r="L33" s="92"/>
      <c r="M33" s="92"/>
      <c r="N33" s="92"/>
      <c r="O33" s="92"/>
      <c r="P33" s="92"/>
      <c r="Q33" s="92"/>
      <c r="R33" s="92"/>
    </row>
    <row r="34" spans="1:18" ht="15.75" hidden="1" customHeight="1">
      <c r="A34" s="1097" t="s">
        <v>121</v>
      </c>
      <c r="B34" s="1097">
        <v>45</v>
      </c>
      <c r="C34" s="1098">
        <v>1.0687515972057318</v>
      </c>
      <c r="D34" s="218">
        <f t="shared" si="0"/>
        <v>0.10682571620044728</v>
      </c>
      <c r="E34" s="218">
        <v>0.46382352864865339</v>
      </c>
      <c r="F34" s="218">
        <v>0.38950232042602995</v>
      </c>
      <c r="G34" s="1021">
        <f t="shared" si="1"/>
        <v>6.5700000000000008E-2</v>
      </c>
      <c r="H34" s="1021">
        <v>0.13470114214431717</v>
      </c>
      <c r="I34" s="218">
        <f t="shared" si="2"/>
        <v>4.9130460000000008E-2</v>
      </c>
      <c r="J34" s="1021">
        <f t="shared" si="3"/>
        <v>0.53617647135134661</v>
      </c>
      <c r="K34" s="219">
        <f t="shared" si="4"/>
        <v>7.5890877317179556E-2</v>
      </c>
      <c r="L34" s="92"/>
      <c r="M34" s="92"/>
      <c r="N34" s="92"/>
      <c r="O34" s="92"/>
      <c r="P34" s="92"/>
      <c r="Q34" s="92"/>
      <c r="R34" s="92"/>
    </row>
    <row r="35" spans="1:18" ht="15.75" hidden="1" customHeight="1">
      <c r="A35" s="1099" t="s">
        <v>122</v>
      </c>
      <c r="B35" s="1099">
        <v>897</v>
      </c>
      <c r="C35" s="1100">
        <v>1.1492820149889402</v>
      </c>
      <c r="D35" s="1025">
        <f t="shared" si="0"/>
        <v>0.1114240030558685</v>
      </c>
      <c r="E35" s="1025">
        <v>0.6446080217813317</v>
      </c>
      <c r="F35" s="1025">
        <v>0.34088887374809757</v>
      </c>
      <c r="G35" s="1024">
        <f t="shared" si="1"/>
        <v>6.5700000000000008E-2</v>
      </c>
      <c r="H35" s="1024">
        <v>0.13751305026305558</v>
      </c>
      <c r="I35" s="1025">
        <f t="shared" si="2"/>
        <v>4.9130460000000008E-2</v>
      </c>
      <c r="J35" s="1024">
        <f t="shared" si="3"/>
        <v>0.3553919782186683</v>
      </c>
      <c r="K35" s="1026">
        <f t="shared" si="4"/>
        <v>8.9285377558993614E-2</v>
      </c>
      <c r="L35" s="92"/>
      <c r="M35" s="92"/>
      <c r="N35" s="92"/>
      <c r="O35" s="92"/>
      <c r="P35" s="92"/>
      <c r="Q35" s="92"/>
      <c r="R35" s="92"/>
    </row>
    <row r="36" spans="1:18" ht="15.75" hidden="1" customHeight="1">
      <c r="A36" s="1097" t="s">
        <v>123</v>
      </c>
      <c r="B36" s="1097">
        <v>64</v>
      </c>
      <c r="C36" s="1098">
        <v>1.1400490925634852</v>
      </c>
      <c r="D36" s="218">
        <f t="shared" si="0"/>
        <v>0.11089680318537501</v>
      </c>
      <c r="E36" s="218">
        <v>0.60537961783749616</v>
      </c>
      <c r="F36" s="218">
        <v>0.28122766558418827</v>
      </c>
      <c r="G36" s="1021">
        <f t="shared" si="1"/>
        <v>6.1199999999999997E-2</v>
      </c>
      <c r="H36" s="1021">
        <v>0.2255044468760268</v>
      </c>
      <c r="I36" s="218">
        <f t="shared" si="2"/>
        <v>4.5765359999999998E-2</v>
      </c>
      <c r="J36" s="1021">
        <f t="shared" si="3"/>
        <v>0.39462038216250384</v>
      </c>
      <c r="K36" s="219">
        <f t="shared" si="4"/>
        <v>8.5194608184766915E-2</v>
      </c>
      <c r="L36" s="92"/>
      <c r="M36" s="92"/>
      <c r="N36" s="92"/>
      <c r="O36" s="92"/>
      <c r="P36" s="92"/>
      <c r="Q36" s="92"/>
      <c r="R36" s="92"/>
    </row>
    <row r="37" spans="1:18" ht="15.75" hidden="1" customHeight="1">
      <c r="A37" s="1099" t="s">
        <v>124</v>
      </c>
      <c r="B37" s="1099">
        <v>951</v>
      </c>
      <c r="C37" s="1100">
        <v>1.0488139972344594</v>
      </c>
      <c r="D37" s="1025">
        <f t="shared" si="0"/>
        <v>0.10568727924208762</v>
      </c>
      <c r="E37" s="1025">
        <v>0.80611226277107972</v>
      </c>
      <c r="F37" s="1025">
        <v>0.37283898938248589</v>
      </c>
      <c r="G37" s="1024">
        <f t="shared" si="1"/>
        <v>6.5700000000000008E-2</v>
      </c>
      <c r="H37" s="1024">
        <v>0.14221051519618308</v>
      </c>
      <c r="I37" s="1025">
        <f t="shared" si="2"/>
        <v>4.9130460000000008E-2</v>
      </c>
      <c r="J37" s="1024">
        <f t="shared" si="3"/>
        <v>0.19388773722892028</v>
      </c>
      <c r="K37" s="1026">
        <f t="shared" si="4"/>
        <v>9.4721605534374198E-2</v>
      </c>
      <c r="L37" s="92"/>
      <c r="M37" s="92"/>
      <c r="N37" s="92"/>
      <c r="O37" s="92"/>
      <c r="P37" s="92"/>
      <c r="Q37" s="92"/>
      <c r="R37" s="92"/>
    </row>
    <row r="38" spans="1:18" ht="15.75" hidden="1" customHeight="1">
      <c r="A38" s="1097" t="s">
        <v>125</v>
      </c>
      <c r="B38" s="1097">
        <v>216</v>
      </c>
      <c r="C38" s="1098">
        <v>1.1962106644965751</v>
      </c>
      <c r="D38" s="218">
        <f t="shared" si="0"/>
        <v>0.11410362894275444</v>
      </c>
      <c r="E38" s="218">
        <v>0.8395024010848704</v>
      </c>
      <c r="F38" s="218">
        <v>0.5561230830367363</v>
      </c>
      <c r="G38" s="1021">
        <f t="shared" si="1"/>
        <v>6.8200000000000011E-2</v>
      </c>
      <c r="H38" s="1021">
        <v>0.10341227314527049</v>
      </c>
      <c r="I38" s="218">
        <f t="shared" si="2"/>
        <v>5.0999960000000011E-2</v>
      </c>
      <c r="J38" s="1021">
        <f t="shared" si="3"/>
        <v>0.1604975989151296</v>
      </c>
      <c r="K38" s="219">
        <f t="shared" si="4"/>
        <v>0.10397564159470712</v>
      </c>
      <c r="L38" s="92"/>
      <c r="M38" s="92"/>
      <c r="N38" s="92"/>
      <c r="O38" s="92"/>
      <c r="P38" s="92"/>
      <c r="Q38" s="92"/>
      <c r="R38" s="92"/>
    </row>
    <row r="39" spans="1:18" ht="15.75" hidden="1" customHeight="1">
      <c r="A39" s="1099" t="s">
        <v>126</v>
      </c>
      <c r="B39" s="1099">
        <v>1182</v>
      </c>
      <c r="C39" s="1100">
        <v>1.0925800372394801</v>
      </c>
      <c r="D39" s="1025">
        <f t="shared" si="0"/>
        <v>0.1081863201263743</v>
      </c>
      <c r="E39" s="1025">
        <v>0.87089824174099761</v>
      </c>
      <c r="F39" s="1025">
        <v>0.39454245280932948</v>
      </c>
      <c r="G39" s="1024">
        <f t="shared" si="1"/>
        <v>6.5700000000000008E-2</v>
      </c>
      <c r="H39" s="1024">
        <v>0.16475875905545834</v>
      </c>
      <c r="I39" s="1025">
        <f t="shared" si="2"/>
        <v>4.9130460000000008E-2</v>
      </c>
      <c r="J39" s="1024">
        <f t="shared" si="3"/>
        <v>0.12910175825900239</v>
      </c>
      <c r="K39" s="1026">
        <f t="shared" si="4"/>
        <v>0.10056210474856167</v>
      </c>
      <c r="L39" s="92"/>
      <c r="M39" s="92"/>
      <c r="N39" s="92"/>
      <c r="O39" s="92"/>
      <c r="P39" s="92"/>
      <c r="Q39" s="92"/>
      <c r="R39" s="92"/>
    </row>
    <row r="40" spans="1:18" ht="15.75" hidden="1" customHeight="1">
      <c r="A40" s="1097" t="s">
        <v>127</v>
      </c>
      <c r="B40" s="1097">
        <v>342</v>
      </c>
      <c r="C40" s="1098">
        <v>1.26185646056331</v>
      </c>
      <c r="D40" s="218">
        <f t="shared" si="0"/>
        <v>0.117852003898165</v>
      </c>
      <c r="E40" s="218">
        <v>0.9381397877033153</v>
      </c>
      <c r="F40" s="218">
        <v>0.41480392467646005</v>
      </c>
      <c r="G40" s="1021">
        <f t="shared" si="1"/>
        <v>6.5700000000000008E-2</v>
      </c>
      <c r="H40" s="1021">
        <v>0.12194053663885653</v>
      </c>
      <c r="I40" s="218">
        <f t="shared" si="2"/>
        <v>4.9130460000000008E-2</v>
      </c>
      <c r="J40" s="1021">
        <f t="shared" si="3"/>
        <v>6.1860212296684702E-2</v>
      </c>
      <c r="K40" s="219">
        <f t="shared" si="4"/>
        <v>0.11360087460326858</v>
      </c>
      <c r="L40" s="92"/>
      <c r="M40" s="92"/>
      <c r="N40" s="92"/>
      <c r="O40" s="92"/>
      <c r="P40" s="92"/>
      <c r="Q40" s="92"/>
      <c r="R40" s="92"/>
    </row>
    <row r="41" spans="1:18" ht="15.75" hidden="1" customHeight="1">
      <c r="A41" s="1099" t="s">
        <v>128</v>
      </c>
      <c r="B41" s="1099">
        <v>804</v>
      </c>
      <c r="C41" s="1100">
        <v>0.97817928919457886</v>
      </c>
      <c r="D41" s="1025">
        <f t="shared" si="0"/>
        <v>0.10165403741301045</v>
      </c>
      <c r="E41" s="1025">
        <v>0.72762955068293667</v>
      </c>
      <c r="F41" s="1025">
        <v>0.35215652971694239</v>
      </c>
      <c r="G41" s="1024">
        <f t="shared" si="1"/>
        <v>6.5700000000000008E-2</v>
      </c>
      <c r="H41" s="1024">
        <v>0.1553931300407955</v>
      </c>
      <c r="I41" s="1025">
        <f t="shared" si="2"/>
        <v>4.9130460000000008E-2</v>
      </c>
      <c r="J41" s="1024">
        <f t="shared" si="3"/>
        <v>0.27237044931706333</v>
      </c>
      <c r="K41" s="1026">
        <f t="shared" si="4"/>
        <v>8.7348167033289237E-2</v>
      </c>
      <c r="L41" s="92"/>
      <c r="M41" s="92"/>
      <c r="N41" s="92"/>
      <c r="O41" s="92"/>
      <c r="P41" s="92"/>
      <c r="Q41" s="92"/>
      <c r="R41" s="92"/>
    </row>
    <row r="42" spans="1:18" ht="15.75" hidden="1" customHeight="1">
      <c r="A42" s="1097" t="s">
        <v>129</v>
      </c>
      <c r="B42" s="1097">
        <v>335</v>
      </c>
      <c r="C42" s="1098">
        <v>0.88856194869420702</v>
      </c>
      <c r="D42" s="218">
        <f t="shared" si="0"/>
        <v>9.6536887270439214E-2</v>
      </c>
      <c r="E42" s="218">
        <v>0.66540065061369225</v>
      </c>
      <c r="F42" s="218">
        <v>0.29019574720420455</v>
      </c>
      <c r="G42" s="1021">
        <f t="shared" si="1"/>
        <v>6.1199999999999997E-2</v>
      </c>
      <c r="H42" s="1021">
        <v>0.13916668409857108</v>
      </c>
      <c r="I42" s="218">
        <f t="shared" si="2"/>
        <v>4.5765359999999998E-2</v>
      </c>
      <c r="J42" s="1021">
        <f t="shared" si="3"/>
        <v>0.33459934938630775</v>
      </c>
      <c r="K42" s="219">
        <f t="shared" si="4"/>
        <v>7.9548767278401072E-2</v>
      </c>
      <c r="L42" s="92"/>
      <c r="M42" s="92"/>
      <c r="N42" s="92"/>
      <c r="O42" s="92"/>
      <c r="P42" s="92"/>
      <c r="Q42" s="92"/>
      <c r="R42" s="92"/>
    </row>
    <row r="43" spans="1:18" ht="15.75" hidden="1" customHeight="1">
      <c r="A43" s="1099" t="s">
        <v>130</v>
      </c>
      <c r="B43" s="1099">
        <v>1223</v>
      </c>
      <c r="C43" s="1100">
        <v>1.2918900121586152</v>
      </c>
      <c r="D43" s="1025">
        <f t="shared" si="0"/>
        <v>0.11956691969425692</v>
      </c>
      <c r="E43" s="1025">
        <v>0.86831219571458862</v>
      </c>
      <c r="F43" s="1025">
        <v>0.70050115224219156</v>
      </c>
      <c r="G43" s="1024">
        <f t="shared" si="1"/>
        <v>7.4500000000000011E-2</v>
      </c>
      <c r="H43" s="1024">
        <v>2.0433290762096004E-2</v>
      </c>
      <c r="I43" s="1025">
        <f t="shared" si="2"/>
        <v>5.5711100000000006E-2</v>
      </c>
      <c r="J43" s="1024">
        <f t="shared" si="3"/>
        <v>0.13168780428541138</v>
      </c>
      <c r="K43" s="1026">
        <f t="shared" si="4"/>
        <v>0.1111578870078751</v>
      </c>
      <c r="L43" s="92"/>
      <c r="M43" s="92"/>
      <c r="N43" s="92"/>
      <c r="O43" s="92"/>
      <c r="P43" s="92"/>
      <c r="Q43" s="92"/>
      <c r="R43" s="92"/>
    </row>
    <row r="44" spans="1:18" ht="15.75" hidden="1" customHeight="1">
      <c r="A44" s="1097" t="s">
        <v>131</v>
      </c>
      <c r="B44" s="1097">
        <v>1271</v>
      </c>
      <c r="C44" s="1098">
        <v>1.0459900460346432</v>
      </c>
      <c r="D44" s="218">
        <f t="shared" si="0"/>
        <v>0.10552603162857813</v>
      </c>
      <c r="E44" s="218">
        <v>0.857250317460716</v>
      </c>
      <c r="F44" s="218">
        <v>0.47680688411555949</v>
      </c>
      <c r="G44" s="1021">
        <f t="shared" si="1"/>
        <v>6.8200000000000011E-2</v>
      </c>
      <c r="H44" s="1021">
        <v>9.6403958023941291E-2</v>
      </c>
      <c r="I44" s="218">
        <f t="shared" si="2"/>
        <v>5.0999960000000011E-2</v>
      </c>
      <c r="J44" s="1021">
        <f t="shared" si="3"/>
        <v>0.142749682539284</v>
      </c>
      <c r="K44" s="219">
        <f t="shared" si="4"/>
        <v>9.7742452213484349E-2</v>
      </c>
      <c r="L44" s="92"/>
      <c r="M44" s="92"/>
      <c r="N44" s="92"/>
      <c r="O44" s="92"/>
      <c r="P44" s="92"/>
      <c r="Q44" s="92"/>
      <c r="R44" s="92"/>
    </row>
    <row r="45" spans="1:18" ht="15.75" hidden="1" customHeight="1">
      <c r="A45" s="1099" t="s">
        <v>132</v>
      </c>
      <c r="B45" s="1099">
        <v>272</v>
      </c>
      <c r="C45" s="1100">
        <v>0.86268907071886347</v>
      </c>
      <c r="D45" s="1025">
        <f t="shared" si="0"/>
        <v>9.5059545938047108E-2</v>
      </c>
      <c r="E45" s="1025">
        <v>0.77441971023464395</v>
      </c>
      <c r="F45" s="1025">
        <v>0.42984198755760755</v>
      </c>
      <c r="G45" s="1024">
        <f t="shared" si="1"/>
        <v>6.5700000000000008E-2</v>
      </c>
      <c r="H45" s="1024">
        <v>0.12339682911051103</v>
      </c>
      <c r="I45" s="1025">
        <f t="shared" si="2"/>
        <v>4.9130460000000008E-2</v>
      </c>
      <c r="J45" s="1024">
        <f t="shared" si="3"/>
        <v>0.22558028976535605</v>
      </c>
      <c r="K45" s="1026">
        <f t="shared" si="4"/>
        <v>8.4698849423484504E-2</v>
      </c>
      <c r="L45" s="92"/>
      <c r="M45" s="92"/>
      <c r="N45" s="92"/>
      <c r="O45" s="92"/>
      <c r="P45" s="92"/>
      <c r="Q45" s="92"/>
      <c r="R45" s="92"/>
    </row>
    <row r="46" spans="1:18" ht="15.75" hidden="1" customHeight="1">
      <c r="A46" s="1097" t="s">
        <v>133</v>
      </c>
      <c r="B46" s="1097">
        <v>1101</v>
      </c>
      <c r="C46" s="1098">
        <v>1.215668392683982</v>
      </c>
      <c r="D46" s="218">
        <f t="shared" si="0"/>
        <v>0.11521466522225537</v>
      </c>
      <c r="E46" s="218">
        <v>0.8533429136499312</v>
      </c>
      <c r="F46" s="218">
        <v>0.43176608961512536</v>
      </c>
      <c r="G46" s="1021">
        <f t="shared" si="1"/>
        <v>6.5700000000000008E-2</v>
      </c>
      <c r="H46" s="1021">
        <v>0.11834997694606245</v>
      </c>
      <c r="I46" s="218">
        <f t="shared" si="2"/>
        <v>4.9130460000000008E-2</v>
      </c>
      <c r="J46" s="1021">
        <f t="shared" si="3"/>
        <v>0.1466570863500688</v>
      </c>
      <c r="K46" s="219">
        <f t="shared" si="4"/>
        <v>0.10552294823059941</v>
      </c>
      <c r="L46" s="92"/>
      <c r="M46" s="92"/>
      <c r="N46" s="92"/>
      <c r="O46" s="92"/>
      <c r="P46" s="92"/>
      <c r="Q46" s="92"/>
      <c r="R46" s="92"/>
    </row>
    <row r="47" spans="1:18" ht="15.75" hidden="1" customHeight="1">
      <c r="A47" s="1099" t="s">
        <v>134</v>
      </c>
      <c r="B47" s="1099">
        <v>125</v>
      </c>
      <c r="C47" s="1100">
        <v>1.2099501889035962</v>
      </c>
      <c r="D47" s="1025">
        <f t="shared" si="0"/>
        <v>0.11488815578639533</v>
      </c>
      <c r="E47" s="1025">
        <v>0.78655683141239463</v>
      </c>
      <c r="F47" s="1025">
        <v>0.45184781142729097</v>
      </c>
      <c r="G47" s="1024">
        <f t="shared" si="1"/>
        <v>6.8200000000000011E-2</v>
      </c>
      <c r="H47" s="1024">
        <v>0.11500672621521232</v>
      </c>
      <c r="I47" s="1025">
        <f t="shared" si="2"/>
        <v>5.0999960000000011E-2</v>
      </c>
      <c r="J47" s="1024">
        <f t="shared" si="3"/>
        <v>0.21344316858760537</v>
      </c>
      <c r="K47" s="1026">
        <f t="shared" si="4"/>
        <v>0.10125165684240181</v>
      </c>
      <c r="L47" s="92"/>
      <c r="M47" s="92"/>
      <c r="N47" s="92"/>
      <c r="O47" s="92"/>
      <c r="P47" s="92"/>
      <c r="Q47" s="92"/>
      <c r="R47" s="92"/>
    </row>
    <row r="48" spans="1:18" ht="15.75" hidden="1" customHeight="1">
      <c r="A48" s="1097" t="s">
        <v>135</v>
      </c>
      <c r="B48" s="1097">
        <v>1480</v>
      </c>
      <c r="C48" s="1098">
        <v>1.3767895708284481</v>
      </c>
      <c r="D48" s="218">
        <f t="shared" si="0"/>
        <v>0.12441468449430437</v>
      </c>
      <c r="E48" s="218">
        <v>0.85109884794459023</v>
      </c>
      <c r="F48" s="218">
        <v>0.41931738089668508</v>
      </c>
      <c r="G48" s="1021">
        <f t="shared" si="1"/>
        <v>6.5700000000000008E-2</v>
      </c>
      <c r="H48" s="1021">
        <v>0.11332242765729184</v>
      </c>
      <c r="I48" s="218">
        <f t="shared" si="2"/>
        <v>4.9130460000000008E-2</v>
      </c>
      <c r="J48" s="1021">
        <f t="shared" si="3"/>
        <v>0.14890115205540977</v>
      </c>
      <c r="K48" s="219">
        <f t="shared" si="4"/>
        <v>0.11320477673550436</v>
      </c>
      <c r="L48" s="92"/>
      <c r="M48" s="92"/>
      <c r="N48" s="92"/>
      <c r="O48" s="92"/>
      <c r="P48" s="92"/>
      <c r="Q48" s="92"/>
      <c r="R48" s="92"/>
    </row>
    <row r="49" spans="1:18" ht="15.75" customHeight="1">
      <c r="A49" s="1099" t="s">
        <v>136</v>
      </c>
      <c r="B49" s="1099">
        <v>1327</v>
      </c>
      <c r="C49" s="1100">
        <v>0.92879864741205909</v>
      </c>
      <c r="D49" s="1025">
        <f t="shared" si="0"/>
        <v>9.8834402767228574E-2</v>
      </c>
      <c r="E49" s="1025">
        <v>0.51526588920150185</v>
      </c>
      <c r="F49" s="1025">
        <v>0.37039888325428788</v>
      </c>
      <c r="G49" s="1024">
        <f t="shared" si="1"/>
        <v>6.5700000000000008E-2</v>
      </c>
      <c r="H49" s="1024">
        <v>0.15882517122176154</v>
      </c>
      <c r="I49" s="1025">
        <f t="shared" si="2"/>
        <v>4.9130460000000008E-2</v>
      </c>
      <c r="J49" s="1024">
        <f t="shared" si="3"/>
        <v>0.48473411079849815</v>
      </c>
      <c r="K49" s="1026">
        <f t="shared" si="4"/>
        <v>7.4741206266776591E-2</v>
      </c>
      <c r="L49" s="92"/>
      <c r="M49" s="92"/>
      <c r="N49" s="92"/>
      <c r="O49" s="92"/>
      <c r="P49" s="92"/>
      <c r="Q49" s="92"/>
      <c r="R49" s="92"/>
    </row>
    <row r="50" spans="1:18" ht="15.75" hidden="1" customHeight="1">
      <c r="A50" s="1097" t="s">
        <v>137</v>
      </c>
      <c r="B50" s="1097">
        <v>748</v>
      </c>
      <c r="C50" s="1098">
        <v>1.0554392738374743</v>
      </c>
      <c r="D50" s="218">
        <f t="shared" si="0"/>
        <v>0.10606558253611978</v>
      </c>
      <c r="E50" s="218">
        <v>0.84960218903095475</v>
      </c>
      <c r="F50" s="218">
        <v>0.47466301980519926</v>
      </c>
      <c r="G50" s="1021">
        <f t="shared" si="1"/>
        <v>6.8200000000000011E-2</v>
      </c>
      <c r="H50" s="1021">
        <v>8.7887982094768016E-2</v>
      </c>
      <c r="I50" s="218">
        <f t="shared" si="2"/>
        <v>5.0999960000000011E-2</v>
      </c>
      <c r="J50" s="1021">
        <f t="shared" si="3"/>
        <v>0.15039781096904525</v>
      </c>
      <c r="K50" s="219">
        <f t="shared" si="4"/>
        <v>9.7783833447039642E-2</v>
      </c>
      <c r="L50" s="92"/>
      <c r="M50" s="92"/>
      <c r="N50" s="92"/>
      <c r="O50" s="92"/>
      <c r="P50" s="92"/>
      <c r="Q50" s="92"/>
      <c r="R50" s="92"/>
    </row>
    <row r="51" spans="1:18" ht="15.75" hidden="1" customHeight="1">
      <c r="A51" s="1099" t="s">
        <v>138</v>
      </c>
      <c r="B51" s="1099">
        <v>391</v>
      </c>
      <c r="C51" s="1100">
        <v>1.0297058112156112</v>
      </c>
      <c r="D51" s="1025">
        <f t="shared" si="0"/>
        <v>0.10459620182041141</v>
      </c>
      <c r="E51" s="1025">
        <v>0.74412431286484992</v>
      </c>
      <c r="F51" s="1025">
        <v>0.42938191566121314</v>
      </c>
      <c r="G51" s="1024">
        <f t="shared" si="1"/>
        <v>6.5700000000000008E-2</v>
      </c>
      <c r="H51" s="1024">
        <v>0.13223885679532385</v>
      </c>
      <c r="I51" s="1025">
        <f t="shared" si="2"/>
        <v>4.9130460000000008E-2</v>
      </c>
      <c r="J51" s="1024">
        <f t="shared" si="3"/>
        <v>0.25587568713515008</v>
      </c>
      <c r="K51" s="1026">
        <f t="shared" si="4"/>
        <v>9.0403867019652806E-2</v>
      </c>
      <c r="L51" s="92"/>
      <c r="M51" s="92"/>
      <c r="N51" s="92"/>
      <c r="O51" s="92"/>
      <c r="P51" s="92"/>
      <c r="Q51" s="92"/>
      <c r="R51" s="92"/>
    </row>
    <row r="52" spans="1:18" ht="15.75" hidden="1" customHeight="1">
      <c r="A52" s="1097" t="s">
        <v>139</v>
      </c>
      <c r="B52" s="1097">
        <v>429</v>
      </c>
      <c r="C52" s="1098">
        <v>0.77354538154095709</v>
      </c>
      <c r="D52" s="218">
        <f t="shared" si="0"/>
        <v>8.9969441285988647E-2</v>
      </c>
      <c r="E52" s="218">
        <v>0.60955217565277908</v>
      </c>
      <c r="F52" s="218">
        <v>0.37236302477623251</v>
      </c>
      <c r="G52" s="1021">
        <f t="shared" si="1"/>
        <v>6.5700000000000008E-2</v>
      </c>
      <c r="H52" s="1021">
        <v>0.13522989637846131</v>
      </c>
      <c r="I52" s="218">
        <f t="shared" si="2"/>
        <v>4.9130460000000008E-2</v>
      </c>
      <c r="J52" s="1021">
        <f t="shared" si="3"/>
        <v>0.39044782434722092</v>
      </c>
      <c r="K52" s="219">
        <f t="shared" si="4"/>
        <v>7.4023949894317514E-2</v>
      </c>
      <c r="L52" s="92"/>
      <c r="M52" s="92"/>
      <c r="N52" s="92"/>
      <c r="O52" s="92"/>
      <c r="P52" s="92"/>
      <c r="Q52" s="92"/>
      <c r="R52" s="92"/>
    </row>
    <row r="53" spans="1:18" ht="15.75" hidden="1" customHeight="1">
      <c r="A53" s="1099" t="s">
        <v>254</v>
      </c>
      <c r="B53" s="1099">
        <v>1117</v>
      </c>
      <c r="C53" s="1100">
        <v>0.82085647616265467</v>
      </c>
      <c r="D53" s="1025">
        <f t="shared" si="0"/>
        <v>9.2670904788887579E-2</v>
      </c>
      <c r="E53" s="1025">
        <v>0.25259490018778019</v>
      </c>
      <c r="F53" s="1025">
        <v>0.40822234595011475</v>
      </c>
      <c r="G53" s="1024">
        <f t="shared" si="1"/>
        <v>6.5700000000000008E-2</v>
      </c>
      <c r="H53" s="1024">
        <v>0.14490943454373367</v>
      </c>
      <c r="I53" s="1025">
        <f t="shared" si="2"/>
        <v>4.9130460000000008E-2</v>
      </c>
      <c r="J53" s="1024">
        <f t="shared" si="3"/>
        <v>0.74740509981221981</v>
      </c>
      <c r="K53" s="1026">
        <f t="shared" si="4"/>
        <v>6.0128554305580617E-2</v>
      </c>
      <c r="L53" s="92"/>
      <c r="M53" s="92"/>
      <c r="N53" s="92"/>
      <c r="O53" s="92"/>
      <c r="P53" s="92"/>
      <c r="Q53" s="92"/>
      <c r="R53" s="92"/>
    </row>
    <row r="54" spans="1:18" ht="15.75" hidden="1" customHeight="1">
      <c r="A54" s="1097" t="s">
        <v>141</v>
      </c>
      <c r="B54" s="1097">
        <v>1424</v>
      </c>
      <c r="C54" s="1098">
        <v>0.68123561080375894</v>
      </c>
      <c r="D54" s="218">
        <f t="shared" si="0"/>
        <v>8.4698553376894636E-2</v>
      </c>
      <c r="E54" s="218">
        <v>0.73448489573855613</v>
      </c>
      <c r="F54" s="218">
        <v>0.32702488022790016</v>
      </c>
      <c r="G54" s="1021">
        <f t="shared" si="1"/>
        <v>6.5700000000000008E-2</v>
      </c>
      <c r="H54" s="1021">
        <v>0.15623387964976904</v>
      </c>
      <c r="I54" s="218">
        <f t="shared" si="2"/>
        <v>4.9130460000000008E-2</v>
      </c>
      <c r="J54" s="1021">
        <f t="shared" si="3"/>
        <v>0.26551510426144387</v>
      </c>
      <c r="K54" s="219">
        <f t="shared" si="4"/>
        <v>7.5254687355547689E-2</v>
      </c>
      <c r="L54" s="92"/>
      <c r="M54" s="92"/>
      <c r="N54" s="92"/>
      <c r="O54" s="92"/>
      <c r="P54" s="92"/>
      <c r="Q54" s="92"/>
      <c r="R54" s="92"/>
    </row>
    <row r="55" spans="1:18" ht="15.75" hidden="1" customHeight="1">
      <c r="A55" s="1099" t="s">
        <v>142</v>
      </c>
      <c r="B55" s="1099">
        <v>188</v>
      </c>
      <c r="C55" s="1100">
        <v>0.59854811525370277</v>
      </c>
      <c r="D55" s="1025">
        <f t="shared" si="0"/>
        <v>7.9977097380986434E-2</v>
      </c>
      <c r="E55" s="1025">
        <v>0.63073374852597963</v>
      </c>
      <c r="F55" s="1025">
        <v>0.36762294661109274</v>
      </c>
      <c r="G55" s="1024">
        <f t="shared" si="1"/>
        <v>6.5700000000000008E-2</v>
      </c>
      <c r="H55" s="1024">
        <v>0.17700875397813667</v>
      </c>
      <c r="I55" s="1025">
        <f t="shared" si="2"/>
        <v>4.9130460000000008E-2</v>
      </c>
      <c r="J55" s="1024">
        <f t="shared" si="3"/>
        <v>0.36926625147402037</v>
      </c>
      <c r="K55" s="1026">
        <f t="shared" si="4"/>
        <v>6.8586475224731186E-2</v>
      </c>
      <c r="L55" s="92"/>
      <c r="M55" s="92"/>
      <c r="N55" s="92"/>
      <c r="O55" s="92"/>
      <c r="P55" s="92"/>
      <c r="Q55" s="92"/>
      <c r="R55" s="92"/>
    </row>
    <row r="56" spans="1:18" ht="15.75" hidden="1" customHeight="1">
      <c r="A56" s="1097" t="s">
        <v>143</v>
      </c>
      <c r="B56" s="1097">
        <v>380</v>
      </c>
      <c r="C56" s="1098">
        <v>0.93610405178081413</v>
      </c>
      <c r="D56" s="218">
        <f t="shared" si="0"/>
        <v>9.9251541356684486E-2</v>
      </c>
      <c r="E56" s="218">
        <v>0.80135019943019725</v>
      </c>
      <c r="F56" s="218">
        <v>0.35335197113155625</v>
      </c>
      <c r="G56" s="1021">
        <f t="shared" si="1"/>
        <v>6.5700000000000008E-2</v>
      </c>
      <c r="H56" s="1021">
        <v>0.14366739006588514</v>
      </c>
      <c r="I56" s="218">
        <f t="shared" si="2"/>
        <v>4.9130460000000008E-2</v>
      </c>
      <c r="J56" s="1021">
        <f t="shared" si="3"/>
        <v>0.19864980056980275</v>
      </c>
      <c r="K56" s="219">
        <f t="shared" si="4"/>
        <v>8.9294998540836251E-2</v>
      </c>
      <c r="L56" s="92"/>
      <c r="M56" s="92"/>
      <c r="N56" s="92"/>
      <c r="O56" s="92"/>
      <c r="P56" s="92"/>
      <c r="Q56" s="92"/>
      <c r="R56" s="92"/>
    </row>
    <row r="57" spans="1:18" ht="15.75" hidden="1" customHeight="1">
      <c r="A57" s="1099" t="s">
        <v>144</v>
      </c>
      <c r="B57" s="1099">
        <v>260</v>
      </c>
      <c r="C57" s="1100">
        <v>0.88597908202182851</v>
      </c>
      <c r="D57" s="1025">
        <f t="shared" si="0"/>
        <v>9.6389405583446414E-2</v>
      </c>
      <c r="E57" s="1025">
        <v>0.57828881682741828</v>
      </c>
      <c r="F57" s="1025">
        <v>0.38164888111143741</v>
      </c>
      <c r="G57" s="1024">
        <f t="shared" si="1"/>
        <v>6.5700000000000008E-2</v>
      </c>
      <c r="H57" s="1024">
        <v>0.1047793758008416</v>
      </c>
      <c r="I57" s="1025">
        <f t="shared" si="2"/>
        <v>4.9130460000000008E-2</v>
      </c>
      <c r="J57" s="1024">
        <f t="shared" si="3"/>
        <v>0.42171118317258172</v>
      </c>
      <c r="K57" s="1026">
        <f t="shared" si="4"/>
        <v>7.6459779725962573E-2</v>
      </c>
      <c r="L57" s="92"/>
      <c r="M57" s="92"/>
      <c r="N57" s="92"/>
      <c r="O57" s="92"/>
      <c r="P57" s="92"/>
      <c r="Q57" s="92"/>
      <c r="R57" s="92"/>
    </row>
    <row r="58" spans="1:18" ht="15.75" hidden="1" customHeight="1">
      <c r="A58" s="1097" t="s">
        <v>145</v>
      </c>
      <c r="B58" s="1097">
        <v>850</v>
      </c>
      <c r="C58" s="1098">
        <v>1.1457756246639703</v>
      </c>
      <c r="D58" s="218">
        <f t="shared" si="0"/>
        <v>0.11122378816831271</v>
      </c>
      <c r="E58" s="218">
        <v>0.87540981893197156</v>
      </c>
      <c r="F58" s="218">
        <v>0.49084979637043874</v>
      </c>
      <c r="G58" s="1021">
        <f t="shared" si="1"/>
        <v>6.8200000000000011E-2</v>
      </c>
      <c r="H58" s="1021">
        <v>8.3346774134727922E-2</v>
      </c>
      <c r="I58" s="218">
        <f t="shared" si="2"/>
        <v>5.0999960000000011E-2</v>
      </c>
      <c r="J58" s="1021">
        <f t="shared" si="3"/>
        <v>0.12459018106802844</v>
      </c>
      <c r="K58" s="219">
        <f t="shared" si="4"/>
        <v>0.1037204905122128</v>
      </c>
      <c r="L58" s="92"/>
      <c r="M58" s="92"/>
      <c r="N58" s="92"/>
      <c r="O58" s="92"/>
      <c r="P58" s="92"/>
      <c r="Q58" s="92"/>
      <c r="R58" s="92"/>
    </row>
    <row r="59" spans="1:18" ht="15.75" hidden="1" customHeight="1">
      <c r="A59" s="1099" t="s">
        <v>146</v>
      </c>
      <c r="B59" s="1099">
        <v>480</v>
      </c>
      <c r="C59" s="1100">
        <v>0.86832079191349421</v>
      </c>
      <c r="D59" s="1025">
        <f t="shared" si="0"/>
        <v>9.5381117218260508E-2</v>
      </c>
      <c r="E59" s="1025">
        <v>0.72028125693868827</v>
      </c>
      <c r="F59" s="1025">
        <v>0.4113975379400226</v>
      </c>
      <c r="G59" s="1024">
        <f t="shared" si="1"/>
        <v>6.5700000000000008E-2</v>
      </c>
      <c r="H59" s="1024">
        <v>0.1447747479852563</v>
      </c>
      <c r="I59" s="1025">
        <f t="shared" si="2"/>
        <v>4.9130460000000008E-2</v>
      </c>
      <c r="J59" s="1024">
        <f t="shared" si="3"/>
        <v>0.27971874306131173</v>
      </c>
      <c r="K59" s="1026">
        <f t="shared" si="4"/>
        <v>8.2443941515409097E-2</v>
      </c>
      <c r="L59" s="92"/>
      <c r="M59" s="92"/>
      <c r="N59" s="92"/>
      <c r="O59" s="92"/>
      <c r="P59" s="92"/>
      <c r="Q59" s="92"/>
      <c r="R59" s="92"/>
    </row>
    <row r="60" spans="1:18" ht="15.75" hidden="1" customHeight="1">
      <c r="A60" s="1097" t="s">
        <v>255</v>
      </c>
      <c r="B60" s="1097">
        <v>435</v>
      </c>
      <c r="C60" s="1098">
        <v>1.2059921327413936</v>
      </c>
      <c r="D60" s="218">
        <f t="shared" si="0"/>
        <v>0.11466215077953357</v>
      </c>
      <c r="E60" s="218">
        <v>0.87655867375150531</v>
      </c>
      <c r="F60" s="218">
        <v>0.52671259281059979</v>
      </c>
      <c r="G60" s="1021">
        <f t="shared" si="1"/>
        <v>6.8200000000000011E-2</v>
      </c>
      <c r="H60" s="1021">
        <v>6.1312142214532628E-2</v>
      </c>
      <c r="I60" s="218">
        <f t="shared" si="2"/>
        <v>5.0999960000000011E-2</v>
      </c>
      <c r="J60" s="1021">
        <f t="shared" si="3"/>
        <v>0.12344132624849469</v>
      </c>
      <c r="K60" s="219">
        <f t="shared" si="4"/>
        <v>0.10680360551782325</v>
      </c>
      <c r="L60" s="92"/>
      <c r="M60" s="92"/>
      <c r="N60" s="92"/>
      <c r="O60" s="92"/>
      <c r="P60" s="92"/>
      <c r="Q60" s="92"/>
      <c r="R60" s="92"/>
    </row>
    <row r="61" spans="1:18" ht="15.75" hidden="1" customHeight="1">
      <c r="A61" s="1099" t="s">
        <v>148</v>
      </c>
      <c r="B61" s="1099">
        <v>165</v>
      </c>
      <c r="C61" s="1100">
        <v>1.0677356476037183</v>
      </c>
      <c r="D61" s="1025">
        <f t="shared" si="0"/>
        <v>0.10676770547817231</v>
      </c>
      <c r="E61" s="1025">
        <v>0.74195719683615069</v>
      </c>
      <c r="F61" s="1025">
        <v>0.3342135660466185</v>
      </c>
      <c r="G61" s="1024">
        <f t="shared" si="1"/>
        <v>6.5700000000000008E-2</v>
      </c>
      <c r="H61" s="1024">
        <v>0.18872652923726171</v>
      </c>
      <c r="I61" s="1025">
        <f t="shared" si="2"/>
        <v>4.9130460000000008E-2</v>
      </c>
      <c r="J61" s="1024">
        <f t="shared" si="3"/>
        <v>0.25804280316384931</v>
      </c>
      <c r="K61" s="1026">
        <f t="shared" si="4"/>
        <v>9.1894829088341831E-2</v>
      </c>
      <c r="L61" s="92"/>
      <c r="M61" s="92"/>
      <c r="N61" s="92"/>
      <c r="O61" s="92"/>
      <c r="P61" s="92"/>
      <c r="Q61" s="92"/>
      <c r="R61" s="92"/>
    </row>
    <row r="62" spans="1:18" ht="15.75" hidden="1" customHeight="1">
      <c r="A62" s="1097" t="s">
        <v>149</v>
      </c>
      <c r="B62" s="1097">
        <v>245</v>
      </c>
      <c r="C62" s="1098">
        <v>0.77367833349541271</v>
      </c>
      <c r="D62" s="218">
        <f t="shared" si="0"/>
        <v>8.9977032842588067E-2</v>
      </c>
      <c r="E62" s="218">
        <v>0.6661805451965308</v>
      </c>
      <c r="F62" s="218">
        <v>0.34422329078677011</v>
      </c>
      <c r="G62" s="1021">
        <f t="shared" si="1"/>
        <v>6.5700000000000008E-2</v>
      </c>
      <c r="H62" s="1021">
        <v>0.17181315298349481</v>
      </c>
      <c r="I62" s="218">
        <f t="shared" si="2"/>
        <v>4.9130460000000008E-2</v>
      </c>
      <c r="J62" s="1021">
        <f t="shared" si="3"/>
        <v>0.3338194548034692</v>
      </c>
      <c r="K62" s="219">
        <f t="shared" si="4"/>
        <v>7.6341652165685128E-2</v>
      </c>
      <c r="L62" s="92"/>
      <c r="M62" s="92"/>
      <c r="N62" s="92"/>
      <c r="O62" s="92"/>
      <c r="P62" s="92"/>
      <c r="Q62" s="92"/>
      <c r="R62" s="92"/>
    </row>
    <row r="63" spans="1:18" ht="15.75" hidden="1" customHeight="1">
      <c r="A63" s="1099" t="s">
        <v>150</v>
      </c>
      <c r="B63" s="1099">
        <v>660</v>
      </c>
      <c r="C63" s="1100">
        <v>0.91305267791501576</v>
      </c>
      <c r="D63" s="1025">
        <f t="shared" si="0"/>
        <v>9.7935307908947389E-2</v>
      </c>
      <c r="E63" s="1025">
        <v>0.70198302128313494</v>
      </c>
      <c r="F63" s="1025">
        <v>0.37039743711619999</v>
      </c>
      <c r="G63" s="1024">
        <f t="shared" si="1"/>
        <v>6.5700000000000008E-2</v>
      </c>
      <c r="H63" s="1024">
        <v>0.11825805716497438</v>
      </c>
      <c r="I63" s="1025">
        <f t="shared" si="2"/>
        <v>4.9130460000000008E-2</v>
      </c>
      <c r="J63" s="1024">
        <f t="shared" si="3"/>
        <v>0.29801697871686506</v>
      </c>
      <c r="K63" s="1026">
        <f t="shared" si="4"/>
        <v>8.3390634588386775E-2</v>
      </c>
      <c r="L63" s="92"/>
      <c r="M63" s="92"/>
      <c r="N63" s="92"/>
      <c r="O63" s="92"/>
      <c r="P63" s="92"/>
      <c r="Q63" s="92"/>
      <c r="R63" s="92"/>
    </row>
    <row r="64" spans="1:18" ht="15.75" hidden="1" customHeight="1">
      <c r="A64" s="1097" t="s">
        <v>151</v>
      </c>
      <c r="B64" s="1097">
        <v>554</v>
      </c>
      <c r="C64" s="1098">
        <v>0.87995434722373944</v>
      </c>
      <c r="D64" s="218">
        <f t="shared" si="0"/>
        <v>9.6045393226475512E-2</v>
      </c>
      <c r="E64" s="218">
        <v>0.87625503725330356</v>
      </c>
      <c r="F64" s="218">
        <v>0.39284610486733684</v>
      </c>
      <c r="G64" s="1021">
        <f t="shared" si="1"/>
        <v>6.5700000000000008E-2</v>
      </c>
      <c r="H64" s="1021">
        <v>0.1366916395957152</v>
      </c>
      <c r="I64" s="218">
        <f t="shared" si="2"/>
        <v>4.9130460000000008E-2</v>
      </c>
      <c r="J64" s="1021">
        <f t="shared" si="3"/>
        <v>0.12374496274669644</v>
      </c>
      <c r="K64" s="219">
        <f t="shared" si="4"/>
        <v>9.0239906562101554E-2</v>
      </c>
      <c r="L64" s="92"/>
      <c r="M64" s="92"/>
      <c r="N64" s="92"/>
      <c r="O64" s="92"/>
      <c r="P64" s="92"/>
      <c r="Q64" s="92"/>
      <c r="R64" s="92"/>
    </row>
    <row r="65" spans="1:18" ht="15.75" hidden="1" customHeight="1">
      <c r="A65" s="1099" t="s">
        <v>152</v>
      </c>
      <c r="B65" s="1099">
        <v>85</v>
      </c>
      <c r="C65" s="1100">
        <v>1.1245610499517515</v>
      </c>
      <c r="D65" s="1025">
        <f t="shared" si="0"/>
        <v>0.11001243595224502</v>
      </c>
      <c r="E65" s="1025">
        <v>0.74561251658027794</v>
      </c>
      <c r="F65" s="1025">
        <v>0.41228863867953691</v>
      </c>
      <c r="G65" s="1024">
        <f t="shared" si="1"/>
        <v>6.5700000000000008E-2</v>
      </c>
      <c r="H65" s="1024">
        <v>0.16585514761820333</v>
      </c>
      <c r="I65" s="1025">
        <f t="shared" si="2"/>
        <v>4.9130460000000008E-2</v>
      </c>
      <c r="J65" s="1024">
        <f t="shared" si="3"/>
        <v>0.25438748341972206</v>
      </c>
      <c r="K65" s="1026">
        <f t="shared" si="4"/>
        <v>9.4524823304133379E-2</v>
      </c>
      <c r="L65" s="92"/>
      <c r="M65" s="92"/>
      <c r="N65" s="92"/>
      <c r="O65" s="92"/>
      <c r="P65" s="92"/>
      <c r="Q65" s="92"/>
      <c r="R65" s="92"/>
    </row>
    <row r="66" spans="1:18" ht="15.75" hidden="1" customHeight="1">
      <c r="A66" s="1097" t="s">
        <v>153</v>
      </c>
      <c r="B66" s="1097">
        <v>199</v>
      </c>
      <c r="C66" s="1098">
        <v>0.57451200187217744</v>
      </c>
      <c r="D66" s="218">
        <f t="shared" si="0"/>
        <v>7.860463530690133E-2</v>
      </c>
      <c r="E66" s="218">
        <v>0.76178615453784915</v>
      </c>
      <c r="F66" s="218">
        <v>0.30078474160730762</v>
      </c>
      <c r="G66" s="1021">
        <f t="shared" si="1"/>
        <v>6.5700000000000008E-2</v>
      </c>
      <c r="H66" s="1021">
        <v>0.15238045010153373</v>
      </c>
      <c r="I66" s="218">
        <f t="shared" si="2"/>
        <v>4.9130460000000008E-2</v>
      </c>
      <c r="J66" s="1021">
        <f t="shared" si="3"/>
        <v>0.23821384546215085</v>
      </c>
      <c r="K66" s="219">
        <f t="shared" si="4"/>
        <v>7.1583478665218789E-2</v>
      </c>
      <c r="L66" s="92"/>
      <c r="M66" s="92"/>
      <c r="N66" s="92"/>
      <c r="O66" s="92"/>
      <c r="P66" s="92"/>
      <c r="Q66" s="92"/>
      <c r="R66" s="92"/>
    </row>
    <row r="67" spans="1:18" ht="15.75" hidden="1" customHeight="1">
      <c r="A67" s="1099" t="s">
        <v>154</v>
      </c>
      <c r="B67" s="1099">
        <v>137</v>
      </c>
      <c r="C67" s="1100">
        <v>0.94159894483721496</v>
      </c>
      <c r="D67" s="1025">
        <f t="shared" si="0"/>
        <v>9.9565299750204977E-2</v>
      </c>
      <c r="E67" s="1025">
        <v>0.50359493613739614</v>
      </c>
      <c r="F67" s="1025">
        <v>0.291910176346379</v>
      </c>
      <c r="G67" s="1024">
        <f t="shared" si="1"/>
        <v>6.1199999999999997E-2</v>
      </c>
      <c r="H67" s="1024">
        <v>0.13664672979645745</v>
      </c>
      <c r="I67" s="1025">
        <f t="shared" si="2"/>
        <v>4.5765359999999998E-2</v>
      </c>
      <c r="J67" s="1024">
        <f t="shared" si="3"/>
        <v>0.49640506386260386</v>
      </c>
      <c r="K67" s="1026">
        <f t="shared" si="4"/>
        <v>7.285873722270024E-2</v>
      </c>
      <c r="L67" s="92"/>
      <c r="M67" s="92"/>
      <c r="N67" s="92"/>
      <c r="O67" s="92"/>
      <c r="P67" s="92"/>
      <c r="Q67" s="92"/>
      <c r="R67" s="92"/>
    </row>
    <row r="68" spans="1:18" ht="15.75" hidden="1" customHeight="1">
      <c r="A68" s="1097" t="s">
        <v>155</v>
      </c>
      <c r="B68" s="1097">
        <v>240</v>
      </c>
      <c r="C68" s="1098">
        <v>0.49854866099290202</v>
      </c>
      <c r="D68" s="218">
        <f t="shared" si="0"/>
        <v>7.426712854269471E-2</v>
      </c>
      <c r="E68" s="218">
        <v>0.85587232323320572</v>
      </c>
      <c r="F68" s="218">
        <v>0.29601677327192982</v>
      </c>
      <c r="G68" s="1021">
        <f t="shared" si="1"/>
        <v>6.1199999999999997E-2</v>
      </c>
      <c r="H68" s="1021">
        <v>0.17569629235212289</v>
      </c>
      <c r="I68" s="218">
        <f t="shared" si="2"/>
        <v>4.5765359999999998E-2</v>
      </c>
      <c r="J68" s="1021">
        <f t="shared" si="3"/>
        <v>0.14412767676679428</v>
      </c>
      <c r="K68" s="219">
        <f t="shared" si="4"/>
        <v>7.0159234858891223E-2</v>
      </c>
      <c r="L68" s="92"/>
      <c r="M68" s="92"/>
      <c r="N68" s="92"/>
      <c r="O68" s="92"/>
      <c r="P68" s="92"/>
      <c r="Q68" s="92"/>
      <c r="R68" s="92"/>
    </row>
    <row r="69" spans="1:18" ht="15.75" hidden="1" customHeight="1">
      <c r="A69" s="1099" t="s">
        <v>156</v>
      </c>
      <c r="B69" s="1099">
        <v>1291</v>
      </c>
      <c r="C69" s="1100">
        <v>0.76702681119427663</v>
      </c>
      <c r="D69" s="1025">
        <f t="shared" si="0"/>
        <v>8.9597230919193194E-2</v>
      </c>
      <c r="E69" s="1025">
        <v>0.61854369382115681</v>
      </c>
      <c r="F69" s="1025">
        <v>0.37580311665485761</v>
      </c>
      <c r="G69" s="1024">
        <f t="shared" si="1"/>
        <v>6.5700000000000008E-2</v>
      </c>
      <c r="H69" s="1024">
        <v>8.6157146301569371E-2</v>
      </c>
      <c r="I69" s="1025">
        <f t="shared" si="2"/>
        <v>4.9130460000000008E-2</v>
      </c>
      <c r="J69" s="1024">
        <f t="shared" si="3"/>
        <v>0.38145630617884319</v>
      </c>
      <c r="K69" s="1026">
        <f t="shared" si="4"/>
        <v>7.4160925961372332E-2</v>
      </c>
      <c r="L69" s="92"/>
      <c r="M69" s="92"/>
      <c r="N69" s="92"/>
      <c r="O69" s="92"/>
      <c r="P69" s="92"/>
      <c r="Q69" s="92"/>
      <c r="R69" s="92"/>
    </row>
    <row r="70" spans="1:18" ht="15.75" hidden="1" customHeight="1">
      <c r="A70" s="1097" t="s">
        <v>157</v>
      </c>
      <c r="B70" s="1097">
        <v>1548</v>
      </c>
      <c r="C70" s="1098">
        <v>1.1576883260119293</v>
      </c>
      <c r="D70" s="218">
        <f t="shared" si="0"/>
        <v>0.11190400341528117</v>
      </c>
      <c r="E70" s="218">
        <v>0.86499941653365764</v>
      </c>
      <c r="F70" s="218">
        <v>0.37357026284951733</v>
      </c>
      <c r="G70" s="1021">
        <f t="shared" si="1"/>
        <v>6.5700000000000008E-2</v>
      </c>
      <c r="H70" s="1021">
        <v>0.14714515530435857</v>
      </c>
      <c r="I70" s="218">
        <f t="shared" si="2"/>
        <v>4.9130460000000008E-2</v>
      </c>
      <c r="J70" s="1021">
        <f t="shared" si="3"/>
        <v>0.13500058346634236</v>
      </c>
      <c r="K70" s="219">
        <f t="shared" si="4"/>
        <v>0.10342953842796844</v>
      </c>
      <c r="L70" s="92"/>
      <c r="M70" s="92"/>
      <c r="N70" s="92"/>
      <c r="O70" s="92"/>
      <c r="P70" s="92"/>
      <c r="Q70" s="92"/>
      <c r="R70" s="92"/>
    </row>
    <row r="71" spans="1:18" ht="15.75" hidden="1" customHeight="1">
      <c r="A71" s="1099" t="s">
        <v>158</v>
      </c>
      <c r="B71" s="1099">
        <v>1832</v>
      </c>
      <c r="C71" s="1100">
        <v>1.1212472099030004</v>
      </c>
      <c r="D71" s="1025">
        <f t="shared" si="0"/>
        <v>0.10982321568546133</v>
      </c>
      <c r="E71" s="1025">
        <v>0.76608260280167628</v>
      </c>
      <c r="F71" s="1025">
        <v>0.69554926408399675</v>
      </c>
      <c r="G71" s="1024">
        <f t="shared" si="1"/>
        <v>7.4500000000000011E-2</v>
      </c>
      <c r="H71" s="1024">
        <v>3.9029022718947308E-2</v>
      </c>
      <c r="I71" s="1025">
        <f t="shared" si="2"/>
        <v>5.5711100000000006E-2</v>
      </c>
      <c r="J71" s="1024">
        <f t="shared" si="3"/>
        <v>0.23391739719832372</v>
      </c>
      <c r="K71" s="1026">
        <f t="shared" si="4"/>
        <v>9.7165450427423625E-2</v>
      </c>
      <c r="L71" s="92"/>
      <c r="M71" s="92"/>
      <c r="N71" s="92"/>
      <c r="O71" s="92"/>
      <c r="P71" s="92"/>
      <c r="Q71" s="92"/>
      <c r="R71" s="92"/>
    </row>
    <row r="72" spans="1:18" ht="15.75" hidden="1" customHeight="1">
      <c r="A72" s="1097" t="s">
        <v>159</v>
      </c>
      <c r="B72" s="1097">
        <v>140</v>
      </c>
      <c r="C72" s="1098">
        <v>0.76010840945964098</v>
      </c>
      <c r="D72" s="218">
        <f t="shared" si="0"/>
        <v>8.9202190180145496E-2</v>
      </c>
      <c r="E72" s="218">
        <v>0.78076539591317706</v>
      </c>
      <c r="F72" s="218">
        <v>0.35550865977630808</v>
      </c>
      <c r="G72" s="1021">
        <f t="shared" si="1"/>
        <v>6.5700000000000008E-2</v>
      </c>
      <c r="H72" s="1021">
        <v>0.19433541841163088</v>
      </c>
      <c r="I72" s="218">
        <f t="shared" si="2"/>
        <v>4.9130460000000008E-2</v>
      </c>
      <c r="J72" s="1021">
        <f t="shared" si="3"/>
        <v>0.21923460408682294</v>
      </c>
      <c r="K72" s="219">
        <f t="shared" si="4"/>
        <v>8.0417080279027303E-2</v>
      </c>
      <c r="L72" s="92"/>
      <c r="M72" s="92"/>
      <c r="N72" s="92"/>
      <c r="O72" s="92"/>
      <c r="P72" s="92"/>
      <c r="Q72" s="92"/>
      <c r="R72" s="92"/>
    </row>
    <row r="73" spans="1:18" ht="15.75" hidden="1" customHeight="1">
      <c r="A73" s="1099" t="s">
        <v>160</v>
      </c>
      <c r="B73" s="1099">
        <v>36</v>
      </c>
      <c r="C73" s="1100">
        <v>0.9316777107029921</v>
      </c>
      <c r="D73" s="1025">
        <f t="shared" si="0"/>
        <v>9.8998797281140846E-2</v>
      </c>
      <c r="E73" s="1025">
        <v>0.83282111016040072</v>
      </c>
      <c r="F73" s="1025">
        <v>0.30370601991749058</v>
      </c>
      <c r="G73" s="1024">
        <f t="shared" si="1"/>
        <v>6.5700000000000008E-2</v>
      </c>
      <c r="H73" s="1024">
        <v>0.28030333693895232</v>
      </c>
      <c r="I73" s="1025">
        <f t="shared" si="2"/>
        <v>4.9130460000000008E-2</v>
      </c>
      <c r="J73" s="1024">
        <f t="shared" si="3"/>
        <v>0.16717888983959928</v>
      </c>
      <c r="K73" s="1026">
        <f t="shared" si="4"/>
        <v>9.0661864016333013E-2</v>
      </c>
      <c r="L73" s="92"/>
      <c r="M73" s="92"/>
      <c r="N73" s="92"/>
      <c r="O73" s="92"/>
      <c r="P73" s="92"/>
      <c r="Q73" s="92"/>
      <c r="R73" s="92"/>
    </row>
    <row r="74" spans="1:18" ht="15.75" hidden="1" customHeight="1">
      <c r="A74" s="1097" t="s">
        <v>256</v>
      </c>
      <c r="B74" s="1097">
        <v>548</v>
      </c>
      <c r="C74" s="1098">
        <v>1.0156805607417236</v>
      </c>
      <c r="D74" s="218">
        <f t="shared" si="0"/>
        <v>0.10379536001835242</v>
      </c>
      <c r="E74" s="218">
        <v>0.77562711290486031</v>
      </c>
      <c r="F74" s="218">
        <v>0.50379767727481561</v>
      </c>
      <c r="G74" s="1021">
        <f t="shared" si="1"/>
        <v>6.8200000000000011E-2</v>
      </c>
      <c r="H74" s="1021">
        <v>8.5492341976096647E-2</v>
      </c>
      <c r="I74" s="218">
        <f t="shared" si="2"/>
        <v>5.0999960000000011E-2</v>
      </c>
      <c r="J74" s="1021">
        <f t="shared" si="3"/>
        <v>0.22437288709513969</v>
      </c>
      <c r="K74" s="219">
        <f t="shared" si="4"/>
        <v>9.1949503690891901E-2</v>
      </c>
      <c r="L74" s="92"/>
      <c r="M74" s="92"/>
      <c r="N74" s="92"/>
      <c r="O74" s="92"/>
      <c r="P74" s="92"/>
      <c r="Q74" s="92"/>
      <c r="R74" s="92"/>
    </row>
    <row r="75" spans="1:18" ht="15.75" hidden="1" customHeight="1">
      <c r="A75" s="1099" t="s">
        <v>162</v>
      </c>
      <c r="B75" s="1099">
        <v>179</v>
      </c>
      <c r="C75" s="1100">
        <v>0.67213343237645196</v>
      </c>
      <c r="D75" s="1025">
        <f t="shared" si="0"/>
        <v>8.4178818988695406E-2</v>
      </c>
      <c r="E75" s="1025">
        <v>0.61302989435102839</v>
      </c>
      <c r="F75" s="1025">
        <v>0.31500689454079139</v>
      </c>
      <c r="G75" s="1024">
        <f t="shared" si="1"/>
        <v>6.5700000000000008E-2</v>
      </c>
      <c r="H75" s="1024">
        <v>0.13257576188632905</v>
      </c>
      <c r="I75" s="1025">
        <f t="shared" si="2"/>
        <v>4.9130460000000008E-2</v>
      </c>
      <c r="J75" s="1024">
        <f t="shared" si="3"/>
        <v>0.38697010564897161</v>
      </c>
      <c r="K75" s="1026">
        <f t="shared" si="4"/>
        <v>7.0616151808016864E-2</v>
      </c>
      <c r="L75" s="92"/>
      <c r="M75" s="92"/>
      <c r="N75" s="92"/>
      <c r="O75" s="92"/>
      <c r="P75" s="92"/>
      <c r="Q75" s="92"/>
      <c r="R75" s="92"/>
    </row>
    <row r="76" spans="1:18" ht="15.75" hidden="1" customHeight="1">
      <c r="A76" s="1097" t="s">
        <v>163</v>
      </c>
      <c r="B76" s="1097">
        <v>437</v>
      </c>
      <c r="C76" s="1098">
        <v>0.95299983986783698</v>
      </c>
      <c r="D76" s="218">
        <f t="shared" si="0"/>
        <v>0.10021629085645349</v>
      </c>
      <c r="E76" s="218">
        <v>0.6776962033269136</v>
      </c>
      <c r="F76" s="218">
        <v>0.40800244927459106</v>
      </c>
      <c r="G76" s="1021">
        <f t="shared" si="1"/>
        <v>6.5700000000000008E-2</v>
      </c>
      <c r="H76" s="1021">
        <v>0.13609775062804738</v>
      </c>
      <c r="I76" s="218">
        <f t="shared" si="2"/>
        <v>4.9130460000000008E-2</v>
      </c>
      <c r="J76" s="1021">
        <f t="shared" si="3"/>
        <v>0.3223037966730864</v>
      </c>
      <c r="K76" s="219">
        <f t="shared" si="4"/>
        <v>8.3751133615219436E-2</v>
      </c>
      <c r="L76" s="92"/>
      <c r="M76" s="92"/>
      <c r="N76" s="92"/>
      <c r="O76" s="92"/>
      <c r="P76" s="92"/>
      <c r="Q76" s="92"/>
      <c r="R76" s="92"/>
    </row>
    <row r="77" spans="1:18" ht="15.75" hidden="1" customHeight="1">
      <c r="A77" s="1099" t="s">
        <v>164</v>
      </c>
      <c r="B77" s="1099">
        <v>438</v>
      </c>
      <c r="C77" s="1100">
        <v>0.77880183257517388</v>
      </c>
      <c r="D77" s="1025">
        <f t="shared" si="0"/>
        <v>9.0269584640042422E-2</v>
      </c>
      <c r="E77" s="1025">
        <v>0.67605984226139859</v>
      </c>
      <c r="F77" s="1025">
        <v>0.33083795313025388</v>
      </c>
      <c r="G77" s="1024">
        <f t="shared" si="1"/>
        <v>6.5700000000000008E-2</v>
      </c>
      <c r="H77" s="1024">
        <v>0.15469209349977089</v>
      </c>
      <c r="I77" s="1025">
        <f t="shared" si="2"/>
        <v>4.9130460000000008E-2</v>
      </c>
      <c r="J77" s="1024">
        <f t="shared" si="3"/>
        <v>0.32394015773860141</v>
      </c>
      <c r="K77" s="1026">
        <f t="shared" si="4"/>
        <v>7.6942970114919101E-2</v>
      </c>
      <c r="L77" s="92"/>
      <c r="M77" s="92"/>
      <c r="N77" s="92"/>
      <c r="O77" s="92"/>
      <c r="P77" s="92"/>
      <c r="Q77" s="92"/>
      <c r="R77" s="92"/>
    </row>
    <row r="78" spans="1:18" ht="15.75" hidden="1" customHeight="1">
      <c r="A78" s="1097" t="s">
        <v>165</v>
      </c>
      <c r="B78" s="1097">
        <v>269</v>
      </c>
      <c r="C78" s="1098">
        <v>0.86640849131078868</v>
      </c>
      <c r="D78" s="218">
        <f t="shared" si="0"/>
        <v>9.5271924853846029E-2</v>
      </c>
      <c r="E78" s="218">
        <v>0.54897700448768494</v>
      </c>
      <c r="F78" s="218">
        <v>0.34316383153762042</v>
      </c>
      <c r="G78" s="1021">
        <f t="shared" si="1"/>
        <v>6.5700000000000008E-2</v>
      </c>
      <c r="H78" s="1021">
        <v>0.1224691019938501</v>
      </c>
      <c r="I78" s="218">
        <f t="shared" si="2"/>
        <v>4.9130460000000008E-2</v>
      </c>
      <c r="J78" s="1021">
        <f t="shared" si="3"/>
        <v>0.45102299551231506</v>
      </c>
      <c r="K78" s="219">
        <f t="shared" si="4"/>
        <v>7.4461063158138191E-2</v>
      </c>
      <c r="L78" s="92"/>
      <c r="M78" s="92"/>
      <c r="N78" s="92"/>
      <c r="O78" s="92"/>
      <c r="P78" s="92"/>
      <c r="Q78" s="92"/>
      <c r="R78" s="92"/>
    </row>
    <row r="79" spans="1:18" ht="15.75" hidden="1" customHeight="1">
      <c r="A79" s="1099" t="s">
        <v>166</v>
      </c>
      <c r="B79" s="1099">
        <v>492</v>
      </c>
      <c r="C79" s="1100">
        <v>0.70294824976129355</v>
      </c>
      <c r="D79" s="1025">
        <f t="shared" si="0"/>
        <v>8.5938345061369853E-2</v>
      </c>
      <c r="E79" s="1025">
        <v>0.50538394162164657</v>
      </c>
      <c r="F79" s="1025">
        <v>0.28515599074056369</v>
      </c>
      <c r="G79" s="1024">
        <f t="shared" si="1"/>
        <v>6.1199999999999997E-2</v>
      </c>
      <c r="H79" s="1024">
        <v>0.16229579615577702</v>
      </c>
      <c r="I79" s="1025">
        <f t="shared" si="2"/>
        <v>4.5765359999999998E-2</v>
      </c>
      <c r="J79" s="1024">
        <f t="shared" si="3"/>
        <v>0.49461605837835343</v>
      </c>
      <c r="K79" s="1026">
        <f t="shared" si="4"/>
        <v>6.6068141537022618E-2</v>
      </c>
      <c r="L79" s="92"/>
      <c r="M79" s="92"/>
      <c r="N79" s="92"/>
      <c r="O79" s="92"/>
      <c r="P79" s="92"/>
      <c r="Q79" s="92"/>
      <c r="R79" s="92"/>
    </row>
    <row r="80" spans="1:18" ht="15.75" hidden="1" customHeight="1">
      <c r="A80" s="1097" t="s">
        <v>167</v>
      </c>
      <c r="B80" s="1097">
        <v>823</v>
      </c>
      <c r="C80" s="1098">
        <v>1.1733808838398774</v>
      </c>
      <c r="D80" s="218">
        <f t="shared" si="0"/>
        <v>0.112800048467257</v>
      </c>
      <c r="E80" s="218">
        <v>0.8424841256575033</v>
      </c>
      <c r="F80" s="218">
        <v>0.70789524038942631</v>
      </c>
      <c r="G80" s="1021">
        <f t="shared" si="1"/>
        <v>7.4500000000000011E-2</v>
      </c>
      <c r="H80" s="1021">
        <v>4.1880733787891068E-2</v>
      </c>
      <c r="I80" s="218">
        <f t="shared" si="2"/>
        <v>5.5711100000000006E-2</v>
      </c>
      <c r="J80" s="1021">
        <f t="shared" si="3"/>
        <v>0.1575158743424967</v>
      </c>
      <c r="K80" s="219">
        <f t="shared" si="4"/>
        <v>0.10380763283414328</v>
      </c>
      <c r="L80" s="92"/>
      <c r="M80" s="92"/>
      <c r="N80" s="92"/>
      <c r="O80" s="92"/>
      <c r="P80" s="92"/>
      <c r="Q80" s="92"/>
      <c r="R80" s="92"/>
    </row>
    <row r="81" spans="1:18" ht="15.75" hidden="1" customHeight="1">
      <c r="A81" s="1099" t="s">
        <v>168</v>
      </c>
      <c r="B81" s="1099">
        <v>321</v>
      </c>
      <c r="C81" s="1100">
        <v>0.83383463709598016</v>
      </c>
      <c r="D81" s="1025">
        <f t="shared" si="0"/>
        <v>9.3411957778180468E-2</v>
      </c>
      <c r="E81" s="1025">
        <v>0.82774472946688182</v>
      </c>
      <c r="F81" s="1025">
        <v>0.37553461134817656</v>
      </c>
      <c r="G81" s="1024">
        <f t="shared" si="1"/>
        <v>6.5700000000000008E-2</v>
      </c>
      <c r="H81" s="1024">
        <v>0.1388019161884983</v>
      </c>
      <c r="I81" s="1025">
        <f t="shared" si="2"/>
        <v>4.9130460000000008E-2</v>
      </c>
      <c r="J81" s="1024">
        <f t="shared" si="3"/>
        <v>0.17225527053311818</v>
      </c>
      <c r="K81" s="1026">
        <f t="shared" si="4"/>
        <v>8.5784236398788322E-2</v>
      </c>
      <c r="L81" s="92"/>
      <c r="M81" s="92"/>
      <c r="N81" s="92"/>
      <c r="O81" s="92"/>
      <c r="P81" s="92"/>
      <c r="Q81" s="92"/>
      <c r="R81" s="92"/>
    </row>
    <row r="82" spans="1:18" ht="15.75" hidden="1" customHeight="1">
      <c r="A82" s="1097" t="s">
        <v>169</v>
      </c>
      <c r="B82" s="1097">
        <v>650</v>
      </c>
      <c r="C82" s="1098">
        <v>0.78734679848823808</v>
      </c>
      <c r="D82" s="218">
        <f t="shared" si="0"/>
        <v>9.0757502193678397E-2</v>
      </c>
      <c r="E82" s="218">
        <v>0.54289545259140382</v>
      </c>
      <c r="F82" s="218">
        <v>0.25184912324488745</v>
      </c>
      <c r="G82" s="1021">
        <f t="shared" si="1"/>
        <v>6.1199999999999997E-2</v>
      </c>
      <c r="H82" s="1021">
        <v>1.9801851377796918E-2</v>
      </c>
      <c r="I82" s="218">
        <f t="shared" si="2"/>
        <v>4.5765359999999998E-2</v>
      </c>
      <c r="J82" s="1021">
        <f t="shared" si="3"/>
        <v>0.45710454740859618</v>
      </c>
      <c r="K82" s="219">
        <f t="shared" si="4"/>
        <v>7.0191389399293827E-2</v>
      </c>
      <c r="L82" s="92"/>
      <c r="M82" s="92"/>
      <c r="N82" s="92"/>
      <c r="O82" s="92"/>
      <c r="P82" s="92"/>
      <c r="Q82" s="92"/>
      <c r="R82" s="92"/>
    </row>
    <row r="83" spans="1:18" ht="15.75" hidden="1" customHeight="1">
      <c r="A83" s="1099" t="s">
        <v>170</v>
      </c>
      <c r="B83" s="1099">
        <v>879</v>
      </c>
      <c r="C83" s="1100">
        <v>0.93721382525010932</v>
      </c>
      <c r="D83" s="1025">
        <f t="shared" si="0"/>
        <v>9.9314909421781242E-2</v>
      </c>
      <c r="E83" s="1025">
        <v>0.32572792509955983</v>
      </c>
      <c r="F83" s="1025">
        <v>0.41235401305466174</v>
      </c>
      <c r="G83" s="1024">
        <f t="shared" si="1"/>
        <v>6.5700000000000008E-2</v>
      </c>
      <c r="H83" s="1024">
        <v>0.14392586391939624</v>
      </c>
      <c r="I83" s="1025">
        <f t="shared" si="2"/>
        <v>4.9130460000000008E-2</v>
      </c>
      <c r="J83" s="1024">
        <f t="shared" si="3"/>
        <v>0.67427207490044017</v>
      </c>
      <c r="K83" s="1026">
        <f t="shared" si="4"/>
        <v>6.5476936582420611E-2</v>
      </c>
      <c r="L83" s="92"/>
      <c r="M83" s="92"/>
      <c r="N83" s="92"/>
      <c r="O83" s="92"/>
      <c r="P83" s="92"/>
      <c r="Q83" s="92"/>
      <c r="R83" s="92"/>
    </row>
    <row r="84" spans="1:18" ht="15.75" hidden="1" customHeight="1">
      <c r="A84" s="1097" t="s">
        <v>171</v>
      </c>
      <c r="B84" s="1097">
        <v>309</v>
      </c>
      <c r="C84" s="1098">
        <v>0.94535241907080036</v>
      </c>
      <c r="D84" s="218">
        <f t="shared" si="0"/>
        <v>9.9779623128942702E-2</v>
      </c>
      <c r="E84" s="218">
        <v>0.44536371810787379</v>
      </c>
      <c r="F84" s="218">
        <v>0.3176306571722835</v>
      </c>
      <c r="G84" s="1021">
        <f t="shared" si="1"/>
        <v>6.5700000000000008E-2</v>
      </c>
      <c r="H84" s="1021">
        <v>0.15451442812867944</v>
      </c>
      <c r="I84" s="218">
        <f t="shared" si="2"/>
        <v>4.9130460000000008E-2</v>
      </c>
      <c r="J84" s="1021">
        <f t="shared" si="3"/>
        <v>0.55463628189212621</v>
      </c>
      <c r="K84" s="219">
        <f t="shared" si="4"/>
        <v>7.1687759610158164E-2</v>
      </c>
      <c r="L84" s="92"/>
      <c r="M84" s="92"/>
      <c r="N84" s="92"/>
      <c r="O84" s="92"/>
      <c r="P84" s="92"/>
      <c r="Q84" s="92"/>
      <c r="R84" s="92"/>
    </row>
    <row r="85" spans="1:18" ht="15.75" hidden="1" customHeight="1">
      <c r="A85" s="1099" t="s">
        <v>257</v>
      </c>
      <c r="B85" s="1099">
        <v>749</v>
      </c>
      <c r="C85" s="1100">
        <v>0.88199839761239596</v>
      </c>
      <c r="D85" s="1025">
        <f t="shared" si="0"/>
        <v>9.6162108503667798E-2</v>
      </c>
      <c r="E85" s="1025">
        <v>0.52214575540889829</v>
      </c>
      <c r="F85" s="1025">
        <v>0.35968379636045256</v>
      </c>
      <c r="G85" s="1024">
        <f t="shared" si="1"/>
        <v>6.5700000000000008E-2</v>
      </c>
      <c r="H85" s="1024">
        <v>0.12585018357495545</v>
      </c>
      <c r="I85" s="1025">
        <f t="shared" si="2"/>
        <v>4.9130460000000008E-2</v>
      </c>
      <c r="J85" s="1024">
        <f t="shared" si="3"/>
        <v>0.47785424459110171</v>
      </c>
      <c r="K85" s="1026">
        <f t="shared" si="4"/>
        <v>7.3687835636073409E-2</v>
      </c>
      <c r="L85" s="92"/>
      <c r="M85" s="92"/>
      <c r="N85" s="92"/>
      <c r="O85" s="92"/>
      <c r="P85" s="92"/>
      <c r="Q85" s="92"/>
      <c r="R85" s="92"/>
    </row>
    <row r="86" spans="1:18" ht="15.75" hidden="1" customHeight="1">
      <c r="A86" s="1097" t="s">
        <v>173</v>
      </c>
      <c r="B86" s="1097">
        <v>320</v>
      </c>
      <c r="C86" s="1098">
        <v>1.0667202545900192</v>
      </c>
      <c r="D86" s="218">
        <f t="shared" si="0"/>
        <v>0.1067097265370901</v>
      </c>
      <c r="E86" s="218">
        <v>0.75750210035900412</v>
      </c>
      <c r="F86" s="218">
        <v>0.36603477278833879</v>
      </c>
      <c r="G86" s="1021">
        <f t="shared" si="1"/>
        <v>6.5700000000000008E-2</v>
      </c>
      <c r="H86" s="1021">
        <v>0.13549645390942844</v>
      </c>
      <c r="I86" s="218">
        <f t="shared" si="2"/>
        <v>4.9130460000000008E-2</v>
      </c>
      <c r="J86" s="1021">
        <f t="shared" si="3"/>
        <v>0.24249789964099588</v>
      </c>
      <c r="K86" s="219">
        <f t="shared" si="4"/>
        <v>9.2746875338976673E-2</v>
      </c>
      <c r="L86" s="92"/>
      <c r="M86" s="92"/>
      <c r="N86" s="92"/>
      <c r="O86" s="92"/>
      <c r="P86" s="92"/>
      <c r="Q86" s="92"/>
      <c r="R86" s="92"/>
    </row>
    <row r="87" spans="1:18" ht="15.75" hidden="1" customHeight="1">
      <c r="A87" s="1099" t="s">
        <v>174</v>
      </c>
      <c r="B87" s="1099">
        <v>33</v>
      </c>
      <c r="C87" s="1100">
        <v>1.1953705432106245</v>
      </c>
      <c r="D87" s="1025">
        <f t="shared" si="0"/>
        <v>0.11405565801732667</v>
      </c>
      <c r="E87" s="1025">
        <v>0.7986425748039897</v>
      </c>
      <c r="F87" s="1025">
        <v>0.31407908075980628</v>
      </c>
      <c r="G87" s="1024">
        <f t="shared" si="1"/>
        <v>6.5700000000000008E-2</v>
      </c>
      <c r="H87" s="1024">
        <v>0.12877121702446767</v>
      </c>
      <c r="I87" s="1025">
        <f t="shared" si="2"/>
        <v>4.9130460000000008E-2</v>
      </c>
      <c r="J87" s="1024">
        <f t="shared" si="3"/>
        <v>0.2013574251960103</v>
      </c>
      <c r="K87" s="1026">
        <f t="shared" si="4"/>
        <v>0.10098248731421666</v>
      </c>
      <c r="L87" s="92"/>
      <c r="M87" s="92"/>
      <c r="N87" s="92"/>
      <c r="O87" s="92"/>
      <c r="P87" s="92"/>
      <c r="Q87" s="92"/>
      <c r="R87" s="92"/>
    </row>
    <row r="88" spans="1:18" ht="15.75" hidden="1" customHeight="1">
      <c r="A88" s="1097" t="s">
        <v>175</v>
      </c>
      <c r="B88" s="1097">
        <v>401</v>
      </c>
      <c r="C88" s="1098">
        <v>0.92449263698932371</v>
      </c>
      <c r="D88" s="218">
        <f t="shared" si="0"/>
        <v>9.8588529572090383E-2</v>
      </c>
      <c r="E88" s="218">
        <v>0.80881579438173357</v>
      </c>
      <c r="F88" s="218">
        <v>0.33700973355544106</v>
      </c>
      <c r="G88" s="1021">
        <f t="shared" si="1"/>
        <v>6.5700000000000008E-2</v>
      </c>
      <c r="H88" s="1021">
        <v>0.13824157611958085</v>
      </c>
      <c r="I88" s="218">
        <f t="shared" si="2"/>
        <v>4.9130460000000008E-2</v>
      </c>
      <c r="J88" s="1021">
        <f t="shared" si="3"/>
        <v>0.19118420561826643</v>
      </c>
      <c r="K88" s="219">
        <f t="shared" si="4"/>
        <v>8.9132927829537342E-2</v>
      </c>
      <c r="L88" s="92"/>
      <c r="M88" s="92"/>
      <c r="N88" s="92"/>
      <c r="O88" s="92"/>
      <c r="P88" s="92"/>
      <c r="Q88" s="92"/>
      <c r="R88" s="92"/>
    </row>
    <row r="89" spans="1:18" ht="15.75" hidden="1" customHeight="1">
      <c r="A89" s="1099" t="s">
        <v>176</v>
      </c>
      <c r="B89" s="1099">
        <v>208</v>
      </c>
      <c r="C89" s="1100">
        <v>0.93029217279112275</v>
      </c>
      <c r="D89" s="1025">
        <f t="shared" si="0"/>
        <v>9.891968306637311E-2</v>
      </c>
      <c r="E89" s="1025">
        <v>0.62821553971050337</v>
      </c>
      <c r="F89" s="1025">
        <v>0.36538442781021802</v>
      </c>
      <c r="G89" s="1024">
        <f t="shared" si="1"/>
        <v>6.5700000000000008E-2</v>
      </c>
      <c r="H89" s="1024">
        <v>0.17961008624000521</v>
      </c>
      <c r="I89" s="1025">
        <f t="shared" si="2"/>
        <v>4.9130460000000008E-2</v>
      </c>
      <c r="J89" s="1024">
        <f t="shared" si="3"/>
        <v>0.37178446028949663</v>
      </c>
      <c r="K89" s="1026">
        <f t="shared" si="4"/>
        <v>8.0408823640408231E-2</v>
      </c>
      <c r="L89" s="92"/>
      <c r="M89" s="92"/>
      <c r="N89" s="92"/>
      <c r="O89" s="92"/>
      <c r="P89" s="92"/>
      <c r="Q89" s="92"/>
      <c r="R89" s="92"/>
    </row>
    <row r="90" spans="1:18" ht="15.75" hidden="1" customHeight="1">
      <c r="A90" s="1097" t="s">
        <v>177</v>
      </c>
      <c r="B90" s="1097">
        <v>117</v>
      </c>
      <c r="C90" s="1098">
        <v>0.97659450522183011</v>
      </c>
      <c r="D90" s="218">
        <f t="shared" si="0"/>
        <v>0.10156354624816649</v>
      </c>
      <c r="E90" s="218">
        <v>0.81521713018247621</v>
      </c>
      <c r="F90" s="218">
        <v>0.34112481595208105</v>
      </c>
      <c r="G90" s="1021">
        <f t="shared" si="1"/>
        <v>6.5700000000000008E-2</v>
      </c>
      <c r="H90" s="1021">
        <v>0.19923997301058546</v>
      </c>
      <c r="I90" s="218">
        <f t="shared" si="2"/>
        <v>4.9130460000000008E-2</v>
      </c>
      <c r="J90" s="1021">
        <f t="shared" si="3"/>
        <v>0.18478286981752379</v>
      </c>
      <c r="K90" s="219">
        <f t="shared" si="4"/>
        <v>9.1874810097840556E-2</v>
      </c>
      <c r="L90" s="92"/>
      <c r="M90" s="92"/>
      <c r="N90" s="92"/>
      <c r="O90" s="92"/>
      <c r="P90" s="92"/>
      <c r="Q90" s="92"/>
      <c r="R90" s="92"/>
    </row>
    <row r="91" spans="1:18" ht="15.75" hidden="1" customHeight="1">
      <c r="A91" s="1099" t="s">
        <v>178</v>
      </c>
      <c r="B91" s="1099">
        <v>1038</v>
      </c>
      <c r="C91" s="1100">
        <v>0.82010753451595642</v>
      </c>
      <c r="D91" s="1025">
        <f t="shared" si="0"/>
        <v>9.2628140220861105E-2</v>
      </c>
      <c r="E91" s="1025">
        <v>0.63288626979804219</v>
      </c>
      <c r="F91" s="1025">
        <v>0.36761243934617288</v>
      </c>
      <c r="G91" s="1024">
        <f t="shared" si="1"/>
        <v>6.5700000000000008E-2</v>
      </c>
      <c r="H91" s="1024">
        <v>0.16387364830784448</v>
      </c>
      <c r="I91" s="1025">
        <f t="shared" si="2"/>
        <v>4.9130460000000008E-2</v>
      </c>
      <c r="J91" s="1024">
        <f t="shared" si="3"/>
        <v>0.36711373020195781</v>
      </c>
      <c r="K91" s="1026">
        <f t="shared" si="4"/>
        <v>7.665954457984886E-2</v>
      </c>
      <c r="L91" s="92"/>
      <c r="M91" s="92"/>
      <c r="N91" s="92"/>
      <c r="O91" s="92"/>
      <c r="P91" s="92"/>
      <c r="Q91" s="92"/>
      <c r="R91" s="92"/>
    </row>
    <row r="92" spans="1:18" ht="15.75" hidden="1" customHeight="1">
      <c r="A92" s="1097" t="s">
        <v>179</v>
      </c>
      <c r="B92" s="1097">
        <v>253</v>
      </c>
      <c r="C92" s="1098">
        <v>1.104769773812101</v>
      </c>
      <c r="D92" s="218">
        <f t="shared" si="0"/>
        <v>0.10888235408467095</v>
      </c>
      <c r="E92" s="218">
        <v>0.87230624645218269</v>
      </c>
      <c r="F92" s="218">
        <v>0.34376130249213976</v>
      </c>
      <c r="G92" s="1021">
        <f t="shared" si="1"/>
        <v>6.5700000000000008E-2</v>
      </c>
      <c r="H92" s="1021">
        <v>0.16631471474900639</v>
      </c>
      <c r="I92" s="218">
        <f t="shared" si="2"/>
        <v>4.9130460000000008E-2</v>
      </c>
      <c r="J92" s="1021">
        <f t="shared" si="3"/>
        <v>0.12769375354781731</v>
      </c>
      <c r="K92" s="219">
        <f t="shared" si="4"/>
        <v>0.1012524104474077</v>
      </c>
      <c r="L92" s="92"/>
      <c r="M92" s="92"/>
      <c r="N92" s="92"/>
      <c r="O92" s="92"/>
      <c r="P92" s="92"/>
      <c r="Q92" s="92"/>
      <c r="R92" s="92"/>
    </row>
    <row r="93" spans="1:18" ht="15.75" hidden="1" customHeight="1">
      <c r="A93" s="1099" t="s">
        <v>180</v>
      </c>
      <c r="B93" s="1099">
        <v>204</v>
      </c>
      <c r="C93" s="1100">
        <v>0.77482887462253958</v>
      </c>
      <c r="D93" s="1025">
        <f t="shared" si="0"/>
        <v>9.0042728740947015E-2</v>
      </c>
      <c r="E93" s="1025">
        <v>0.67805672069386791</v>
      </c>
      <c r="F93" s="1025">
        <v>0.30763798715832558</v>
      </c>
      <c r="G93" s="1024">
        <f t="shared" si="1"/>
        <v>6.5700000000000008E-2</v>
      </c>
      <c r="H93" s="1024">
        <v>0.20388956237660108</v>
      </c>
      <c r="I93" s="1025">
        <f t="shared" si="2"/>
        <v>4.9130460000000008E-2</v>
      </c>
      <c r="J93" s="1024">
        <f t="shared" si="3"/>
        <v>0.32194327930613209</v>
      </c>
      <c r="K93" s="1026">
        <f t="shared" si="4"/>
        <v>7.6871298778632774E-2</v>
      </c>
      <c r="L93" s="92"/>
      <c r="M93" s="92"/>
      <c r="N93" s="92"/>
      <c r="O93" s="92"/>
      <c r="P93" s="92"/>
      <c r="Q93" s="92"/>
      <c r="R93" s="92"/>
    </row>
    <row r="94" spans="1:18" ht="15.75" hidden="1" customHeight="1">
      <c r="A94" s="1097" t="s">
        <v>181</v>
      </c>
      <c r="B94" s="1097">
        <v>121</v>
      </c>
      <c r="C94" s="1098">
        <v>0.97488817621458701</v>
      </c>
      <c r="D94" s="218">
        <f t="shared" si="0"/>
        <v>0.10146611486185292</v>
      </c>
      <c r="E94" s="218">
        <v>0.5669568304044128</v>
      </c>
      <c r="F94" s="218">
        <v>0.20234299271343784</v>
      </c>
      <c r="G94" s="1021">
        <f t="shared" si="1"/>
        <v>6.1199999999999997E-2</v>
      </c>
      <c r="H94" s="1021">
        <v>3.6379179766419995E-2</v>
      </c>
      <c r="I94" s="218">
        <f t="shared" si="2"/>
        <v>4.5765359999999998E-2</v>
      </c>
      <c r="J94" s="1021">
        <f t="shared" si="3"/>
        <v>0.4330431695955872</v>
      </c>
      <c r="K94" s="219">
        <f t="shared" si="4"/>
        <v>7.7345283427609324E-2</v>
      </c>
      <c r="L94" s="92"/>
      <c r="M94" s="92"/>
      <c r="N94" s="92"/>
      <c r="O94" s="92"/>
      <c r="P94" s="92"/>
      <c r="Q94" s="92"/>
      <c r="R94" s="92"/>
    </row>
    <row r="95" spans="1:18" ht="15.75" hidden="1" customHeight="1">
      <c r="A95" s="1099" t="s">
        <v>182</v>
      </c>
      <c r="B95" s="1099">
        <v>633</v>
      </c>
      <c r="C95" s="1100">
        <v>1.0598913069344804</v>
      </c>
      <c r="D95" s="1025">
        <f t="shared" si="0"/>
        <v>0.10631979362595884</v>
      </c>
      <c r="E95" s="1025">
        <v>0.80678038228889803</v>
      </c>
      <c r="F95" s="1025">
        <v>0.39814274696670382</v>
      </c>
      <c r="G95" s="1024">
        <f t="shared" si="1"/>
        <v>6.5700000000000008E-2</v>
      </c>
      <c r="H95" s="1024">
        <v>0.15364561217998884</v>
      </c>
      <c r="I95" s="1025">
        <f t="shared" si="2"/>
        <v>4.9130460000000008E-2</v>
      </c>
      <c r="J95" s="1024">
        <f t="shared" si="3"/>
        <v>0.19321961771110197</v>
      </c>
      <c r="K95" s="1026">
        <f t="shared" si="4"/>
        <v>9.5269692445598395E-2</v>
      </c>
      <c r="L95" s="92"/>
      <c r="M95" s="92"/>
      <c r="N95" s="92"/>
      <c r="O95" s="92"/>
      <c r="P95" s="92"/>
      <c r="Q95" s="92"/>
      <c r="R95" s="92"/>
    </row>
    <row r="96" spans="1:18" ht="15.75" hidden="1" customHeight="1">
      <c r="A96" s="1097" t="s">
        <v>183</v>
      </c>
      <c r="B96" s="1097">
        <v>92</v>
      </c>
      <c r="C96" s="1098">
        <v>0.91304203686782293</v>
      </c>
      <c r="D96" s="218">
        <f t="shared" si="0"/>
        <v>9.7934700305152694E-2</v>
      </c>
      <c r="E96" s="218">
        <v>0.68655730263321213</v>
      </c>
      <c r="F96" s="218">
        <v>0.30447246680306844</v>
      </c>
      <c r="G96" s="1021">
        <f t="shared" si="1"/>
        <v>6.5700000000000008E-2</v>
      </c>
      <c r="H96" s="1021">
        <v>0.17233330756142265</v>
      </c>
      <c r="I96" s="218">
        <f t="shared" si="2"/>
        <v>4.9130460000000008E-2</v>
      </c>
      <c r="J96" s="1021">
        <f t="shared" si="3"/>
        <v>0.31344269736678787</v>
      </c>
      <c r="K96" s="219">
        <f t="shared" si="4"/>
        <v>8.2637367580968721E-2</v>
      </c>
      <c r="L96" s="92"/>
      <c r="M96" s="92"/>
      <c r="N96" s="92"/>
      <c r="O96" s="92"/>
      <c r="P96" s="92"/>
      <c r="Q96" s="92"/>
      <c r="R96" s="92"/>
    </row>
    <row r="97" spans="1:18" ht="15.75" hidden="1" customHeight="1">
      <c r="A97" s="1099" t="s">
        <v>184</v>
      </c>
      <c r="B97" s="1099">
        <v>665</v>
      </c>
      <c r="C97" s="1100">
        <v>1.6782559728868123</v>
      </c>
      <c r="D97" s="1025">
        <f t="shared" si="0"/>
        <v>0.14162841605183699</v>
      </c>
      <c r="E97" s="1025">
        <v>0.94442310297747656</v>
      </c>
      <c r="F97" s="1025">
        <v>0.42273542251589769</v>
      </c>
      <c r="G97" s="1024">
        <f t="shared" si="1"/>
        <v>6.5700000000000008E-2</v>
      </c>
      <c r="H97" s="1024">
        <v>7.5158017266683932E-2</v>
      </c>
      <c r="I97" s="1025">
        <f t="shared" si="2"/>
        <v>4.9130460000000008E-2</v>
      </c>
      <c r="J97" s="1024">
        <f t="shared" si="3"/>
        <v>5.5576897022523442E-2</v>
      </c>
      <c r="K97" s="1026">
        <f t="shared" si="4"/>
        <v>0.13648766667355014</v>
      </c>
      <c r="L97" s="92"/>
      <c r="M97" s="92"/>
      <c r="N97" s="92"/>
      <c r="O97" s="92"/>
      <c r="P97" s="92"/>
      <c r="Q97" s="92"/>
      <c r="R97" s="92"/>
    </row>
    <row r="98" spans="1:18" ht="15.75" hidden="1" customHeight="1">
      <c r="A98" s="1097" t="s">
        <v>185</v>
      </c>
      <c r="B98" s="1097">
        <v>375</v>
      </c>
      <c r="C98" s="1098">
        <v>2.0188341849907365</v>
      </c>
      <c r="D98" s="218">
        <f t="shared" si="0"/>
        <v>0.16107543196297106</v>
      </c>
      <c r="E98" s="218">
        <v>0.92991439353623861</v>
      </c>
      <c r="F98" s="218">
        <v>0.43850961352034451</v>
      </c>
      <c r="G98" s="1021">
        <f t="shared" si="1"/>
        <v>6.5700000000000008E-2</v>
      </c>
      <c r="H98" s="1021">
        <v>0.12472294376754772</v>
      </c>
      <c r="I98" s="218">
        <f t="shared" si="2"/>
        <v>4.9130460000000008E-2</v>
      </c>
      <c r="J98" s="1021">
        <f t="shared" si="3"/>
        <v>7.0085606463761385E-2</v>
      </c>
      <c r="K98" s="219">
        <f t="shared" si="4"/>
        <v>0.15322970071237746</v>
      </c>
      <c r="L98" s="92"/>
      <c r="M98" s="92"/>
      <c r="N98" s="92"/>
      <c r="O98" s="92"/>
      <c r="P98" s="92"/>
      <c r="Q98" s="92"/>
      <c r="R98" s="92"/>
    </row>
    <row r="99" spans="1:18" ht="15.75" hidden="1" customHeight="1">
      <c r="A99" s="1099" t="s">
        <v>186</v>
      </c>
      <c r="B99" s="1099">
        <v>357</v>
      </c>
      <c r="C99" s="1100">
        <v>0.83667308158794051</v>
      </c>
      <c r="D99" s="1025">
        <f t="shared" si="0"/>
        <v>9.3574032958671394E-2</v>
      </c>
      <c r="E99" s="1025">
        <v>0.69630138204790204</v>
      </c>
      <c r="F99" s="1025">
        <v>0.34385890924876383</v>
      </c>
      <c r="G99" s="1024">
        <f t="shared" si="1"/>
        <v>6.5700000000000008E-2</v>
      </c>
      <c r="H99" s="1024">
        <v>0.13686222773566767</v>
      </c>
      <c r="I99" s="1025">
        <f t="shared" si="2"/>
        <v>4.9130460000000008E-2</v>
      </c>
      <c r="J99" s="1024">
        <f t="shared" si="3"/>
        <v>0.30369861795209796</v>
      </c>
      <c r="K99" s="1026">
        <f t="shared" si="4"/>
        <v>8.0076581274269656E-2</v>
      </c>
      <c r="L99" s="92"/>
      <c r="M99" s="92"/>
      <c r="N99" s="92"/>
      <c r="O99" s="92"/>
      <c r="P99" s="92"/>
      <c r="Q99" s="92"/>
      <c r="R99" s="92"/>
    </row>
    <row r="100" spans="1:18" ht="15.75" hidden="1" customHeight="1">
      <c r="A100" s="1097" t="s">
        <v>187</v>
      </c>
      <c r="B100" s="1097">
        <v>82</v>
      </c>
      <c r="C100" s="1098">
        <v>0.76620979096485398</v>
      </c>
      <c r="D100" s="218">
        <f t="shared" si="0"/>
        <v>8.9550579064093166E-2</v>
      </c>
      <c r="E100" s="218">
        <v>0.89502625688708703</v>
      </c>
      <c r="F100" s="218">
        <v>0.36837870667795686</v>
      </c>
      <c r="G100" s="1021">
        <f t="shared" si="1"/>
        <v>6.5700000000000008E-2</v>
      </c>
      <c r="H100" s="1021">
        <v>0.13799217449229226</v>
      </c>
      <c r="I100" s="218">
        <f t="shared" si="2"/>
        <v>4.9130460000000008E-2</v>
      </c>
      <c r="J100" s="1021">
        <f t="shared" si="3"/>
        <v>0.10497374311291297</v>
      </c>
      <c r="K100" s="219">
        <f t="shared" si="4"/>
        <v>8.5307527868865696E-2</v>
      </c>
      <c r="L100" s="92"/>
      <c r="M100" s="92"/>
      <c r="N100" s="92"/>
      <c r="O100" s="92"/>
      <c r="P100" s="92"/>
      <c r="Q100" s="92"/>
      <c r="R100" s="92"/>
    </row>
    <row r="101" spans="1:18" ht="15.75" hidden="1" customHeight="1">
      <c r="A101" s="1099" t="s">
        <v>188</v>
      </c>
      <c r="B101" s="1099">
        <v>311</v>
      </c>
      <c r="C101" s="1100">
        <v>1.2601011119394356</v>
      </c>
      <c r="D101" s="1025">
        <f t="shared" si="0"/>
        <v>0.11775177349174176</v>
      </c>
      <c r="E101" s="1025">
        <v>0.96299101669427012</v>
      </c>
      <c r="F101" s="1025">
        <v>0.52915911664466964</v>
      </c>
      <c r="G101" s="1024">
        <f t="shared" si="1"/>
        <v>6.8200000000000011E-2</v>
      </c>
      <c r="H101" s="1024">
        <v>0.11274319857375675</v>
      </c>
      <c r="I101" s="1025">
        <f t="shared" si="2"/>
        <v>5.0999960000000011E-2</v>
      </c>
      <c r="J101" s="1024">
        <f t="shared" si="3"/>
        <v>3.7008983305729881E-2</v>
      </c>
      <c r="K101" s="1026">
        <f t="shared" si="4"/>
        <v>0.11528135674059869</v>
      </c>
      <c r="L101" s="92"/>
      <c r="M101" s="92"/>
      <c r="N101" s="92"/>
      <c r="O101" s="92"/>
      <c r="P101" s="92"/>
      <c r="Q101" s="92"/>
      <c r="R101" s="92"/>
    </row>
    <row r="102" spans="1:18" ht="15.75" hidden="1" customHeight="1">
      <c r="A102" s="1097" t="s">
        <v>189</v>
      </c>
      <c r="B102" s="1097">
        <v>147</v>
      </c>
      <c r="C102" s="1098">
        <v>1.370302206754265</v>
      </c>
      <c r="D102" s="218">
        <f t="shared" si="0"/>
        <v>0.12404425600566851</v>
      </c>
      <c r="E102" s="218">
        <v>0.9044978737522793</v>
      </c>
      <c r="F102" s="218">
        <v>0.49045487085788775</v>
      </c>
      <c r="G102" s="1021">
        <f t="shared" si="1"/>
        <v>6.8200000000000011E-2</v>
      </c>
      <c r="H102" s="1021">
        <v>8.3155993719421242E-2</v>
      </c>
      <c r="I102" s="218">
        <f t="shared" si="2"/>
        <v>5.0999960000000011E-2</v>
      </c>
      <c r="J102" s="1021">
        <f t="shared" si="3"/>
        <v>9.5502126247720698E-2</v>
      </c>
      <c r="K102" s="219">
        <f t="shared" si="4"/>
        <v>0.11706837042685929</v>
      </c>
      <c r="L102" s="92"/>
      <c r="M102" s="92"/>
      <c r="N102" s="92"/>
      <c r="O102" s="92"/>
      <c r="P102" s="92"/>
      <c r="Q102" s="92"/>
      <c r="R102" s="92"/>
    </row>
    <row r="103" spans="1:18" ht="15.75" hidden="1" customHeight="1">
      <c r="A103" s="1099" t="s">
        <v>190</v>
      </c>
      <c r="B103" s="1099">
        <v>1567</v>
      </c>
      <c r="C103" s="1100">
        <v>1.3220217888237162</v>
      </c>
      <c r="D103" s="1025">
        <f t="shared" si="0"/>
        <v>0.12128744414183421</v>
      </c>
      <c r="E103" s="1025">
        <v>0.95261707291601549</v>
      </c>
      <c r="F103" s="1025">
        <v>0.51824106765028743</v>
      </c>
      <c r="G103" s="1024">
        <f t="shared" si="1"/>
        <v>6.8200000000000011E-2</v>
      </c>
      <c r="H103" s="1024">
        <v>8.1782351008806181E-2</v>
      </c>
      <c r="I103" s="1025">
        <f t="shared" si="2"/>
        <v>5.0999960000000011E-2</v>
      </c>
      <c r="J103" s="1024">
        <f t="shared" si="3"/>
        <v>4.7382927083984505E-2</v>
      </c>
      <c r="K103" s="1026">
        <f t="shared" si="4"/>
        <v>0.11795701740582495</v>
      </c>
      <c r="L103" s="92"/>
      <c r="M103" s="92"/>
      <c r="N103" s="92"/>
      <c r="O103" s="92"/>
      <c r="P103" s="92"/>
      <c r="Q103" s="92"/>
      <c r="R103" s="92"/>
    </row>
    <row r="104" spans="1:18" ht="15.75" hidden="1" customHeight="1">
      <c r="A104" s="1097" t="s">
        <v>191</v>
      </c>
      <c r="B104" s="1097">
        <v>727</v>
      </c>
      <c r="C104" s="1098">
        <v>1.1503164323693125</v>
      </c>
      <c r="D104" s="218">
        <f t="shared" si="0"/>
        <v>0.11148306828828775</v>
      </c>
      <c r="E104" s="218">
        <v>0.65081351604823934</v>
      </c>
      <c r="F104" s="218">
        <v>0.36476093072794807</v>
      </c>
      <c r="G104" s="1021">
        <f t="shared" si="1"/>
        <v>6.5700000000000008E-2</v>
      </c>
      <c r="H104" s="1021">
        <v>0.14045727797487256</v>
      </c>
      <c r="I104" s="218">
        <f t="shared" si="2"/>
        <v>4.9130460000000008E-2</v>
      </c>
      <c r="J104" s="1021">
        <f t="shared" si="3"/>
        <v>0.34918648395176066</v>
      </c>
      <c r="K104" s="219">
        <f t="shared" si="4"/>
        <v>8.971038023487915E-2</v>
      </c>
      <c r="L104" s="92"/>
      <c r="M104" s="92"/>
      <c r="N104" s="92"/>
      <c r="O104" s="92"/>
      <c r="P104" s="92"/>
      <c r="Q104" s="92"/>
      <c r="R104" s="92"/>
    </row>
    <row r="105" spans="1:18" ht="15.75" hidden="1" customHeight="1">
      <c r="A105" s="1099" t="s">
        <v>192</v>
      </c>
      <c r="B105" s="1099">
        <v>98</v>
      </c>
      <c r="C105" s="1100">
        <v>0.89668652080411071</v>
      </c>
      <c r="D105" s="1025">
        <f t="shared" si="0"/>
        <v>9.7000800337914722E-2</v>
      </c>
      <c r="E105" s="1025">
        <v>0.62823649227141787</v>
      </c>
      <c r="F105" s="1025">
        <v>0.29794391722305269</v>
      </c>
      <c r="G105" s="1024">
        <f t="shared" si="1"/>
        <v>6.1199999999999997E-2</v>
      </c>
      <c r="H105" s="1024">
        <v>0.17769531998554977</v>
      </c>
      <c r="I105" s="1025">
        <f t="shared" si="2"/>
        <v>4.5765359999999998E-2</v>
      </c>
      <c r="J105" s="1024">
        <f t="shared" si="3"/>
        <v>0.37176350772858213</v>
      </c>
      <c r="K105" s="1026">
        <f t="shared" si="4"/>
        <v>7.7953333317873047E-2</v>
      </c>
      <c r="L105" s="92"/>
      <c r="M105" s="92"/>
      <c r="N105" s="92"/>
      <c r="O105" s="92"/>
      <c r="P105" s="92"/>
      <c r="Q105" s="92"/>
      <c r="R105" s="92"/>
    </row>
    <row r="106" spans="1:18" ht="15.75" hidden="1" customHeight="1">
      <c r="A106" s="1097" t="s">
        <v>193</v>
      </c>
      <c r="B106" s="1097">
        <v>440</v>
      </c>
      <c r="C106" s="1098">
        <v>1.194848437320267</v>
      </c>
      <c r="D106" s="218">
        <f t="shared" si="0"/>
        <v>0.11402584577098723</v>
      </c>
      <c r="E106" s="218">
        <v>0.88282243428536167</v>
      </c>
      <c r="F106" s="218">
        <v>0.45110054710512826</v>
      </c>
      <c r="G106" s="1021">
        <f t="shared" si="1"/>
        <v>6.8200000000000011E-2</v>
      </c>
      <c r="H106" s="1021">
        <v>7.8711382828809101E-2</v>
      </c>
      <c r="I106" s="218">
        <f t="shared" si="2"/>
        <v>5.0999960000000011E-2</v>
      </c>
      <c r="J106" s="1021">
        <f t="shared" si="3"/>
        <v>0.11717756571463833</v>
      </c>
      <c r="K106" s="219">
        <f t="shared" si="4"/>
        <v>0.10664062589933408</v>
      </c>
      <c r="L106" s="92"/>
      <c r="M106" s="92"/>
      <c r="N106" s="92"/>
      <c r="O106" s="92"/>
      <c r="P106" s="92"/>
      <c r="Q106" s="92"/>
      <c r="R106" s="92"/>
    </row>
    <row r="107" spans="1:18" ht="15.75" hidden="1" customHeight="1">
      <c r="A107" s="1099" t="s">
        <v>194</v>
      </c>
      <c r="B107" s="1099">
        <v>274</v>
      </c>
      <c r="C107" s="1100">
        <v>0.85506016141987085</v>
      </c>
      <c r="D107" s="1025">
        <f t="shared" si="0"/>
        <v>9.4623935217074628E-2</v>
      </c>
      <c r="E107" s="1025">
        <v>0.55604523449330112</v>
      </c>
      <c r="F107" s="1025">
        <v>0.35950142269336272</v>
      </c>
      <c r="G107" s="1024">
        <f t="shared" si="1"/>
        <v>6.5700000000000008E-2</v>
      </c>
      <c r="H107" s="1024">
        <v>0.13311420339943306</v>
      </c>
      <c r="I107" s="1025">
        <f t="shared" si="2"/>
        <v>4.9130460000000008E-2</v>
      </c>
      <c r="J107" s="1024">
        <f t="shared" si="3"/>
        <v>0.44395476550669888</v>
      </c>
      <c r="K107" s="1026">
        <f t="shared" si="4"/>
        <v>7.4426890094993453E-2</v>
      </c>
      <c r="L107" s="92"/>
      <c r="M107" s="92"/>
      <c r="N107" s="92"/>
      <c r="O107" s="92"/>
      <c r="P107" s="92"/>
      <c r="Q107" s="92"/>
      <c r="R107" s="92"/>
    </row>
    <row r="108" spans="1:18" ht="15.75" hidden="1" customHeight="1">
      <c r="A108" s="1097" t="s">
        <v>195</v>
      </c>
      <c r="B108" s="1097">
        <v>54</v>
      </c>
      <c r="C108" s="1098">
        <v>0.49910083760209473</v>
      </c>
      <c r="D108" s="218">
        <f t="shared" si="0"/>
        <v>7.4298657827079603E-2</v>
      </c>
      <c r="E108" s="218">
        <v>0.78163557671256156</v>
      </c>
      <c r="F108" s="218">
        <v>0.43507177989988399</v>
      </c>
      <c r="G108" s="1021">
        <f t="shared" si="1"/>
        <v>6.5700000000000008E-2</v>
      </c>
      <c r="H108" s="1021">
        <v>0.17406817384601334</v>
      </c>
      <c r="I108" s="218">
        <f t="shared" si="2"/>
        <v>4.9130460000000008E-2</v>
      </c>
      <c r="J108" s="1021">
        <f t="shared" si="3"/>
        <v>0.21836442328743844</v>
      </c>
      <c r="K108" s="219">
        <f t="shared" si="4"/>
        <v>6.8802818823385209E-2</v>
      </c>
      <c r="L108" s="92"/>
      <c r="M108" s="92"/>
      <c r="N108" s="92"/>
      <c r="O108" s="92"/>
      <c r="P108" s="92"/>
      <c r="Q108" s="92"/>
      <c r="R108" s="92"/>
    </row>
    <row r="109" spans="1:18" ht="15.75" hidden="1" customHeight="1">
      <c r="A109" s="1099" t="s">
        <v>196</v>
      </c>
      <c r="B109" s="1099">
        <v>446</v>
      </c>
      <c r="C109" s="1100">
        <v>0.92087739800685964</v>
      </c>
      <c r="D109" s="1025">
        <f t="shared" si="0"/>
        <v>9.8382099426191694E-2</v>
      </c>
      <c r="E109" s="1025">
        <v>0.64083598242391715</v>
      </c>
      <c r="F109" s="1025">
        <v>0.3542176323049625</v>
      </c>
      <c r="G109" s="1024">
        <f t="shared" si="1"/>
        <v>6.5700000000000008E-2</v>
      </c>
      <c r="H109" s="1024">
        <v>0.15655756498025589</v>
      </c>
      <c r="I109" s="1025">
        <f t="shared" si="2"/>
        <v>4.9130460000000008E-2</v>
      </c>
      <c r="J109" s="1024">
        <f t="shared" si="3"/>
        <v>0.35916401757608285</v>
      </c>
      <c r="K109" s="1026">
        <f t="shared" si="4"/>
        <v>8.0692682737672092E-2</v>
      </c>
      <c r="L109" s="92"/>
      <c r="M109" s="92"/>
      <c r="N109" s="92"/>
      <c r="O109" s="92"/>
      <c r="P109" s="92"/>
      <c r="Q109" s="92"/>
      <c r="R109" s="92"/>
    </row>
    <row r="110" spans="1:18" ht="15.75" hidden="1" customHeight="1">
      <c r="A110" s="1097" t="s">
        <v>197</v>
      </c>
      <c r="B110" s="1097">
        <v>54</v>
      </c>
      <c r="C110" s="1098">
        <v>0.80094303509046127</v>
      </c>
      <c r="D110" s="218">
        <f t="shared" si="0"/>
        <v>9.1533847303665344E-2</v>
      </c>
      <c r="E110" s="218">
        <v>0.67480073149847208</v>
      </c>
      <c r="F110" s="218">
        <v>0.21796118227542896</v>
      </c>
      <c r="G110" s="1021">
        <f t="shared" si="1"/>
        <v>6.1199999999999997E-2</v>
      </c>
      <c r="H110" s="1021">
        <v>0.23196974015051325</v>
      </c>
      <c r="I110" s="218">
        <f t="shared" si="2"/>
        <v>4.5765359999999998E-2</v>
      </c>
      <c r="J110" s="1021">
        <f t="shared" si="3"/>
        <v>0.32519926850152792</v>
      </c>
      <c r="K110" s="219">
        <f t="shared" si="4"/>
        <v>7.6649968712091898E-2</v>
      </c>
      <c r="L110" s="92"/>
      <c r="M110" s="92"/>
      <c r="N110" s="92"/>
      <c r="O110" s="92"/>
      <c r="P110" s="92"/>
      <c r="Q110" s="92"/>
      <c r="R110" s="92"/>
    </row>
    <row r="111" spans="1:18" ht="15.75" hidden="1" customHeight="1">
      <c r="A111" s="1099" t="s">
        <v>198</v>
      </c>
      <c r="B111" s="1099">
        <v>113</v>
      </c>
      <c r="C111" s="1100">
        <v>0.85159207810101301</v>
      </c>
      <c r="D111" s="1025">
        <f t="shared" si="0"/>
        <v>9.4425907659567848E-2</v>
      </c>
      <c r="E111" s="1025">
        <v>0.73971066741312419</v>
      </c>
      <c r="F111" s="1025">
        <v>0.33872458859943927</v>
      </c>
      <c r="G111" s="1024">
        <f t="shared" si="1"/>
        <v>6.5700000000000008E-2</v>
      </c>
      <c r="H111" s="1024">
        <v>0.20119370845273146</v>
      </c>
      <c r="I111" s="1025">
        <f t="shared" si="2"/>
        <v>4.9130460000000008E-2</v>
      </c>
      <c r="J111" s="1024">
        <f t="shared" si="3"/>
        <v>0.26028933258687581</v>
      </c>
      <c r="K111" s="1026">
        <f t="shared" si="4"/>
        <v>8.2635985819035168E-2</v>
      </c>
      <c r="L111" s="92"/>
      <c r="M111" s="92"/>
      <c r="N111" s="92"/>
      <c r="O111" s="92"/>
      <c r="P111" s="92"/>
      <c r="Q111" s="92"/>
      <c r="R111" s="92"/>
    </row>
    <row r="112" spans="1:18" ht="15.75" hidden="1" customHeight="1">
      <c r="A112" s="1097" t="s">
        <v>199</v>
      </c>
      <c r="B112" s="1097">
        <v>52</v>
      </c>
      <c r="C112" s="1098">
        <v>0.65296500843936944</v>
      </c>
      <c r="D112" s="218">
        <f t="shared" si="0"/>
        <v>8.3084301981887987E-2</v>
      </c>
      <c r="E112" s="218">
        <v>0.5557368761994308</v>
      </c>
      <c r="F112" s="218">
        <v>0.21904160884218274</v>
      </c>
      <c r="G112" s="1021">
        <f t="shared" si="1"/>
        <v>6.1199999999999997E-2</v>
      </c>
      <c r="H112" s="1021">
        <v>0.16337072200906733</v>
      </c>
      <c r="I112" s="218">
        <f t="shared" si="2"/>
        <v>4.5765359999999998E-2</v>
      </c>
      <c r="J112" s="1021">
        <f t="shared" si="3"/>
        <v>0.4442631238005692</v>
      </c>
      <c r="K112" s="219">
        <f t="shared" si="4"/>
        <v>6.6504872240082225E-2</v>
      </c>
      <c r="L112" s="92"/>
      <c r="M112" s="92"/>
      <c r="N112" s="92"/>
      <c r="O112" s="92"/>
      <c r="P112" s="92"/>
      <c r="Q112" s="92"/>
      <c r="R112" s="92"/>
    </row>
    <row r="113" spans="1:18" ht="15.75" hidden="1" customHeight="1">
      <c r="A113" s="1099" t="s">
        <v>200</v>
      </c>
      <c r="B113" s="1099">
        <v>106</v>
      </c>
      <c r="C113" s="1100">
        <v>0.66746123038331107</v>
      </c>
      <c r="D113" s="1025">
        <f t="shared" si="0"/>
        <v>8.3912036254887051E-2</v>
      </c>
      <c r="E113" s="1025">
        <v>0.50514606983146426</v>
      </c>
      <c r="F113" s="1025">
        <v>0.3134659052139992</v>
      </c>
      <c r="G113" s="1024">
        <f t="shared" si="1"/>
        <v>6.5700000000000008E-2</v>
      </c>
      <c r="H113" s="1024">
        <v>0.14058888548396203</v>
      </c>
      <c r="I113" s="1025">
        <f t="shared" si="2"/>
        <v>4.9130460000000008E-2</v>
      </c>
      <c r="J113" s="1024">
        <f t="shared" si="3"/>
        <v>0.49485393016853574</v>
      </c>
      <c r="K113" s="1026">
        <f t="shared" si="4"/>
        <v>6.6700236547699576E-2</v>
      </c>
      <c r="L113" s="92"/>
      <c r="M113" s="92"/>
      <c r="N113" s="92"/>
      <c r="O113" s="92"/>
      <c r="P113" s="92"/>
      <c r="Q113" s="92"/>
      <c r="R113" s="92"/>
    </row>
    <row r="114" spans="1:18" ht="15.75" hidden="1" customHeight="1">
      <c r="A114" s="1101" t="s">
        <v>549</v>
      </c>
      <c r="B114" s="1101">
        <v>47810</v>
      </c>
      <c r="C114" s="1102">
        <v>1.016327909542543</v>
      </c>
      <c r="D114" s="218">
        <f t="shared" si="0"/>
        <v>0.10383232363487921</v>
      </c>
      <c r="E114" s="1103">
        <v>0.62918103459457853</v>
      </c>
      <c r="F114" s="1103">
        <v>0.4087040282697168</v>
      </c>
      <c r="G114" s="1021">
        <f t="shared" si="1"/>
        <v>6.5700000000000008E-2</v>
      </c>
      <c r="H114" s="1103">
        <v>0.12472016611425192</v>
      </c>
      <c r="I114" s="218">
        <f t="shared" si="2"/>
        <v>4.9130460000000008E-2</v>
      </c>
      <c r="J114" s="1021">
        <f t="shared" si="3"/>
        <v>0.37081896540542147</v>
      </c>
      <c r="K114" s="219">
        <f t="shared" si="4"/>
        <v>8.3547835156044858E-2</v>
      </c>
      <c r="L114" s="95"/>
      <c r="M114" s="95"/>
      <c r="N114" s="95"/>
      <c r="O114" s="95"/>
      <c r="P114" s="95"/>
      <c r="Q114" s="95"/>
      <c r="R114" s="95"/>
    </row>
    <row r="115" spans="1:18" ht="15.75" hidden="1" customHeight="1">
      <c r="A115" s="1104" t="s">
        <v>258</v>
      </c>
      <c r="B115" s="1104">
        <v>42750</v>
      </c>
      <c r="C115" s="1105">
        <v>1.0480020010286757</v>
      </c>
      <c r="D115" s="1031">
        <f t="shared" si="0"/>
        <v>0.10564091425873738</v>
      </c>
      <c r="E115" s="1106">
        <v>0.77228238348647105</v>
      </c>
      <c r="F115" s="1106">
        <v>0.41664366643680406</v>
      </c>
      <c r="G115" s="1030">
        <f t="shared" si="1"/>
        <v>6.5700000000000008E-2</v>
      </c>
      <c r="H115" s="1106">
        <v>0.12238530330050343</v>
      </c>
      <c r="I115" s="1031">
        <f t="shared" si="2"/>
        <v>4.9130460000000008E-2</v>
      </c>
      <c r="J115" s="1030">
        <f t="shared" si="3"/>
        <v>0.22771761651352895</v>
      </c>
      <c r="K115" s="1032">
        <f t="shared" si="4"/>
        <v>9.27724883068409E-2</v>
      </c>
      <c r="L115" s="95"/>
      <c r="M115" s="95"/>
      <c r="N115" s="95"/>
      <c r="O115" s="95"/>
      <c r="P115" s="95"/>
      <c r="Q115" s="95"/>
      <c r="R115" s="95"/>
    </row>
    <row r="116" spans="1:18" ht="15.75" hidden="1" customHeight="1">
      <c r="A116" s="1107"/>
      <c r="B116" s="1107"/>
      <c r="C116" s="1108">
        <f t="shared" ref="C116:K116" si="5">AVERAGE(C65,C33)</f>
        <v>1.0700503716589442</v>
      </c>
      <c r="D116" s="1109">
        <f t="shared" si="5"/>
        <v>0.10689987622172573</v>
      </c>
      <c r="E116" s="1109">
        <f t="shared" si="5"/>
        <v>0.79921285844014867</v>
      </c>
      <c r="F116" s="1109">
        <f t="shared" si="5"/>
        <v>0.40024830208440731</v>
      </c>
      <c r="G116" s="1110">
        <f t="shared" si="5"/>
        <v>6.5700000000000008E-2</v>
      </c>
      <c r="H116" s="1110">
        <f t="shared" si="5"/>
        <v>0.16692435819202442</v>
      </c>
      <c r="I116" s="1109">
        <f t="shared" si="5"/>
        <v>4.9130460000000008E-2</v>
      </c>
      <c r="J116" s="1109">
        <f t="shared" si="5"/>
        <v>0.20078714155985133</v>
      </c>
      <c r="K116" s="1109">
        <f t="shared" si="5"/>
        <v>9.5133686003369008E-2</v>
      </c>
      <c r="L116" s="92"/>
      <c r="M116" s="92"/>
      <c r="N116" s="92"/>
      <c r="O116" s="92"/>
      <c r="P116" s="92"/>
      <c r="Q116" s="92"/>
      <c r="R116" s="92"/>
    </row>
    <row r="117" spans="1:18" ht="15.75" customHeight="1">
      <c r="A117" s="92"/>
      <c r="B117" s="92"/>
      <c r="C117" s="92"/>
      <c r="D117" s="92"/>
      <c r="E117" s="92"/>
      <c r="F117" s="92"/>
      <c r="G117" s="92"/>
      <c r="H117" s="92"/>
      <c r="I117" s="92"/>
      <c r="J117" s="92"/>
      <c r="K117" s="92"/>
      <c r="L117" s="92"/>
      <c r="M117" s="92"/>
      <c r="N117" s="92"/>
      <c r="O117" s="92"/>
      <c r="P117" s="92"/>
      <c r="Q117" s="92"/>
      <c r="R117" s="92"/>
    </row>
    <row r="118" spans="1:18" ht="15.75" customHeight="1">
      <c r="A118" s="92"/>
      <c r="B118" s="92"/>
      <c r="C118" s="92"/>
      <c r="D118" s="92"/>
      <c r="E118" s="92"/>
      <c r="F118" s="92"/>
      <c r="G118" s="92"/>
      <c r="H118" s="92"/>
      <c r="I118" s="92"/>
      <c r="J118" s="92"/>
      <c r="K118" s="92"/>
      <c r="L118" s="92"/>
      <c r="M118" s="92"/>
      <c r="N118" s="92"/>
      <c r="O118" s="92"/>
      <c r="P118" s="92"/>
      <c r="Q118" s="92"/>
      <c r="R118" s="92"/>
    </row>
    <row r="119" spans="1:18" ht="15.75" customHeight="1">
      <c r="A119" s="92"/>
      <c r="B119" s="92"/>
      <c r="C119" s="92"/>
      <c r="D119" s="92"/>
      <c r="E119" s="92"/>
      <c r="F119" s="92"/>
      <c r="G119" s="92"/>
      <c r="H119" s="92"/>
      <c r="I119" s="92"/>
      <c r="J119" s="92"/>
      <c r="K119" s="92"/>
      <c r="L119" s="92"/>
      <c r="M119" s="92"/>
      <c r="N119" s="92"/>
      <c r="O119" s="92"/>
      <c r="P119" s="92"/>
      <c r="Q119" s="92"/>
      <c r="R119" s="92"/>
    </row>
    <row r="120" spans="1:18" ht="15.75" customHeight="1">
      <c r="A120" s="92"/>
      <c r="B120" s="92"/>
      <c r="C120" s="92"/>
      <c r="D120" s="92"/>
      <c r="E120" s="92"/>
      <c r="F120" s="92"/>
      <c r="G120" s="92"/>
      <c r="H120" s="92"/>
      <c r="I120" s="92"/>
      <c r="J120" s="92"/>
      <c r="K120" s="92"/>
      <c r="L120" s="92"/>
      <c r="M120" s="92"/>
      <c r="N120" s="92"/>
      <c r="O120" s="92"/>
      <c r="P120" s="92"/>
      <c r="Q120" s="92"/>
      <c r="R120" s="92"/>
    </row>
    <row r="121" spans="1:18" ht="15.75" customHeight="1">
      <c r="A121" s="92"/>
      <c r="B121" s="92"/>
      <c r="C121" s="92"/>
      <c r="D121" s="92"/>
      <c r="E121" s="92"/>
      <c r="F121" s="92"/>
      <c r="G121" s="92"/>
      <c r="H121" s="92"/>
      <c r="I121" s="92"/>
      <c r="J121" s="92"/>
      <c r="K121" s="92"/>
      <c r="L121" s="92"/>
      <c r="M121" s="92"/>
      <c r="N121" s="92"/>
      <c r="O121" s="92"/>
      <c r="P121" s="92"/>
      <c r="Q121" s="92"/>
      <c r="R121" s="92"/>
    </row>
    <row r="122" spans="1:18" ht="15.75" customHeight="1">
      <c r="A122" s="92"/>
      <c r="B122" s="92"/>
      <c r="C122" s="92"/>
      <c r="D122" s="92"/>
      <c r="E122" s="92"/>
      <c r="F122" s="92"/>
      <c r="G122" s="92"/>
      <c r="H122" s="92"/>
      <c r="I122" s="92"/>
      <c r="J122" s="92"/>
      <c r="K122" s="92"/>
      <c r="L122" s="92"/>
      <c r="M122" s="92"/>
      <c r="N122" s="92"/>
      <c r="O122" s="92"/>
      <c r="P122" s="92"/>
      <c r="Q122" s="92"/>
      <c r="R122" s="92"/>
    </row>
    <row r="123" spans="1:18" ht="15.75" customHeight="1">
      <c r="A123" s="92"/>
      <c r="B123" s="92"/>
      <c r="C123" s="92"/>
      <c r="D123" s="92"/>
      <c r="E123" s="92"/>
      <c r="F123" s="92"/>
      <c r="G123" s="92"/>
      <c r="H123" s="92"/>
      <c r="I123" s="92"/>
      <c r="J123" s="92"/>
      <c r="K123" s="92"/>
      <c r="L123" s="92"/>
      <c r="M123" s="92"/>
      <c r="N123" s="92"/>
      <c r="O123" s="92"/>
      <c r="P123" s="92"/>
      <c r="Q123" s="92"/>
      <c r="R123" s="92"/>
    </row>
    <row r="124" spans="1:18" ht="15.75" customHeight="1">
      <c r="A124" s="92"/>
      <c r="B124" s="92"/>
      <c r="C124" s="92"/>
      <c r="D124" s="92"/>
      <c r="E124" s="92"/>
      <c r="F124" s="92"/>
      <c r="G124" s="92"/>
      <c r="H124" s="92"/>
      <c r="I124" s="92"/>
      <c r="J124" s="92"/>
      <c r="K124" s="92"/>
      <c r="L124" s="92"/>
      <c r="M124" s="92"/>
      <c r="N124" s="92"/>
      <c r="O124" s="92"/>
      <c r="P124" s="92"/>
      <c r="Q124" s="92"/>
      <c r="R124" s="92"/>
    </row>
    <row r="125" spans="1:18" ht="15.75" customHeight="1">
      <c r="A125" s="92"/>
      <c r="B125" s="92"/>
      <c r="C125" s="92"/>
      <c r="D125" s="92"/>
      <c r="E125" s="92"/>
      <c r="F125" s="92"/>
      <c r="G125" s="92"/>
      <c r="H125" s="92"/>
      <c r="I125" s="92"/>
      <c r="J125" s="92"/>
      <c r="K125" s="92"/>
      <c r="L125" s="92"/>
      <c r="M125" s="92"/>
      <c r="N125" s="92"/>
      <c r="O125" s="92"/>
      <c r="P125" s="92"/>
      <c r="Q125" s="92"/>
      <c r="R125" s="92"/>
    </row>
    <row r="126" spans="1:18" ht="15.75" customHeight="1">
      <c r="A126" s="92"/>
      <c r="B126" s="92"/>
      <c r="C126" s="92"/>
      <c r="D126" s="92"/>
      <c r="E126" s="92"/>
      <c r="F126" s="92"/>
      <c r="G126" s="92"/>
      <c r="H126" s="92"/>
      <c r="I126" s="92"/>
      <c r="J126" s="92"/>
      <c r="K126" s="92"/>
      <c r="L126" s="92"/>
      <c r="M126" s="92"/>
      <c r="N126" s="92"/>
      <c r="O126" s="92"/>
      <c r="P126" s="92"/>
      <c r="Q126" s="92"/>
      <c r="R126" s="92"/>
    </row>
    <row r="127" spans="1:18" ht="15.75" customHeight="1">
      <c r="A127" s="92"/>
      <c r="B127" s="92"/>
      <c r="C127" s="92"/>
      <c r="D127" s="92"/>
      <c r="E127" s="92"/>
      <c r="F127" s="92"/>
      <c r="G127" s="92"/>
      <c r="H127" s="92"/>
      <c r="I127" s="92"/>
      <c r="J127" s="92"/>
      <c r="K127" s="92"/>
      <c r="L127" s="92"/>
      <c r="M127" s="92"/>
      <c r="N127" s="92"/>
      <c r="O127" s="92"/>
      <c r="P127" s="92"/>
      <c r="Q127" s="92"/>
      <c r="R127" s="92"/>
    </row>
    <row r="128" spans="1:18" ht="15.75" customHeight="1">
      <c r="A128" s="92"/>
      <c r="B128" s="92"/>
      <c r="C128" s="92"/>
      <c r="D128" s="92"/>
      <c r="E128" s="92"/>
      <c r="F128" s="92"/>
      <c r="G128" s="92"/>
      <c r="H128" s="92"/>
      <c r="I128" s="92"/>
      <c r="J128" s="92"/>
      <c r="K128" s="92"/>
      <c r="L128" s="92"/>
      <c r="M128" s="92"/>
      <c r="N128" s="92"/>
      <c r="O128" s="92"/>
      <c r="P128" s="92"/>
      <c r="Q128" s="92"/>
      <c r="R128" s="92"/>
    </row>
    <row r="129" spans="1:18" ht="15.75" customHeight="1">
      <c r="A129" s="92"/>
      <c r="B129" s="92"/>
      <c r="C129" s="92"/>
      <c r="D129" s="92"/>
      <c r="E129" s="92"/>
      <c r="F129" s="92"/>
      <c r="G129" s="92"/>
      <c r="H129" s="92"/>
      <c r="I129" s="92"/>
      <c r="J129" s="92"/>
      <c r="K129" s="92"/>
      <c r="L129" s="92"/>
      <c r="M129" s="92"/>
      <c r="N129" s="92"/>
      <c r="O129" s="92"/>
      <c r="P129" s="92"/>
      <c r="Q129" s="92"/>
      <c r="R129" s="92"/>
    </row>
    <row r="130" spans="1:18" ht="15.75" customHeight="1">
      <c r="A130" s="92"/>
      <c r="B130" s="92"/>
      <c r="C130" s="92"/>
      <c r="D130" s="92"/>
      <c r="E130" s="92"/>
      <c r="F130" s="92"/>
      <c r="G130" s="92"/>
      <c r="H130" s="92"/>
      <c r="I130" s="92"/>
      <c r="J130" s="92"/>
      <c r="K130" s="92"/>
      <c r="L130" s="92"/>
      <c r="M130" s="92"/>
      <c r="N130" s="92"/>
      <c r="O130" s="92"/>
      <c r="P130" s="92"/>
      <c r="Q130" s="92"/>
      <c r="R130" s="92"/>
    </row>
    <row r="131" spans="1:18" ht="15.75" customHeight="1">
      <c r="A131" s="92"/>
      <c r="B131" s="92"/>
      <c r="C131" s="92"/>
      <c r="D131" s="92"/>
      <c r="E131" s="92"/>
      <c r="F131" s="92"/>
      <c r="G131" s="92"/>
      <c r="H131" s="92"/>
      <c r="I131" s="92"/>
      <c r="J131" s="92"/>
      <c r="K131" s="92"/>
      <c r="L131" s="92"/>
      <c r="M131" s="92"/>
      <c r="N131" s="92"/>
      <c r="O131" s="92"/>
      <c r="P131" s="92"/>
      <c r="Q131" s="92"/>
      <c r="R131" s="92"/>
    </row>
    <row r="132" spans="1:18" ht="15.75" customHeight="1">
      <c r="A132" s="92"/>
      <c r="B132" s="92"/>
      <c r="C132" s="92"/>
      <c r="D132" s="92"/>
      <c r="E132" s="92"/>
      <c r="F132" s="92"/>
      <c r="G132" s="92"/>
      <c r="H132" s="92"/>
      <c r="I132" s="92"/>
      <c r="J132" s="92"/>
      <c r="K132" s="92"/>
      <c r="L132" s="92"/>
      <c r="M132" s="92"/>
      <c r="N132" s="92"/>
      <c r="O132" s="92"/>
      <c r="P132" s="92"/>
      <c r="Q132" s="92"/>
      <c r="R132" s="92"/>
    </row>
    <row r="133" spans="1:18" ht="15.75" customHeight="1">
      <c r="A133" s="92"/>
      <c r="B133" s="92"/>
      <c r="C133" s="92"/>
      <c r="D133" s="92"/>
      <c r="E133" s="92"/>
      <c r="F133" s="92"/>
      <c r="G133" s="92"/>
      <c r="H133" s="92"/>
      <c r="I133" s="92"/>
      <c r="J133" s="92"/>
      <c r="K133" s="92"/>
      <c r="L133" s="92"/>
      <c r="M133" s="92"/>
      <c r="N133" s="92"/>
      <c r="O133" s="92"/>
      <c r="P133" s="92"/>
      <c r="Q133" s="92"/>
      <c r="R133" s="92"/>
    </row>
    <row r="134" spans="1:18" ht="15.75" customHeight="1">
      <c r="A134" s="92"/>
      <c r="B134" s="92"/>
      <c r="C134" s="92"/>
      <c r="D134" s="92"/>
      <c r="E134" s="92"/>
      <c r="F134" s="92"/>
      <c r="G134" s="92"/>
      <c r="H134" s="92"/>
      <c r="I134" s="92"/>
      <c r="J134" s="92"/>
      <c r="K134" s="92"/>
      <c r="L134" s="92"/>
      <c r="M134" s="92"/>
      <c r="N134" s="92"/>
      <c r="O134" s="92"/>
      <c r="P134" s="92"/>
      <c r="Q134" s="92"/>
      <c r="R134" s="92"/>
    </row>
    <row r="135" spans="1:18" ht="15.75" customHeight="1">
      <c r="A135" s="92"/>
      <c r="B135" s="92"/>
      <c r="C135" s="92"/>
      <c r="D135" s="92"/>
      <c r="E135" s="92"/>
      <c r="F135" s="92"/>
      <c r="G135" s="92"/>
      <c r="H135" s="92"/>
      <c r="I135" s="92"/>
      <c r="J135" s="92"/>
      <c r="K135" s="92"/>
      <c r="L135" s="92"/>
      <c r="M135" s="92"/>
      <c r="N135" s="92"/>
      <c r="O135" s="92"/>
      <c r="P135" s="92"/>
      <c r="Q135" s="92"/>
      <c r="R135" s="92"/>
    </row>
    <row r="136" spans="1:18" ht="15.75" customHeight="1">
      <c r="A136" s="92"/>
      <c r="B136" s="92"/>
      <c r="C136" s="92"/>
      <c r="D136" s="92"/>
      <c r="E136" s="92"/>
      <c r="F136" s="92"/>
      <c r="G136" s="92"/>
      <c r="H136" s="92"/>
      <c r="I136" s="92"/>
      <c r="J136" s="92"/>
      <c r="K136" s="92"/>
      <c r="L136" s="92"/>
      <c r="M136" s="92"/>
      <c r="N136" s="92"/>
      <c r="O136" s="92"/>
      <c r="P136" s="92"/>
      <c r="Q136" s="92"/>
      <c r="R136" s="92"/>
    </row>
    <row r="137" spans="1:18" ht="15.75" customHeight="1">
      <c r="A137" s="92"/>
      <c r="B137" s="92"/>
      <c r="C137" s="92"/>
      <c r="D137" s="92"/>
      <c r="E137" s="92"/>
      <c r="F137" s="92"/>
      <c r="G137" s="92"/>
      <c r="H137" s="92"/>
      <c r="I137" s="92"/>
      <c r="J137" s="92"/>
      <c r="K137" s="92"/>
      <c r="L137" s="92"/>
      <c r="M137" s="92"/>
      <c r="N137" s="92"/>
      <c r="O137" s="92"/>
      <c r="P137" s="92"/>
      <c r="Q137" s="92"/>
      <c r="R137" s="92"/>
    </row>
    <row r="138" spans="1:18" ht="15.75" customHeight="1">
      <c r="A138" s="92"/>
      <c r="B138" s="92"/>
      <c r="C138" s="92"/>
      <c r="D138" s="92"/>
      <c r="E138" s="92"/>
      <c r="F138" s="92"/>
      <c r="G138" s="92"/>
      <c r="H138" s="92"/>
      <c r="I138" s="92"/>
      <c r="J138" s="92"/>
      <c r="K138" s="92"/>
      <c r="L138" s="92"/>
      <c r="M138" s="92"/>
      <c r="N138" s="92"/>
      <c r="O138" s="92"/>
      <c r="P138" s="92"/>
      <c r="Q138" s="92"/>
      <c r="R138" s="92"/>
    </row>
    <row r="139" spans="1:18" ht="15.75" customHeight="1">
      <c r="A139" s="92"/>
      <c r="B139" s="92"/>
      <c r="C139" s="92"/>
      <c r="D139" s="92"/>
      <c r="E139" s="92"/>
      <c r="F139" s="92"/>
      <c r="G139" s="92"/>
      <c r="H139" s="92"/>
      <c r="I139" s="92"/>
      <c r="J139" s="92"/>
      <c r="K139" s="92"/>
      <c r="L139" s="92"/>
      <c r="M139" s="92"/>
      <c r="N139" s="92"/>
      <c r="O139" s="92"/>
      <c r="P139" s="92"/>
      <c r="Q139" s="92"/>
      <c r="R139" s="92"/>
    </row>
    <row r="140" spans="1:18" ht="15.75" customHeight="1">
      <c r="A140" s="92"/>
      <c r="B140" s="92"/>
      <c r="C140" s="92"/>
      <c r="D140" s="92"/>
      <c r="E140" s="92"/>
      <c r="F140" s="92"/>
      <c r="G140" s="92"/>
      <c r="H140" s="92"/>
      <c r="I140" s="92"/>
      <c r="J140" s="92"/>
      <c r="K140" s="92"/>
      <c r="L140" s="92"/>
      <c r="M140" s="92"/>
      <c r="N140" s="92"/>
      <c r="O140" s="92"/>
      <c r="P140" s="92"/>
      <c r="Q140" s="92"/>
      <c r="R140" s="92"/>
    </row>
    <row r="141" spans="1:18" ht="15.75" customHeight="1">
      <c r="A141" s="92"/>
      <c r="B141" s="92"/>
      <c r="C141" s="92"/>
      <c r="D141" s="92"/>
      <c r="E141" s="92"/>
      <c r="F141" s="92"/>
      <c r="G141" s="92"/>
      <c r="H141" s="92"/>
      <c r="I141" s="92"/>
      <c r="J141" s="92"/>
      <c r="K141" s="92"/>
      <c r="L141" s="92"/>
      <c r="M141" s="92"/>
      <c r="N141" s="92"/>
      <c r="O141" s="92"/>
      <c r="P141" s="92"/>
      <c r="Q141" s="92"/>
      <c r="R141" s="92"/>
    </row>
    <row r="142" spans="1:18" ht="15.75" customHeight="1">
      <c r="A142" s="92"/>
      <c r="B142" s="92"/>
      <c r="C142" s="92"/>
      <c r="D142" s="92"/>
      <c r="E142" s="92"/>
      <c r="F142" s="92"/>
      <c r="G142" s="92"/>
      <c r="H142" s="92"/>
      <c r="I142" s="92"/>
      <c r="J142" s="92"/>
      <c r="K142" s="92"/>
      <c r="L142" s="92"/>
      <c r="M142" s="92"/>
      <c r="N142" s="92"/>
      <c r="O142" s="92"/>
      <c r="P142" s="92"/>
      <c r="Q142" s="92"/>
      <c r="R142" s="92"/>
    </row>
    <row r="143" spans="1:18" ht="15.75" customHeight="1">
      <c r="A143" s="92"/>
      <c r="B143" s="92"/>
      <c r="C143" s="92"/>
      <c r="D143" s="92"/>
      <c r="E143" s="92"/>
      <c r="F143" s="92"/>
      <c r="G143" s="92"/>
      <c r="H143" s="92"/>
      <c r="I143" s="92"/>
      <c r="J143" s="92"/>
      <c r="K143" s="92"/>
      <c r="L143" s="92"/>
      <c r="M143" s="92"/>
      <c r="N143" s="92"/>
      <c r="O143" s="92"/>
      <c r="P143" s="92"/>
      <c r="Q143" s="92"/>
      <c r="R143" s="92"/>
    </row>
    <row r="144" spans="1:18" ht="15.75" customHeight="1">
      <c r="A144" s="92"/>
      <c r="B144" s="92"/>
      <c r="C144" s="92"/>
      <c r="D144" s="92"/>
      <c r="E144" s="92"/>
      <c r="F144" s="92"/>
      <c r="G144" s="92"/>
      <c r="H144" s="92"/>
      <c r="I144" s="92"/>
      <c r="J144" s="92"/>
      <c r="K144" s="92"/>
      <c r="L144" s="92"/>
      <c r="M144" s="92"/>
      <c r="N144" s="92"/>
      <c r="O144" s="92"/>
      <c r="P144" s="92"/>
      <c r="Q144" s="92"/>
      <c r="R144" s="92"/>
    </row>
    <row r="145" spans="1:18" ht="15.75" customHeight="1">
      <c r="A145" s="92"/>
      <c r="B145" s="92"/>
      <c r="C145" s="92"/>
      <c r="D145" s="92"/>
      <c r="E145" s="92"/>
      <c r="F145" s="92"/>
      <c r="G145" s="92"/>
      <c r="H145" s="92"/>
      <c r="I145" s="92"/>
      <c r="J145" s="92"/>
      <c r="K145" s="92"/>
      <c r="L145" s="92"/>
      <c r="M145" s="92"/>
      <c r="N145" s="92"/>
      <c r="O145" s="92"/>
      <c r="P145" s="92"/>
      <c r="Q145" s="92"/>
      <c r="R145" s="92"/>
    </row>
    <row r="146" spans="1:18" ht="15.75" customHeight="1">
      <c r="A146" s="92"/>
      <c r="B146" s="92"/>
      <c r="C146" s="92"/>
      <c r="D146" s="92"/>
      <c r="E146" s="92"/>
      <c r="F146" s="92"/>
      <c r="G146" s="92"/>
      <c r="H146" s="92"/>
      <c r="I146" s="92"/>
      <c r="J146" s="92"/>
      <c r="K146" s="92"/>
      <c r="L146" s="92"/>
      <c r="M146" s="92"/>
      <c r="N146" s="92"/>
      <c r="O146" s="92"/>
      <c r="P146" s="92"/>
      <c r="Q146" s="92"/>
      <c r="R146" s="92"/>
    </row>
    <row r="147" spans="1:18" ht="15.75" customHeight="1">
      <c r="A147" s="92"/>
      <c r="B147" s="92"/>
      <c r="C147" s="92"/>
      <c r="D147" s="92"/>
      <c r="E147" s="92"/>
      <c r="F147" s="92"/>
      <c r="G147" s="92"/>
      <c r="H147" s="92"/>
      <c r="I147" s="92"/>
      <c r="J147" s="92"/>
      <c r="K147" s="92"/>
      <c r="L147" s="92"/>
      <c r="M147" s="92"/>
      <c r="N147" s="92"/>
      <c r="O147" s="92"/>
      <c r="P147" s="92"/>
      <c r="Q147" s="92"/>
      <c r="R147" s="92"/>
    </row>
    <row r="148" spans="1:18" ht="15.75" customHeight="1">
      <c r="A148" s="92"/>
      <c r="B148" s="92"/>
      <c r="C148" s="92"/>
      <c r="D148" s="92"/>
      <c r="E148" s="92"/>
      <c r="F148" s="92"/>
      <c r="G148" s="92"/>
      <c r="H148" s="92"/>
      <c r="I148" s="92"/>
      <c r="J148" s="92"/>
      <c r="K148" s="92"/>
      <c r="L148" s="92"/>
      <c r="M148" s="92"/>
      <c r="N148" s="92"/>
      <c r="O148" s="92"/>
      <c r="P148" s="92"/>
      <c r="Q148" s="92"/>
      <c r="R148" s="92"/>
    </row>
    <row r="149" spans="1:18" ht="15.75" customHeight="1">
      <c r="A149" s="92"/>
      <c r="B149" s="92"/>
      <c r="C149" s="92"/>
      <c r="D149" s="92"/>
      <c r="E149" s="92"/>
      <c r="F149" s="92"/>
      <c r="G149" s="92"/>
      <c r="H149" s="92"/>
      <c r="I149" s="92"/>
      <c r="J149" s="92"/>
      <c r="K149" s="92"/>
      <c r="L149" s="92"/>
      <c r="M149" s="92"/>
      <c r="N149" s="92"/>
      <c r="O149" s="92"/>
      <c r="P149" s="92"/>
      <c r="Q149" s="92"/>
      <c r="R149" s="92"/>
    </row>
    <row r="150" spans="1:18" ht="15.75" customHeight="1">
      <c r="A150" s="92"/>
      <c r="B150" s="92"/>
      <c r="C150" s="92"/>
      <c r="D150" s="92"/>
      <c r="E150" s="92"/>
      <c r="F150" s="92"/>
      <c r="G150" s="92"/>
      <c r="H150" s="92"/>
      <c r="I150" s="92"/>
      <c r="J150" s="92"/>
      <c r="K150" s="92"/>
      <c r="L150" s="92"/>
      <c r="M150" s="92"/>
      <c r="N150" s="92"/>
      <c r="O150" s="92"/>
      <c r="P150" s="92"/>
      <c r="Q150" s="92"/>
      <c r="R150" s="92"/>
    </row>
    <row r="151" spans="1:18" ht="15.75" customHeight="1">
      <c r="A151" s="92"/>
      <c r="B151" s="92"/>
      <c r="C151" s="92"/>
      <c r="D151" s="92"/>
      <c r="E151" s="92"/>
      <c r="F151" s="92"/>
      <c r="G151" s="92"/>
      <c r="H151" s="92"/>
      <c r="I151" s="92"/>
      <c r="J151" s="92"/>
      <c r="K151" s="92"/>
      <c r="L151" s="92"/>
      <c r="M151" s="92"/>
      <c r="N151" s="92"/>
      <c r="O151" s="92"/>
      <c r="P151" s="92"/>
      <c r="Q151" s="92"/>
      <c r="R151" s="92"/>
    </row>
    <row r="152" spans="1:18" ht="15.75" customHeight="1">
      <c r="A152" s="92"/>
      <c r="B152" s="92"/>
      <c r="C152" s="92"/>
      <c r="D152" s="92"/>
      <c r="E152" s="92"/>
      <c r="F152" s="92"/>
      <c r="G152" s="92"/>
      <c r="H152" s="92"/>
      <c r="I152" s="92"/>
      <c r="J152" s="92"/>
      <c r="K152" s="92"/>
      <c r="L152" s="92"/>
      <c r="M152" s="92"/>
      <c r="N152" s="92"/>
      <c r="O152" s="92"/>
      <c r="P152" s="92"/>
      <c r="Q152" s="92"/>
      <c r="R152" s="92"/>
    </row>
    <row r="153" spans="1:18" ht="15.75" customHeight="1">
      <c r="A153" s="92"/>
      <c r="B153" s="92"/>
      <c r="C153" s="92"/>
      <c r="D153" s="92"/>
      <c r="E153" s="92"/>
      <c r="F153" s="92"/>
      <c r="G153" s="92"/>
      <c r="H153" s="92"/>
      <c r="I153" s="92"/>
      <c r="J153" s="92"/>
      <c r="K153" s="92"/>
      <c r="L153" s="92"/>
      <c r="M153" s="92"/>
      <c r="N153" s="92"/>
      <c r="O153" s="92"/>
      <c r="P153" s="92"/>
      <c r="Q153" s="92"/>
      <c r="R153" s="92"/>
    </row>
    <row r="154" spans="1:18" ht="15.75" customHeight="1">
      <c r="A154" s="92"/>
      <c r="B154" s="92"/>
      <c r="C154" s="92"/>
      <c r="D154" s="92"/>
      <c r="E154" s="92"/>
      <c r="F154" s="92"/>
      <c r="G154" s="92"/>
      <c r="H154" s="92"/>
      <c r="I154" s="92"/>
      <c r="J154" s="92"/>
      <c r="K154" s="92"/>
      <c r="L154" s="92"/>
      <c r="M154" s="92"/>
      <c r="N154" s="92"/>
      <c r="O154" s="92"/>
      <c r="P154" s="92"/>
      <c r="Q154" s="92"/>
      <c r="R154" s="92"/>
    </row>
    <row r="155" spans="1:18" ht="15.75" customHeight="1">
      <c r="A155" s="92"/>
      <c r="B155" s="92"/>
      <c r="C155" s="92"/>
      <c r="D155" s="92"/>
      <c r="E155" s="92"/>
      <c r="F155" s="92"/>
      <c r="G155" s="92"/>
      <c r="H155" s="92"/>
      <c r="I155" s="92"/>
      <c r="J155" s="92"/>
      <c r="K155" s="92"/>
      <c r="L155" s="92"/>
      <c r="M155" s="92"/>
      <c r="N155" s="92"/>
      <c r="O155" s="92"/>
      <c r="P155" s="92"/>
      <c r="Q155" s="92"/>
      <c r="R155" s="92"/>
    </row>
    <row r="156" spans="1:18" ht="15.75" customHeight="1">
      <c r="A156" s="92"/>
      <c r="B156" s="92"/>
      <c r="C156" s="92"/>
      <c r="D156" s="92"/>
      <c r="E156" s="92"/>
      <c r="F156" s="92"/>
      <c r="G156" s="92"/>
      <c r="H156" s="92"/>
      <c r="I156" s="92"/>
      <c r="J156" s="92"/>
      <c r="K156" s="92"/>
      <c r="L156" s="92"/>
      <c r="M156" s="92"/>
      <c r="N156" s="92"/>
      <c r="O156" s="92"/>
      <c r="P156" s="92"/>
      <c r="Q156" s="92"/>
      <c r="R156" s="92"/>
    </row>
    <row r="157" spans="1:18" ht="15.75" customHeight="1">
      <c r="A157" s="92"/>
      <c r="B157" s="92"/>
      <c r="C157" s="92"/>
      <c r="D157" s="92"/>
      <c r="E157" s="92"/>
      <c r="F157" s="92"/>
      <c r="G157" s="92"/>
      <c r="H157" s="92"/>
      <c r="I157" s="92"/>
      <c r="J157" s="92"/>
      <c r="K157" s="92"/>
      <c r="L157" s="92"/>
      <c r="M157" s="92"/>
      <c r="N157" s="92"/>
      <c r="O157" s="92"/>
      <c r="P157" s="92"/>
      <c r="Q157" s="92"/>
      <c r="R157" s="92"/>
    </row>
    <row r="158" spans="1:18" ht="15.75" customHeight="1">
      <c r="A158" s="92"/>
      <c r="B158" s="92"/>
      <c r="C158" s="92"/>
      <c r="D158" s="92"/>
      <c r="E158" s="92"/>
      <c r="F158" s="92"/>
      <c r="G158" s="92"/>
      <c r="H158" s="92"/>
      <c r="I158" s="92"/>
      <c r="J158" s="92"/>
      <c r="K158" s="92"/>
      <c r="L158" s="92"/>
      <c r="M158" s="92"/>
      <c r="N158" s="92"/>
      <c r="O158" s="92"/>
      <c r="P158" s="92"/>
      <c r="Q158" s="92"/>
      <c r="R158" s="92"/>
    </row>
    <row r="159" spans="1:18" ht="15.75" customHeight="1">
      <c r="A159" s="92"/>
      <c r="B159" s="92"/>
      <c r="C159" s="92"/>
      <c r="D159" s="92"/>
      <c r="E159" s="92"/>
      <c r="F159" s="92"/>
      <c r="G159" s="92"/>
      <c r="H159" s="92"/>
      <c r="I159" s="92"/>
      <c r="J159" s="92"/>
      <c r="K159" s="92"/>
      <c r="L159" s="92"/>
      <c r="M159" s="92"/>
      <c r="N159" s="92"/>
      <c r="O159" s="92"/>
      <c r="P159" s="92"/>
      <c r="Q159" s="92"/>
      <c r="R159" s="92"/>
    </row>
    <row r="160" spans="1:18" ht="15.75" customHeight="1">
      <c r="A160" s="92"/>
      <c r="B160" s="92"/>
      <c r="C160" s="92"/>
      <c r="D160" s="92"/>
      <c r="E160" s="92"/>
      <c r="F160" s="92"/>
      <c r="G160" s="92"/>
      <c r="H160" s="92"/>
      <c r="I160" s="92"/>
      <c r="J160" s="92"/>
      <c r="K160" s="92"/>
      <c r="L160" s="92"/>
      <c r="M160" s="92"/>
      <c r="N160" s="92"/>
      <c r="O160" s="92"/>
      <c r="P160" s="92"/>
      <c r="Q160" s="92"/>
      <c r="R160" s="92"/>
    </row>
    <row r="161" spans="1:18" ht="15.75" customHeight="1">
      <c r="A161" s="92"/>
      <c r="B161" s="92"/>
      <c r="C161" s="92"/>
      <c r="D161" s="92"/>
      <c r="E161" s="92"/>
      <c r="F161" s="92"/>
      <c r="G161" s="92"/>
      <c r="H161" s="92"/>
      <c r="I161" s="92"/>
      <c r="J161" s="92"/>
      <c r="K161" s="92"/>
      <c r="L161" s="92"/>
      <c r="M161" s="92"/>
      <c r="N161" s="92"/>
      <c r="O161" s="92"/>
      <c r="P161" s="92"/>
      <c r="Q161" s="92"/>
      <c r="R161" s="92"/>
    </row>
    <row r="162" spans="1:18" ht="15.75" customHeight="1">
      <c r="A162" s="92"/>
      <c r="B162" s="92"/>
      <c r="C162" s="92"/>
      <c r="D162" s="92"/>
      <c r="E162" s="92"/>
      <c r="F162" s="92"/>
      <c r="G162" s="92"/>
      <c r="H162" s="92"/>
      <c r="I162" s="92"/>
      <c r="J162" s="92"/>
      <c r="K162" s="92"/>
      <c r="L162" s="92"/>
      <c r="M162" s="92"/>
      <c r="N162" s="92"/>
      <c r="O162" s="92"/>
      <c r="P162" s="92"/>
      <c r="Q162" s="92"/>
      <c r="R162" s="92"/>
    </row>
    <row r="163" spans="1:18" ht="15.75" customHeight="1">
      <c r="A163" s="92"/>
      <c r="B163" s="92"/>
      <c r="C163" s="92"/>
      <c r="D163" s="92"/>
      <c r="E163" s="92"/>
      <c r="F163" s="92"/>
      <c r="G163" s="92"/>
      <c r="H163" s="92"/>
      <c r="I163" s="92"/>
      <c r="J163" s="92"/>
      <c r="K163" s="92"/>
      <c r="L163" s="92"/>
      <c r="M163" s="92"/>
      <c r="N163" s="92"/>
      <c r="O163" s="92"/>
      <c r="P163" s="92"/>
      <c r="Q163" s="92"/>
      <c r="R163" s="92"/>
    </row>
    <row r="164" spans="1:18" ht="15.75" customHeight="1">
      <c r="A164" s="92"/>
      <c r="B164" s="92"/>
      <c r="C164" s="92"/>
      <c r="D164" s="92"/>
      <c r="E164" s="92"/>
      <c r="F164" s="92"/>
      <c r="G164" s="92"/>
      <c r="H164" s="92"/>
      <c r="I164" s="92"/>
      <c r="J164" s="92"/>
      <c r="K164" s="92"/>
      <c r="L164" s="92"/>
      <c r="M164" s="92"/>
      <c r="N164" s="92"/>
      <c r="O164" s="92"/>
      <c r="P164" s="92"/>
      <c r="Q164" s="92"/>
      <c r="R164" s="92"/>
    </row>
    <row r="165" spans="1:18" ht="15.75" customHeight="1">
      <c r="A165" s="92"/>
      <c r="B165" s="92"/>
      <c r="C165" s="92"/>
      <c r="D165" s="92"/>
      <c r="E165" s="92"/>
      <c r="F165" s="92"/>
      <c r="G165" s="92"/>
      <c r="H165" s="92"/>
      <c r="I165" s="92"/>
      <c r="J165" s="92"/>
      <c r="K165" s="92"/>
      <c r="L165" s="92"/>
      <c r="M165" s="92"/>
      <c r="N165" s="92"/>
      <c r="O165" s="92"/>
      <c r="P165" s="92"/>
      <c r="Q165" s="92"/>
      <c r="R165" s="92"/>
    </row>
    <row r="166" spans="1:18" ht="15.75" customHeight="1">
      <c r="A166" s="92"/>
      <c r="B166" s="92"/>
      <c r="C166" s="92"/>
      <c r="D166" s="92"/>
      <c r="E166" s="92"/>
      <c r="F166" s="92"/>
      <c r="G166" s="92"/>
      <c r="H166" s="92"/>
      <c r="I166" s="92"/>
      <c r="J166" s="92"/>
      <c r="K166" s="92"/>
      <c r="L166" s="92"/>
      <c r="M166" s="92"/>
      <c r="N166" s="92"/>
      <c r="O166" s="92"/>
      <c r="P166" s="92"/>
      <c r="Q166" s="92"/>
      <c r="R166" s="92"/>
    </row>
    <row r="167" spans="1:18" ht="15.75" customHeight="1">
      <c r="A167" s="92"/>
      <c r="B167" s="92"/>
      <c r="C167" s="92"/>
      <c r="D167" s="92"/>
      <c r="E167" s="92"/>
      <c r="F167" s="92"/>
      <c r="G167" s="92"/>
      <c r="H167" s="92"/>
      <c r="I167" s="92"/>
      <c r="J167" s="92"/>
      <c r="K167" s="92"/>
      <c r="L167" s="92"/>
      <c r="M167" s="92"/>
      <c r="N167" s="92"/>
      <c r="O167" s="92"/>
      <c r="P167" s="92"/>
      <c r="Q167" s="92"/>
      <c r="R167" s="92"/>
    </row>
    <row r="168" spans="1:18" ht="15.75" customHeight="1">
      <c r="A168" s="92"/>
      <c r="B168" s="92"/>
      <c r="C168" s="92"/>
      <c r="D168" s="92"/>
      <c r="E168" s="92"/>
      <c r="F168" s="92"/>
      <c r="G168" s="92"/>
      <c r="H168" s="92"/>
      <c r="I168" s="92"/>
      <c r="J168" s="92"/>
      <c r="K168" s="92"/>
      <c r="L168" s="92"/>
      <c r="M168" s="92"/>
      <c r="N168" s="92"/>
      <c r="O168" s="92"/>
      <c r="P168" s="92"/>
      <c r="Q168" s="92"/>
      <c r="R168" s="92"/>
    </row>
    <row r="169" spans="1:18" ht="15.75" customHeight="1">
      <c r="A169" s="92"/>
      <c r="B169" s="92"/>
      <c r="C169" s="92"/>
      <c r="D169" s="92"/>
      <c r="E169" s="92"/>
      <c r="F169" s="92"/>
      <c r="G169" s="92"/>
      <c r="H169" s="92"/>
      <c r="I169" s="92"/>
      <c r="J169" s="92"/>
      <c r="K169" s="92"/>
      <c r="L169" s="92"/>
      <c r="M169" s="92"/>
      <c r="N169" s="92"/>
      <c r="O169" s="92"/>
      <c r="P169" s="92"/>
      <c r="Q169" s="92"/>
      <c r="R169" s="92"/>
    </row>
    <row r="170" spans="1:18" ht="15.75" customHeight="1">
      <c r="A170" s="92"/>
      <c r="B170" s="92"/>
      <c r="C170" s="92"/>
      <c r="D170" s="92"/>
      <c r="E170" s="92"/>
      <c r="F170" s="92"/>
      <c r="G170" s="92"/>
      <c r="H170" s="92"/>
      <c r="I170" s="92"/>
      <c r="J170" s="92"/>
      <c r="K170" s="92"/>
      <c r="L170" s="92"/>
      <c r="M170" s="92"/>
      <c r="N170" s="92"/>
      <c r="O170" s="92"/>
      <c r="P170" s="92"/>
      <c r="Q170" s="92"/>
      <c r="R170" s="92"/>
    </row>
    <row r="171" spans="1:18" ht="15.75" customHeight="1">
      <c r="A171" s="92"/>
      <c r="B171" s="92"/>
      <c r="C171" s="92"/>
      <c r="D171" s="92"/>
      <c r="E171" s="92"/>
      <c r="F171" s="92"/>
      <c r="G171" s="92"/>
      <c r="H171" s="92"/>
      <c r="I171" s="92"/>
      <c r="J171" s="92"/>
      <c r="K171" s="92"/>
      <c r="L171" s="92"/>
      <c r="M171" s="92"/>
      <c r="N171" s="92"/>
      <c r="O171" s="92"/>
      <c r="P171" s="92"/>
      <c r="Q171" s="92"/>
      <c r="R171" s="92"/>
    </row>
    <row r="172" spans="1:18" ht="15.75" customHeight="1">
      <c r="A172" s="92"/>
      <c r="B172" s="92"/>
      <c r="C172" s="92"/>
      <c r="D172" s="92"/>
      <c r="E172" s="92"/>
      <c r="F172" s="92"/>
      <c r="G172" s="92"/>
      <c r="H172" s="92"/>
      <c r="I172" s="92"/>
      <c r="J172" s="92"/>
      <c r="K172" s="92"/>
      <c r="L172" s="92"/>
      <c r="M172" s="92"/>
      <c r="N172" s="92"/>
      <c r="O172" s="92"/>
      <c r="P172" s="92"/>
      <c r="Q172" s="92"/>
      <c r="R172" s="92"/>
    </row>
    <row r="173" spans="1:18" ht="15.75" customHeight="1">
      <c r="A173" s="92"/>
      <c r="B173" s="92"/>
      <c r="C173" s="92"/>
      <c r="D173" s="92"/>
      <c r="E173" s="92"/>
      <c r="F173" s="92"/>
      <c r="G173" s="92"/>
      <c r="H173" s="92"/>
      <c r="I173" s="92"/>
      <c r="J173" s="92"/>
      <c r="K173" s="92"/>
      <c r="L173" s="92"/>
      <c r="M173" s="92"/>
      <c r="N173" s="92"/>
      <c r="O173" s="92"/>
      <c r="P173" s="92"/>
      <c r="Q173" s="92"/>
      <c r="R173" s="92"/>
    </row>
    <row r="174" spans="1:18" ht="15.75" customHeight="1">
      <c r="A174" s="92"/>
      <c r="B174" s="92"/>
      <c r="C174" s="92"/>
      <c r="D174" s="92"/>
      <c r="E174" s="92"/>
      <c r="F174" s="92"/>
      <c r="G174" s="92"/>
      <c r="H174" s="92"/>
      <c r="I174" s="92"/>
      <c r="J174" s="92"/>
      <c r="K174" s="92"/>
      <c r="L174" s="92"/>
      <c r="M174" s="92"/>
      <c r="N174" s="92"/>
      <c r="O174" s="92"/>
      <c r="P174" s="92"/>
      <c r="Q174" s="92"/>
      <c r="R174" s="92"/>
    </row>
    <row r="175" spans="1:18" ht="15.75" customHeight="1">
      <c r="A175" s="92"/>
      <c r="B175" s="92"/>
      <c r="C175" s="92"/>
      <c r="D175" s="92"/>
      <c r="E175" s="92"/>
      <c r="F175" s="92"/>
      <c r="G175" s="92"/>
      <c r="H175" s="92"/>
      <c r="I175" s="92"/>
      <c r="J175" s="92"/>
      <c r="K175" s="92"/>
      <c r="L175" s="92"/>
      <c r="M175" s="92"/>
      <c r="N175" s="92"/>
      <c r="O175" s="92"/>
      <c r="P175" s="92"/>
      <c r="Q175" s="92"/>
      <c r="R175" s="92"/>
    </row>
    <row r="176" spans="1:18" ht="15.75" customHeight="1">
      <c r="A176" s="92"/>
      <c r="B176" s="92"/>
      <c r="C176" s="92"/>
      <c r="D176" s="92"/>
      <c r="E176" s="92"/>
      <c r="F176" s="92"/>
      <c r="G176" s="92"/>
      <c r="H176" s="92"/>
      <c r="I176" s="92"/>
      <c r="J176" s="92"/>
      <c r="K176" s="92"/>
      <c r="L176" s="92"/>
      <c r="M176" s="92"/>
      <c r="N176" s="92"/>
      <c r="O176" s="92"/>
      <c r="P176" s="92"/>
      <c r="Q176" s="92"/>
      <c r="R176" s="92"/>
    </row>
    <row r="177" spans="1:18" ht="15.75" customHeight="1">
      <c r="A177" s="92"/>
      <c r="B177" s="92"/>
      <c r="C177" s="92"/>
      <c r="D177" s="92"/>
      <c r="E177" s="92"/>
      <c r="F177" s="92"/>
      <c r="G177" s="92"/>
      <c r="H177" s="92"/>
      <c r="I177" s="92"/>
      <c r="J177" s="92"/>
      <c r="K177" s="92"/>
      <c r="L177" s="92"/>
      <c r="M177" s="92"/>
      <c r="N177" s="92"/>
      <c r="O177" s="92"/>
      <c r="P177" s="92"/>
      <c r="Q177" s="92"/>
      <c r="R177" s="92"/>
    </row>
    <row r="178" spans="1:18" ht="15.75" customHeight="1">
      <c r="A178" s="92"/>
      <c r="B178" s="92"/>
      <c r="C178" s="92"/>
      <c r="D178" s="92"/>
      <c r="E178" s="92"/>
      <c r="F178" s="92"/>
      <c r="G178" s="92"/>
      <c r="H178" s="92"/>
      <c r="I178" s="92"/>
      <c r="J178" s="92"/>
      <c r="K178" s="92"/>
      <c r="L178" s="92"/>
      <c r="M178" s="92"/>
      <c r="N178" s="92"/>
      <c r="O178" s="92"/>
      <c r="P178" s="92"/>
      <c r="Q178" s="92"/>
      <c r="R178" s="92"/>
    </row>
    <row r="179" spans="1:18" ht="15.75" customHeight="1">
      <c r="A179" s="92"/>
      <c r="B179" s="92"/>
      <c r="C179" s="92"/>
      <c r="D179" s="92"/>
      <c r="E179" s="92"/>
      <c r="F179" s="92"/>
      <c r="G179" s="92"/>
      <c r="H179" s="92"/>
      <c r="I179" s="92"/>
      <c r="J179" s="92"/>
      <c r="K179" s="92"/>
      <c r="L179" s="92"/>
      <c r="M179" s="92"/>
      <c r="N179" s="92"/>
      <c r="O179" s="92"/>
      <c r="P179" s="92"/>
      <c r="Q179" s="92"/>
      <c r="R179" s="92"/>
    </row>
    <row r="180" spans="1:18" ht="15.75" customHeight="1">
      <c r="A180" s="92"/>
      <c r="B180" s="92"/>
      <c r="C180" s="92"/>
      <c r="D180" s="92"/>
      <c r="E180" s="92"/>
      <c r="F180" s="92"/>
      <c r="G180" s="92"/>
      <c r="H180" s="92"/>
      <c r="I180" s="92"/>
      <c r="J180" s="92"/>
      <c r="K180" s="92"/>
      <c r="L180" s="92"/>
      <c r="M180" s="92"/>
      <c r="N180" s="92"/>
      <c r="O180" s="92"/>
      <c r="P180" s="92"/>
      <c r="Q180" s="92"/>
      <c r="R180" s="92"/>
    </row>
    <row r="181" spans="1:18" ht="15.75" customHeight="1">
      <c r="A181" s="92"/>
      <c r="B181" s="92"/>
      <c r="C181" s="92"/>
      <c r="D181" s="92"/>
      <c r="E181" s="92"/>
      <c r="F181" s="92"/>
      <c r="G181" s="92"/>
      <c r="H181" s="92"/>
      <c r="I181" s="92"/>
      <c r="J181" s="92"/>
      <c r="K181" s="92"/>
      <c r="L181" s="92"/>
      <c r="M181" s="92"/>
      <c r="N181" s="92"/>
      <c r="O181" s="92"/>
      <c r="P181" s="92"/>
      <c r="Q181" s="92"/>
      <c r="R181" s="92"/>
    </row>
    <row r="182" spans="1:18" ht="15.75" customHeight="1">
      <c r="A182" s="92"/>
      <c r="B182" s="92"/>
      <c r="C182" s="92"/>
      <c r="D182" s="92"/>
      <c r="E182" s="92"/>
      <c r="F182" s="92"/>
      <c r="G182" s="92"/>
      <c r="H182" s="92"/>
      <c r="I182" s="92"/>
      <c r="J182" s="92"/>
      <c r="K182" s="92"/>
      <c r="L182" s="92"/>
      <c r="M182" s="92"/>
      <c r="N182" s="92"/>
      <c r="O182" s="92"/>
      <c r="P182" s="92"/>
      <c r="Q182" s="92"/>
      <c r="R182" s="92"/>
    </row>
    <row r="183" spans="1:18" ht="15.75" customHeight="1">
      <c r="A183" s="92"/>
      <c r="B183" s="92"/>
      <c r="C183" s="92"/>
      <c r="D183" s="92"/>
      <c r="E183" s="92"/>
      <c r="F183" s="92"/>
      <c r="G183" s="92"/>
      <c r="H183" s="92"/>
      <c r="I183" s="92"/>
      <c r="J183" s="92"/>
      <c r="K183" s="92"/>
      <c r="L183" s="92"/>
      <c r="M183" s="92"/>
      <c r="N183" s="92"/>
      <c r="O183" s="92"/>
      <c r="P183" s="92"/>
      <c r="Q183" s="92"/>
      <c r="R183" s="92"/>
    </row>
    <row r="184" spans="1:18" ht="15.75" customHeight="1">
      <c r="A184" s="92"/>
      <c r="B184" s="92"/>
      <c r="C184" s="92"/>
      <c r="D184" s="92"/>
      <c r="E184" s="92"/>
      <c r="F184" s="92"/>
      <c r="G184" s="92"/>
      <c r="H184" s="92"/>
      <c r="I184" s="92"/>
      <c r="J184" s="92"/>
      <c r="K184" s="92"/>
      <c r="L184" s="92"/>
      <c r="M184" s="92"/>
      <c r="N184" s="92"/>
      <c r="O184" s="92"/>
      <c r="P184" s="92"/>
      <c r="Q184" s="92"/>
      <c r="R184" s="92"/>
    </row>
    <row r="185" spans="1:18" ht="15.75" customHeight="1">
      <c r="A185" s="92"/>
      <c r="B185" s="92"/>
      <c r="C185" s="92"/>
      <c r="D185" s="92"/>
      <c r="E185" s="92"/>
      <c r="F185" s="92"/>
      <c r="G185" s="92"/>
      <c r="H185" s="92"/>
      <c r="I185" s="92"/>
      <c r="J185" s="92"/>
      <c r="K185" s="92"/>
      <c r="L185" s="92"/>
      <c r="M185" s="92"/>
      <c r="N185" s="92"/>
      <c r="O185" s="92"/>
      <c r="P185" s="92"/>
      <c r="Q185" s="92"/>
      <c r="R185" s="92"/>
    </row>
    <row r="186" spans="1:18" ht="15.75" customHeight="1">
      <c r="A186" s="92"/>
      <c r="B186" s="92"/>
      <c r="C186" s="92"/>
      <c r="D186" s="92"/>
      <c r="E186" s="92"/>
      <c r="F186" s="92"/>
      <c r="G186" s="92"/>
      <c r="H186" s="92"/>
      <c r="I186" s="92"/>
      <c r="J186" s="92"/>
      <c r="K186" s="92"/>
      <c r="L186" s="92"/>
      <c r="M186" s="92"/>
      <c r="N186" s="92"/>
      <c r="O186" s="92"/>
      <c r="P186" s="92"/>
      <c r="Q186" s="92"/>
      <c r="R186" s="92"/>
    </row>
    <row r="187" spans="1:18" ht="15.75" customHeight="1">
      <c r="A187" s="92"/>
      <c r="B187" s="92"/>
      <c r="C187" s="92"/>
      <c r="D187" s="92"/>
      <c r="E187" s="92"/>
      <c r="F187" s="92"/>
      <c r="G187" s="92"/>
      <c r="H187" s="92"/>
      <c r="I187" s="92"/>
      <c r="J187" s="92"/>
      <c r="K187" s="92"/>
      <c r="L187" s="92"/>
      <c r="M187" s="92"/>
      <c r="N187" s="92"/>
      <c r="O187" s="92"/>
      <c r="P187" s="92"/>
      <c r="Q187" s="92"/>
      <c r="R187" s="92"/>
    </row>
    <row r="188" spans="1:18" ht="15.75" customHeight="1">
      <c r="A188" s="92"/>
      <c r="B188" s="92"/>
      <c r="C188" s="92"/>
      <c r="D188" s="92"/>
      <c r="E188" s="92"/>
      <c r="F188" s="92"/>
      <c r="G188" s="92"/>
      <c r="H188" s="92"/>
      <c r="I188" s="92"/>
      <c r="J188" s="92"/>
      <c r="K188" s="92"/>
      <c r="L188" s="92"/>
      <c r="M188" s="92"/>
      <c r="N188" s="92"/>
      <c r="O188" s="92"/>
      <c r="P188" s="92"/>
      <c r="Q188" s="92"/>
      <c r="R188" s="92"/>
    </row>
    <row r="189" spans="1:18" ht="15.75" customHeight="1">
      <c r="A189" s="92"/>
      <c r="B189" s="92"/>
      <c r="C189" s="92"/>
      <c r="D189" s="92"/>
      <c r="E189" s="92"/>
      <c r="F189" s="92"/>
      <c r="G189" s="92"/>
      <c r="H189" s="92"/>
      <c r="I189" s="92"/>
      <c r="J189" s="92"/>
      <c r="K189" s="92"/>
      <c r="L189" s="92"/>
      <c r="M189" s="92"/>
      <c r="N189" s="92"/>
      <c r="O189" s="92"/>
      <c r="P189" s="92"/>
      <c r="Q189" s="92"/>
      <c r="R189" s="92"/>
    </row>
    <row r="190" spans="1:18" ht="15.75" customHeight="1">
      <c r="A190" s="92"/>
      <c r="B190" s="92"/>
      <c r="C190" s="92"/>
      <c r="D190" s="92"/>
      <c r="E190" s="92"/>
      <c r="F190" s="92"/>
      <c r="G190" s="92"/>
      <c r="H190" s="92"/>
      <c r="I190" s="92"/>
      <c r="J190" s="92"/>
      <c r="K190" s="92"/>
      <c r="L190" s="92"/>
      <c r="M190" s="92"/>
      <c r="N190" s="92"/>
      <c r="O190" s="92"/>
      <c r="P190" s="92"/>
      <c r="Q190" s="92"/>
      <c r="R190" s="92"/>
    </row>
    <row r="191" spans="1:18" ht="15.75" customHeight="1">
      <c r="A191" s="92"/>
      <c r="B191" s="92"/>
      <c r="C191" s="92"/>
      <c r="D191" s="92"/>
      <c r="E191" s="92"/>
      <c r="F191" s="92"/>
      <c r="G191" s="92"/>
      <c r="H191" s="92"/>
      <c r="I191" s="92"/>
      <c r="J191" s="92"/>
      <c r="K191" s="92"/>
      <c r="L191" s="92"/>
      <c r="M191" s="92"/>
      <c r="N191" s="92"/>
      <c r="O191" s="92"/>
      <c r="P191" s="92"/>
      <c r="Q191" s="92"/>
      <c r="R191" s="92"/>
    </row>
    <row r="192" spans="1:18" ht="15.75" customHeight="1">
      <c r="A192" s="92"/>
      <c r="B192" s="92"/>
      <c r="C192" s="92"/>
      <c r="D192" s="92"/>
      <c r="E192" s="92"/>
      <c r="F192" s="92"/>
      <c r="G192" s="92"/>
      <c r="H192" s="92"/>
      <c r="I192" s="92"/>
      <c r="J192" s="92"/>
      <c r="K192" s="92"/>
      <c r="L192" s="92"/>
      <c r="M192" s="92"/>
      <c r="N192" s="92"/>
      <c r="O192" s="92"/>
      <c r="P192" s="92"/>
      <c r="Q192" s="92"/>
      <c r="R192" s="92"/>
    </row>
    <row r="193" spans="1:18" ht="15.75" customHeight="1">
      <c r="A193" s="92"/>
      <c r="B193" s="92"/>
      <c r="C193" s="92"/>
      <c r="D193" s="92"/>
      <c r="E193" s="92"/>
      <c r="F193" s="92"/>
      <c r="G193" s="92"/>
      <c r="H193" s="92"/>
      <c r="I193" s="92"/>
      <c r="J193" s="92"/>
      <c r="K193" s="92"/>
      <c r="L193" s="92"/>
      <c r="M193" s="92"/>
      <c r="N193" s="92"/>
      <c r="O193" s="92"/>
      <c r="P193" s="92"/>
      <c r="Q193" s="92"/>
      <c r="R193" s="92"/>
    </row>
    <row r="194" spans="1:18" ht="15.75" customHeight="1">
      <c r="A194" s="92"/>
      <c r="B194" s="92"/>
      <c r="C194" s="92"/>
      <c r="D194" s="92"/>
      <c r="E194" s="92"/>
      <c r="F194" s="92"/>
      <c r="G194" s="92"/>
      <c r="H194" s="92"/>
      <c r="I194" s="92"/>
      <c r="J194" s="92"/>
      <c r="K194" s="92"/>
      <c r="L194" s="92"/>
      <c r="M194" s="92"/>
      <c r="N194" s="92"/>
      <c r="O194" s="92"/>
      <c r="P194" s="92"/>
      <c r="Q194" s="92"/>
      <c r="R194" s="92"/>
    </row>
    <row r="195" spans="1:18" ht="15.75" customHeight="1">
      <c r="A195" s="92"/>
      <c r="B195" s="92"/>
      <c r="C195" s="92"/>
      <c r="D195" s="92"/>
      <c r="E195" s="92"/>
      <c r="F195" s="92"/>
      <c r="G195" s="92"/>
      <c r="H195" s="92"/>
      <c r="I195" s="92"/>
      <c r="J195" s="92"/>
      <c r="K195" s="92"/>
      <c r="L195" s="92"/>
      <c r="M195" s="92"/>
      <c r="N195" s="92"/>
      <c r="O195" s="92"/>
      <c r="P195" s="92"/>
      <c r="Q195" s="92"/>
      <c r="R195" s="92"/>
    </row>
    <row r="196" spans="1:18" ht="15.75" customHeight="1">
      <c r="A196" s="92"/>
      <c r="B196" s="92"/>
      <c r="C196" s="92"/>
      <c r="D196" s="92"/>
      <c r="E196" s="92"/>
      <c r="F196" s="92"/>
      <c r="G196" s="92"/>
      <c r="H196" s="92"/>
      <c r="I196" s="92"/>
      <c r="J196" s="92"/>
      <c r="K196" s="92"/>
      <c r="L196" s="92"/>
      <c r="M196" s="92"/>
      <c r="N196" s="92"/>
      <c r="O196" s="92"/>
      <c r="P196" s="92"/>
      <c r="Q196" s="92"/>
      <c r="R196" s="92"/>
    </row>
    <row r="197" spans="1:18" ht="15.75" customHeight="1">
      <c r="A197" s="92"/>
      <c r="B197" s="92"/>
      <c r="C197" s="92"/>
      <c r="D197" s="92"/>
      <c r="E197" s="92"/>
      <c r="F197" s="92"/>
      <c r="G197" s="92"/>
      <c r="H197" s="92"/>
      <c r="I197" s="92"/>
      <c r="J197" s="92"/>
      <c r="K197" s="92"/>
      <c r="L197" s="92"/>
      <c r="M197" s="92"/>
      <c r="N197" s="92"/>
      <c r="O197" s="92"/>
      <c r="P197" s="92"/>
      <c r="Q197" s="92"/>
      <c r="R197" s="92"/>
    </row>
    <row r="198" spans="1:18" ht="15.75" customHeight="1">
      <c r="A198" s="92"/>
      <c r="B198" s="92"/>
      <c r="C198" s="92"/>
      <c r="D198" s="92"/>
      <c r="E198" s="92"/>
      <c r="F198" s="92"/>
      <c r="G198" s="92"/>
      <c r="H198" s="92"/>
      <c r="I198" s="92"/>
      <c r="J198" s="92"/>
      <c r="K198" s="92"/>
      <c r="L198" s="92"/>
      <c r="M198" s="92"/>
      <c r="N198" s="92"/>
      <c r="O198" s="92"/>
      <c r="P198" s="92"/>
      <c r="Q198" s="92"/>
      <c r="R198" s="92"/>
    </row>
    <row r="199" spans="1:18" ht="15.75" customHeight="1">
      <c r="A199" s="92"/>
      <c r="B199" s="92"/>
      <c r="C199" s="92"/>
      <c r="D199" s="92"/>
      <c r="E199" s="92"/>
      <c r="F199" s="92"/>
      <c r="G199" s="92"/>
      <c r="H199" s="92"/>
      <c r="I199" s="92"/>
      <c r="J199" s="92"/>
      <c r="K199" s="92"/>
      <c r="L199" s="92"/>
      <c r="M199" s="92"/>
      <c r="N199" s="92"/>
      <c r="O199" s="92"/>
      <c r="P199" s="92"/>
      <c r="Q199" s="92"/>
      <c r="R199" s="92"/>
    </row>
    <row r="200" spans="1:18" ht="15.75" customHeight="1">
      <c r="A200" s="92"/>
      <c r="B200" s="92"/>
      <c r="C200" s="92"/>
      <c r="D200" s="92"/>
      <c r="E200" s="92"/>
      <c r="F200" s="92"/>
      <c r="G200" s="92"/>
      <c r="H200" s="92"/>
      <c r="I200" s="92"/>
      <c r="J200" s="92"/>
      <c r="K200" s="92"/>
      <c r="L200" s="92"/>
      <c r="M200" s="92"/>
      <c r="N200" s="92"/>
      <c r="O200" s="92"/>
      <c r="P200" s="92"/>
      <c r="Q200" s="92"/>
      <c r="R200" s="92"/>
    </row>
    <row r="201" spans="1:18" ht="15.75" customHeight="1">
      <c r="A201" s="92"/>
      <c r="B201" s="92"/>
      <c r="C201" s="92"/>
      <c r="D201" s="92"/>
      <c r="E201" s="92"/>
      <c r="F201" s="92"/>
      <c r="G201" s="92"/>
      <c r="H201" s="92"/>
      <c r="I201" s="92"/>
      <c r="J201" s="92"/>
      <c r="K201" s="92"/>
      <c r="L201" s="92"/>
      <c r="M201" s="92"/>
      <c r="N201" s="92"/>
      <c r="O201" s="92"/>
      <c r="P201" s="92"/>
      <c r="Q201" s="92"/>
      <c r="R201" s="92"/>
    </row>
    <row r="202" spans="1:18" ht="15.75" customHeight="1">
      <c r="A202" s="92"/>
      <c r="B202" s="92"/>
      <c r="C202" s="92"/>
      <c r="D202" s="92"/>
      <c r="E202" s="92"/>
      <c r="F202" s="92"/>
      <c r="G202" s="92"/>
      <c r="H202" s="92"/>
      <c r="I202" s="92"/>
      <c r="J202" s="92"/>
      <c r="K202" s="92"/>
      <c r="L202" s="92"/>
      <c r="M202" s="92"/>
      <c r="N202" s="92"/>
      <c r="O202" s="92"/>
      <c r="P202" s="92"/>
      <c r="Q202" s="92"/>
      <c r="R202" s="92"/>
    </row>
    <row r="203" spans="1:18" ht="15.75" customHeight="1">
      <c r="A203" s="92"/>
      <c r="B203" s="92"/>
      <c r="C203" s="92"/>
      <c r="D203" s="92"/>
      <c r="E203" s="92"/>
      <c r="F203" s="92"/>
      <c r="G203" s="92"/>
      <c r="H203" s="92"/>
      <c r="I203" s="92"/>
      <c r="J203" s="92"/>
      <c r="K203" s="92"/>
      <c r="L203" s="92"/>
      <c r="M203" s="92"/>
      <c r="N203" s="92"/>
      <c r="O203" s="92"/>
      <c r="P203" s="92"/>
      <c r="Q203" s="92"/>
      <c r="R203" s="92"/>
    </row>
    <row r="204" spans="1:18" ht="15.75" customHeight="1">
      <c r="A204" s="92"/>
      <c r="B204" s="92"/>
      <c r="C204" s="92"/>
      <c r="D204" s="92"/>
      <c r="E204" s="92"/>
      <c r="F204" s="92"/>
      <c r="G204" s="92"/>
      <c r="H204" s="92"/>
      <c r="I204" s="92"/>
      <c r="J204" s="92"/>
      <c r="K204" s="92"/>
      <c r="L204" s="92"/>
      <c r="M204" s="92"/>
      <c r="N204" s="92"/>
      <c r="O204" s="92"/>
      <c r="P204" s="92"/>
      <c r="Q204" s="92"/>
      <c r="R204" s="92"/>
    </row>
    <row r="205" spans="1:18" ht="15.75" customHeight="1">
      <c r="A205" s="92"/>
      <c r="B205" s="92"/>
      <c r="C205" s="92"/>
      <c r="D205" s="92"/>
      <c r="E205" s="92"/>
      <c r="F205" s="92"/>
      <c r="G205" s="92"/>
      <c r="H205" s="92"/>
      <c r="I205" s="92"/>
      <c r="J205" s="92"/>
      <c r="K205" s="92"/>
      <c r="L205" s="92"/>
      <c r="M205" s="92"/>
      <c r="N205" s="92"/>
      <c r="O205" s="92"/>
      <c r="P205" s="92"/>
      <c r="Q205" s="92"/>
      <c r="R205" s="92"/>
    </row>
    <row r="206" spans="1:18" ht="15.75" customHeight="1">
      <c r="A206" s="92"/>
      <c r="B206" s="92"/>
      <c r="C206" s="92"/>
      <c r="D206" s="92"/>
      <c r="E206" s="92"/>
      <c r="F206" s="92"/>
      <c r="G206" s="92"/>
      <c r="H206" s="92"/>
      <c r="I206" s="92"/>
      <c r="J206" s="92"/>
      <c r="K206" s="92"/>
      <c r="L206" s="92"/>
      <c r="M206" s="92"/>
      <c r="N206" s="92"/>
      <c r="O206" s="92"/>
      <c r="P206" s="92"/>
      <c r="Q206" s="92"/>
      <c r="R206" s="92"/>
    </row>
    <row r="207" spans="1:18" ht="15.75" customHeight="1">
      <c r="A207" s="92"/>
      <c r="B207" s="92"/>
      <c r="C207" s="92"/>
      <c r="D207" s="92"/>
      <c r="E207" s="92"/>
      <c r="F207" s="92"/>
      <c r="G207" s="92"/>
      <c r="H207" s="92"/>
      <c r="I207" s="92"/>
      <c r="J207" s="92"/>
      <c r="K207" s="92"/>
      <c r="L207" s="92"/>
      <c r="M207" s="92"/>
      <c r="N207" s="92"/>
      <c r="O207" s="92"/>
      <c r="P207" s="92"/>
      <c r="Q207" s="92"/>
      <c r="R207" s="92"/>
    </row>
    <row r="208" spans="1:18" ht="15.75" customHeight="1">
      <c r="A208" s="92"/>
      <c r="B208" s="92"/>
      <c r="C208" s="92"/>
      <c r="D208" s="92"/>
      <c r="E208" s="92"/>
      <c r="F208" s="92"/>
      <c r="G208" s="92"/>
      <c r="H208" s="92"/>
      <c r="I208" s="92"/>
      <c r="J208" s="92"/>
      <c r="K208" s="92"/>
      <c r="L208" s="92"/>
      <c r="M208" s="92"/>
      <c r="N208" s="92"/>
      <c r="O208" s="92"/>
      <c r="P208" s="92"/>
      <c r="Q208" s="92"/>
      <c r="R208" s="92"/>
    </row>
    <row r="209" spans="1:18" ht="15.75" customHeight="1">
      <c r="A209" s="92"/>
      <c r="B209" s="92"/>
      <c r="C209" s="92"/>
      <c r="D209" s="92"/>
      <c r="E209" s="92"/>
      <c r="F209" s="92"/>
      <c r="G209" s="92"/>
      <c r="H209" s="92"/>
      <c r="I209" s="92"/>
      <c r="J209" s="92"/>
      <c r="K209" s="92"/>
      <c r="L209" s="92"/>
      <c r="M209" s="92"/>
      <c r="N209" s="92"/>
      <c r="O209" s="92"/>
      <c r="P209" s="92"/>
      <c r="Q209" s="92"/>
      <c r="R209" s="92"/>
    </row>
    <row r="210" spans="1:18" ht="15.75" customHeight="1">
      <c r="A210" s="92"/>
      <c r="B210" s="92"/>
      <c r="C210" s="92"/>
      <c r="D210" s="92"/>
      <c r="E210" s="92"/>
      <c r="F210" s="92"/>
      <c r="G210" s="92"/>
      <c r="H210" s="92"/>
      <c r="I210" s="92"/>
      <c r="J210" s="92"/>
      <c r="K210" s="92"/>
      <c r="L210" s="92"/>
      <c r="M210" s="92"/>
      <c r="N210" s="92"/>
      <c r="O210" s="92"/>
      <c r="P210" s="92"/>
      <c r="Q210" s="92"/>
      <c r="R210" s="92"/>
    </row>
    <row r="211" spans="1:18" ht="15.75" customHeight="1">
      <c r="A211" s="92"/>
      <c r="B211" s="92"/>
      <c r="C211" s="92"/>
      <c r="D211" s="92"/>
      <c r="E211" s="92"/>
      <c r="F211" s="92"/>
      <c r="G211" s="92"/>
      <c r="H211" s="92"/>
      <c r="I211" s="92"/>
      <c r="J211" s="92"/>
      <c r="K211" s="92"/>
      <c r="L211" s="92"/>
      <c r="M211" s="92"/>
      <c r="N211" s="92"/>
      <c r="O211" s="92"/>
      <c r="P211" s="92"/>
      <c r="Q211" s="92"/>
      <c r="R211" s="92"/>
    </row>
    <row r="212" spans="1:18" ht="15.75" customHeight="1">
      <c r="A212" s="92"/>
      <c r="B212" s="92"/>
      <c r="C212" s="92"/>
      <c r="D212" s="92"/>
      <c r="E212" s="92"/>
      <c r="F212" s="92"/>
      <c r="G212" s="92"/>
      <c r="H212" s="92"/>
      <c r="I212" s="92"/>
      <c r="J212" s="92"/>
      <c r="K212" s="92"/>
      <c r="L212" s="92"/>
      <c r="M212" s="92"/>
      <c r="N212" s="92"/>
      <c r="O212" s="92"/>
      <c r="P212" s="92"/>
      <c r="Q212" s="92"/>
      <c r="R212" s="92"/>
    </row>
    <row r="213" spans="1:18" ht="15.75" customHeight="1">
      <c r="A213" s="92"/>
      <c r="B213" s="92"/>
      <c r="C213" s="92"/>
      <c r="D213" s="92"/>
      <c r="E213" s="92"/>
      <c r="F213" s="92"/>
      <c r="G213" s="92"/>
      <c r="H213" s="92"/>
      <c r="I213" s="92"/>
      <c r="J213" s="92"/>
      <c r="K213" s="92"/>
      <c r="L213" s="92"/>
      <c r="M213" s="92"/>
      <c r="N213" s="92"/>
      <c r="O213" s="92"/>
      <c r="P213" s="92"/>
      <c r="Q213" s="92"/>
      <c r="R213" s="92"/>
    </row>
    <row r="214" spans="1:18" ht="15.75" customHeight="1">
      <c r="A214" s="92"/>
      <c r="B214" s="92"/>
      <c r="C214" s="92"/>
      <c r="D214" s="92"/>
      <c r="E214" s="92"/>
      <c r="F214" s="92"/>
      <c r="G214" s="92"/>
      <c r="H214" s="92"/>
      <c r="I214" s="92"/>
      <c r="J214" s="92"/>
      <c r="K214" s="92"/>
      <c r="L214" s="92"/>
      <c r="M214" s="92"/>
      <c r="N214" s="92"/>
      <c r="O214" s="92"/>
      <c r="P214" s="92"/>
      <c r="Q214" s="92"/>
      <c r="R214" s="92"/>
    </row>
    <row r="215" spans="1:18" ht="15.75" customHeight="1">
      <c r="A215" s="92"/>
      <c r="B215" s="92"/>
      <c r="C215" s="92"/>
      <c r="D215" s="92"/>
      <c r="E215" s="92"/>
      <c r="F215" s="92"/>
      <c r="G215" s="92"/>
      <c r="H215" s="92"/>
      <c r="I215" s="92"/>
      <c r="J215" s="92"/>
      <c r="K215" s="92"/>
      <c r="L215" s="92"/>
      <c r="M215" s="92"/>
      <c r="N215" s="92"/>
      <c r="O215" s="92"/>
      <c r="P215" s="92"/>
      <c r="Q215" s="92"/>
      <c r="R215" s="92"/>
    </row>
    <row r="216" spans="1:18" ht="15.75" customHeight="1">
      <c r="A216" s="92"/>
      <c r="B216" s="92"/>
      <c r="C216" s="92"/>
      <c r="D216" s="92"/>
      <c r="E216" s="92"/>
      <c r="F216" s="92"/>
      <c r="G216" s="92"/>
      <c r="H216" s="92"/>
      <c r="I216" s="92"/>
      <c r="J216" s="92"/>
      <c r="K216" s="92"/>
      <c r="L216" s="92"/>
      <c r="M216" s="92"/>
      <c r="N216" s="92"/>
      <c r="O216" s="92"/>
      <c r="P216" s="92"/>
      <c r="Q216" s="92"/>
      <c r="R216" s="92"/>
    </row>
    <row r="217" spans="1:18" ht="15.75" customHeight="1">
      <c r="A217" s="92"/>
      <c r="B217" s="92"/>
      <c r="C217" s="92"/>
      <c r="D217" s="92"/>
      <c r="E217" s="92"/>
      <c r="F217" s="92"/>
      <c r="G217" s="92"/>
      <c r="H217" s="92"/>
      <c r="I217" s="92"/>
      <c r="J217" s="92"/>
      <c r="K217" s="92"/>
      <c r="L217" s="92"/>
      <c r="M217" s="92"/>
      <c r="N217" s="92"/>
      <c r="O217" s="92"/>
      <c r="P217" s="92"/>
      <c r="Q217" s="92"/>
      <c r="R217" s="92"/>
    </row>
    <row r="218" spans="1:18" ht="15.75" customHeight="1">
      <c r="A218" s="92"/>
      <c r="B218" s="92"/>
      <c r="C218" s="92"/>
      <c r="D218" s="92"/>
      <c r="E218" s="92"/>
      <c r="F218" s="92"/>
      <c r="G218" s="92"/>
      <c r="H218" s="92"/>
      <c r="I218" s="92"/>
      <c r="J218" s="92"/>
      <c r="K218" s="92"/>
      <c r="L218" s="92"/>
      <c r="M218" s="92"/>
      <c r="N218" s="92"/>
      <c r="O218" s="92"/>
      <c r="P218" s="92"/>
      <c r="Q218" s="92"/>
      <c r="R218" s="92"/>
    </row>
    <row r="219" spans="1:18" ht="15.75" customHeight="1">
      <c r="A219" s="92"/>
      <c r="B219" s="92"/>
      <c r="C219" s="92"/>
      <c r="D219" s="92"/>
      <c r="E219" s="92"/>
      <c r="F219" s="92"/>
      <c r="G219" s="92"/>
      <c r="H219" s="92"/>
      <c r="I219" s="92"/>
      <c r="J219" s="92"/>
      <c r="K219" s="92"/>
      <c r="L219" s="92"/>
      <c r="M219" s="92"/>
      <c r="N219" s="92"/>
      <c r="O219" s="92"/>
      <c r="P219" s="92"/>
      <c r="Q219" s="92"/>
      <c r="R219" s="92"/>
    </row>
    <row r="220" spans="1:18" ht="15.75" customHeight="1">
      <c r="A220" s="92"/>
      <c r="B220" s="92"/>
      <c r="C220" s="92"/>
      <c r="D220" s="92"/>
      <c r="E220" s="92"/>
      <c r="F220" s="92"/>
      <c r="G220" s="92"/>
      <c r="H220" s="92"/>
      <c r="I220" s="92"/>
      <c r="J220" s="92"/>
      <c r="K220" s="92"/>
      <c r="L220" s="92"/>
      <c r="M220" s="92"/>
      <c r="N220" s="92"/>
      <c r="O220" s="92"/>
      <c r="P220" s="92"/>
      <c r="Q220" s="92"/>
      <c r="R220" s="92"/>
    </row>
    <row r="221" spans="1:18" ht="15.75" customHeight="1">
      <c r="A221" s="92"/>
      <c r="B221" s="92"/>
      <c r="C221" s="92"/>
      <c r="D221" s="92"/>
      <c r="E221" s="92"/>
      <c r="F221" s="92"/>
      <c r="G221" s="92"/>
      <c r="H221" s="92"/>
      <c r="I221" s="92"/>
      <c r="J221" s="92"/>
      <c r="K221" s="92"/>
      <c r="L221" s="92"/>
      <c r="M221" s="92"/>
      <c r="N221" s="92"/>
      <c r="O221" s="92"/>
      <c r="P221" s="92"/>
      <c r="Q221" s="92"/>
      <c r="R221" s="92"/>
    </row>
    <row r="222" spans="1:18" ht="15.75" customHeight="1">
      <c r="A222" s="92"/>
      <c r="B222" s="92"/>
      <c r="C222" s="92"/>
      <c r="D222" s="92"/>
      <c r="E222" s="92"/>
      <c r="F222" s="92"/>
      <c r="G222" s="92"/>
      <c r="H222" s="92"/>
      <c r="I222" s="92"/>
      <c r="J222" s="92"/>
      <c r="K222" s="92"/>
      <c r="L222" s="92"/>
      <c r="M222" s="92"/>
      <c r="N222" s="92"/>
      <c r="O222" s="92"/>
      <c r="P222" s="92"/>
      <c r="Q222" s="92"/>
      <c r="R222" s="92"/>
    </row>
    <row r="223" spans="1:18" ht="15.75" customHeight="1">
      <c r="A223" s="92"/>
      <c r="B223" s="92"/>
      <c r="C223" s="92"/>
      <c r="D223" s="92"/>
      <c r="E223" s="92"/>
      <c r="F223" s="92"/>
      <c r="G223" s="92"/>
      <c r="H223" s="92"/>
      <c r="I223" s="92"/>
      <c r="J223" s="92"/>
      <c r="K223" s="92"/>
      <c r="L223" s="92"/>
      <c r="M223" s="92"/>
      <c r="N223" s="92"/>
      <c r="O223" s="92"/>
      <c r="P223" s="92"/>
      <c r="Q223" s="92"/>
      <c r="R223" s="92"/>
    </row>
    <row r="224" spans="1:18" ht="15.75" customHeight="1">
      <c r="A224" s="92"/>
      <c r="B224" s="92"/>
      <c r="C224" s="92"/>
      <c r="D224" s="92"/>
      <c r="E224" s="92"/>
      <c r="F224" s="92"/>
      <c r="G224" s="92"/>
      <c r="H224" s="92"/>
      <c r="I224" s="92"/>
      <c r="J224" s="92"/>
      <c r="K224" s="92"/>
      <c r="L224" s="92"/>
      <c r="M224" s="92"/>
      <c r="N224" s="92"/>
      <c r="O224" s="92"/>
      <c r="P224" s="92"/>
      <c r="Q224" s="92"/>
      <c r="R224" s="92"/>
    </row>
    <row r="225" spans="1:18" ht="15.75" customHeight="1">
      <c r="A225" s="92"/>
      <c r="B225" s="92"/>
      <c r="C225" s="92"/>
      <c r="D225" s="92"/>
      <c r="E225" s="92"/>
      <c r="F225" s="92"/>
      <c r="G225" s="92"/>
      <c r="H225" s="92"/>
      <c r="I225" s="92"/>
      <c r="J225" s="92"/>
      <c r="K225" s="92"/>
      <c r="L225" s="92"/>
      <c r="M225" s="92"/>
      <c r="N225" s="92"/>
      <c r="O225" s="92"/>
      <c r="P225" s="92"/>
      <c r="Q225" s="92"/>
      <c r="R225" s="92"/>
    </row>
    <row r="226" spans="1:18" ht="15.75" customHeight="1">
      <c r="A226" s="92"/>
      <c r="B226" s="92"/>
      <c r="C226" s="92"/>
      <c r="D226" s="92"/>
      <c r="E226" s="92"/>
      <c r="F226" s="92"/>
      <c r="G226" s="92"/>
      <c r="H226" s="92"/>
      <c r="I226" s="92"/>
      <c r="J226" s="92"/>
      <c r="K226" s="92"/>
      <c r="L226" s="92"/>
      <c r="M226" s="92"/>
      <c r="N226" s="92"/>
      <c r="O226" s="92"/>
      <c r="P226" s="92"/>
      <c r="Q226" s="92"/>
      <c r="R226" s="92"/>
    </row>
    <row r="227" spans="1:18" ht="15.75" customHeight="1">
      <c r="A227" s="92"/>
      <c r="B227" s="92"/>
      <c r="C227" s="92"/>
      <c r="D227" s="92"/>
      <c r="E227" s="92"/>
      <c r="F227" s="92"/>
      <c r="G227" s="92"/>
      <c r="H227" s="92"/>
      <c r="I227" s="92"/>
      <c r="J227" s="92"/>
      <c r="K227" s="92"/>
      <c r="L227" s="92"/>
      <c r="M227" s="92"/>
      <c r="N227" s="92"/>
      <c r="O227" s="92"/>
      <c r="P227" s="92"/>
      <c r="Q227" s="92"/>
      <c r="R227" s="92"/>
    </row>
    <row r="228" spans="1:18" ht="15.75" customHeight="1">
      <c r="A228" s="92"/>
      <c r="B228" s="92"/>
      <c r="C228" s="92"/>
      <c r="D228" s="92"/>
      <c r="E228" s="92"/>
      <c r="F228" s="92"/>
      <c r="G228" s="92"/>
      <c r="H228" s="92"/>
      <c r="I228" s="92"/>
      <c r="J228" s="92"/>
      <c r="K228" s="92"/>
      <c r="L228" s="92"/>
      <c r="M228" s="92"/>
      <c r="N228" s="92"/>
      <c r="O228" s="92"/>
      <c r="P228" s="92"/>
      <c r="Q228" s="92"/>
      <c r="R228" s="92"/>
    </row>
    <row r="229" spans="1:18" ht="15.75" customHeight="1">
      <c r="A229" s="92"/>
      <c r="B229" s="92"/>
      <c r="C229" s="92"/>
      <c r="D229" s="92"/>
      <c r="E229" s="92"/>
      <c r="F229" s="92"/>
      <c r="G229" s="92"/>
      <c r="H229" s="92"/>
      <c r="I229" s="92"/>
      <c r="J229" s="92"/>
      <c r="K229" s="92"/>
      <c r="L229" s="92"/>
      <c r="M229" s="92"/>
      <c r="N229" s="92"/>
      <c r="O229" s="92"/>
      <c r="P229" s="92"/>
      <c r="Q229" s="92"/>
      <c r="R229" s="92"/>
    </row>
    <row r="230" spans="1:18" ht="15.75" customHeight="1">
      <c r="A230" s="92"/>
      <c r="B230" s="92"/>
      <c r="C230" s="92"/>
      <c r="D230" s="92"/>
      <c r="E230" s="92"/>
      <c r="F230" s="92"/>
      <c r="G230" s="92"/>
      <c r="H230" s="92"/>
      <c r="I230" s="92"/>
      <c r="J230" s="92"/>
      <c r="K230" s="92"/>
      <c r="L230" s="92"/>
      <c r="M230" s="92"/>
      <c r="N230" s="92"/>
      <c r="O230" s="92"/>
      <c r="P230" s="92"/>
      <c r="Q230" s="92"/>
      <c r="R230" s="92"/>
    </row>
    <row r="231" spans="1:18" ht="15.75" customHeight="1">
      <c r="A231" s="92"/>
      <c r="B231" s="92"/>
      <c r="C231" s="92"/>
      <c r="D231" s="92"/>
      <c r="E231" s="92"/>
      <c r="F231" s="92"/>
      <c r="G231" s="92"/>
      <c r="H231" s="92"/>
      <c r="I231" s="92"/>
      <c r="J231" s="92"/>
      <c r="K231" s="92"/>
      <c r="L231" s="92"/>
      <c r="M231" s="92"/>
      <c r="N231" s="92"/>
      <c r="O231" s="92"/>
      <c r="P231" s="92"/>
      <c r="Q231" s="92"/>
      <c r="R231" s="92"/>
    </row>
    <row r="232" spans="1:18" ht="15.75" customHeight="1">
      <c r="A232" s="92"/>
      <c r="B232" s="92"/>
      <c r="C232" s="92"/>
      <c r="D232" s="92"/>
      <c r="E232" s="92"/>
      <c r="F232" s="92"/>
      <c r="G232" s="92"/>
      <c r="H232" s="92"/>
      <c r="I232" s="92"/>
      <c r="J232" s="92"/>
      <c r="K232" s="92"/>
      <c r="L232" s="92"/>
      <c r="M232" s="92"/>
      <c r="N232" s="92"/>
      <c r="O232" s="92"/>
      <c r="P232" s="92"/>
      <c r="Q232" s="92"/>
      <c r="R232" s="92"/>
    </row>
    <row r="233" spans="1:18" ht="15.75" customHeight="1">
      <c r="A233" s="92"/>
      <c r="B233" s="92"/>
      <c r="C233" s="92"/>
      <c r="D233" s="92"/>
      <c r="E233" s="92"/>
      <c r="F233" s="92"/>
      <c r="G233" s="92"/>
      <c r="H233" s="92"/>
      <c r="I233" s="92"/>
      <c r="J233" s="92"/>
      <c r="K233" s="92"/>
      <c r="L233" s="92"/>
      <c r="M233" s="92"/>
      <c r="N233" s="92"/>
      <c r="O233" s="92"/>
      <c r="P233" s="92"/>
      <c r="Q233" s="92"/>
      <c r="R233" s="92"/>
    </row>
    <row r="234" spans="1:18" ht="15.75" customHeight="1">
      <c r="A234" s="92"/>
      <c r="B234" s="92"/>
      <c r="C234" s="92"/>
      <c r="D234" s="92"/>
      <c r="E234" s="92"/>
      <c r="F234" s="92"/>
      <c r="G234" s="92"/>
      <c r="H234" s="92"/>
      <c r="I234" s="92"/>
      <c r="J234" s="92"/>
      <c r="K234" s="92"/>
      <c r="L234" s="92"/>
      <c r="M234" s="92"/>
      <c r="N234" s="92"/>
      <c r="O234" s="92"/>
      <c r="P234" s="92"/>
      <c r="Q234" s="92"/>
      <c r="R234" s="92"/>
    </row>
    <row r="235" spans="1:18" ht="15.75" customHeight="1">
      <c r="A235" s="92"/>
      <c r="B235" s="92"/>
      <c r="C235" s="92"/>
      <c r="D235" s="92"/>
      <c r="E235" s="92"/>
      <c r="F235" s="92"/>
      <c r="G235" s="92"/>
      <c r="H235" s="92"/>
      <c r="I235" s="92"/>
      <c r="J235" s="92"/>
      <c r="K235" s="92"/>
      <c r="L235" s="92"/>
      <c r="M235" s="92"/>
      <c r="N235" s="92"/>
      <c r="O235" s="92"/>
      <c r="P235" s="92"/>
      <c r="Q235" s="92"/>
      <c r="R235" s="92"/>
    </row>
    <row r="236" spans="1:18" ht="15.75" customHeight="1">
      <c r="A236" s="92"/>
      <c r="B236" s="92"/>
      <c r="C236" s="92"/>
      <c r="D236" s="92"/>
      <c r="E236" s="92"/>
      <c r="F236" s="92"/>
      <c r="G236" s="92"/>
      <c r="H236" s="92"/>
      <c r="I236" s="92"/>
      <c r="J236" s="92"/>
      <c r="K236" s="92"/>
      <c r="L236" s="92"/>
      <c r="M236" s="92"/>
      <c r="N236" s="92"/>
      <c r="O236" s="92"/>
      <c r="P236" s="92"/>
      <c r="Q236" s="92"/>
      <c r="R236" s="92"/>
    </row>
    <row r="237" spans="1:18" ht="15.75" customHeight="1">
      <c r="A237" s="92"/>
      <c r="B237" s="92"/>
      <c r="C237" s="92"/>
      <c r="D237" s="92"/>
      <c r="E237" s="92"/>
      <c r="F237" s="92"/>
      <c r="G237" s="92"/>
      <c r="H237" s="92"/>
      <c r="I237" s="92"/>
      <c r="J237" s="92"/>
      <c r="K237" s="92"/>
      <c r="L237" s="92"/>
      <c r="M237" s="92"/>
      <c r="N237" s="92"/>
      <c r="O237" s="92"/>
      <c r="P237" s="92"/>
      <c r="Q237" s="92"/>
      <c r="R237" s="92"/>
    </row>
    <row r="238" spans="1:18" ht="15.75" customHeight="1">
      <c r="A238" s="92"/>
      <c r="B238" s="92"/>
      <c r="C238" s="92"/>
      <c r="D238" s="92"/>
      <c r="E238" s="92"/>
      <c r="F238" s="92"/>
      <c r="G238" s="92"/>
      <c r="H238" s="92"/>
      <c r="I238" s="92"/>
      <c r="J238" s="92"/>
      <c r="K238" s="92"/>
      <c r="L238" s="92"/>
      <c r="M238" s="92"/>
      <c r="N238" s="92"/>
      <c r="O238" s="92"/>
      <c r="P238" s="92"/>
      <c r="Q238" s="92"/>
      <c r="R238" s="92"/>
    </row>
    <row r="239" spans="1:18" ht="15.75" customHeight="1">
      <c r="A239" s="92"/>
      <c r="B239" s="92"/>
      <c r="C239" s="92"/>
      <c r="D239" s="92"/>
      <c r="E239" s="92"/>
      <c r="F239" s="92"/>
      <c r="G239" s="92"/>
      <c r="H239" s="92"/>
      <c r="I239" s="92"/>
      <c r="J239" s="92"/>
      <c r="K239" s="92"/>
      <c r="L239" s="92"/>
      <c r="M239" s="92"/>
      <c r="N239" s="92"/>
      <c r="O239" s="92"/>
      <c r="P239" s="92"/>
      <c r="Q239" s="92"/>
      <c r="R239" s="92"/>
    </row>
    <row r="240" spans="1:18" ht="15.75" customHeight="1">
      <c r="A240" s="92"/>
      <c r="B240" s="92"/>
      <c r="C240" s="92"/>
      <c r="D240" s="92"/>
      <c r="E240" s="92"/>
      <c r="F240" s="92"/>
      <c r="G240" s="92"/>
      <c r="H240" s="92"/>
      <c r="I240" s="92"/>
      <c r="J240" s="92"/>
      <c r="K240" s="92"/>
      <c r="L240" s="92"/>
      <c r="M240" s="92"/>
      <c r="N240" s="92"/>
      <c r="O240" s="92"/>
      <c r="P240" s="92"/>
      <c r="Q240" s="92"/>
      <c r="R240" s="92"/>
    </row>
    <row r="241" spans="1:18" ht="15.75" customHeight="1">
      <c r="A241" s="92"/>
      <c r="B241" s="92"/>
      <c r="C241" s="92"/>
      <c r="D241" s="92"/>
      <c r="E241" s="92"/>
      <c r="F241" s="92"/>
      <c r="G241" s="92"/>
      <c r="H241" s="92"/>
      <c r="I241" s="92"/>
      <c r="J241" s="92"/>
      <c r="K241" s="92"/>
      <c r="L241" s="92"/>
      <c r="M241" s="92"/>
      <c r="N241" s="92"/>
      <c r="O241" s="92"/>
      <c r="P241" s="92"/>
      <c r="Q241" s="92"/>
      <c r="R241" s="92"/>
    </row>
    <row r="242" spans="1:18" ht="15.75" customHeight="1">
      <c r="A242" s="92"/>
      <c r="B242" s="92"/>
      <c r="C242" s="92"/>
      <c r="D242" s="92"/>
      <c r="E242" s="92"/>
      <c r="F242" s="92"/>
      <c r="G242" s="92"/>
      <c r="H242" s="92"/>
      <c r="I242" s="92"/>
      <c r="J242" s="92"/>
      <c r="K242" s="92"/>
      <c r="L242" s="92"/>
      <c r="M242" s="92"/>
      <c r="N242" s="92"/>
      <c r="O242" s="92"/>
      <c r="P242" s="92"/>
      <c r="Q242" s="92"/>
      <c r="R242" s="92"/>
    </row>
    <row r="243" spans="1:18" ht="15.75" customHeight="1">
      <c r="A243" s="92"/>
      <c r="B243" s="92"/>
      <c r="C243" s="92"/>
      <c r="D243" s="92"/>
      <c r="E243" s="92"/>
      <c r="F243" s="92"/>
      <c r="G243" s="92"/>
      <c r="H243" s="92"/>
      <c r="I243" s="92"/>
      <c r="J243" s="92"/>
      <c r="K243" s="92"/>
      <c r="L243" s="92"/>
      <c r="M243" s="92"/>
      <c r="N243" s="92"/>
      <c r="O243" s="92"/>
      <c r="P243" s="92"/>
      <c r="Q243" s="92"/>
      <c r="R243" s="92"/>
    </row>
    <row r="244" spans="1:18" ht="15.75" customHeight="1">
      <c r="A244" s="92"/>
      <c r="B244" s="92"/>
      <c r="C244" s="92"/>
      <c r="D244" s="92"/>
      <c r="E244" s="92"/>
      <c r="F244" s="92"/>
      <c r="G244" s="92"/>
      <c r="H244" s="92"/>
      <c r="I244" s="92"/>
      <c r="J244" s="92"/>
      <c r="K244" s="92"/>
      <c r="L244" s="92"/>
      <c r="M244" s="92"/>
      <c r="N244" s="92"/>
      <c r="O244" s="92"/>
      <c r="P244" s="92"/>
      <c r="Q244" s="92"/>
      <c r="R244" s="92"/>
    </row>
    <row r="245" spans="1:18" ht="15.75" customHeight="1">
      <c r="A245" s="92"/>
      <c r="B245" s="92"/>
      <c r="C245" s="92"/>
      <c r="D245" s="92"/>
      <c r="E245" s="92"/>
      <c r="F245" s="92"/>
      <c r="G245" s="92"/>
      <c r="H245" s="92"/>
      <c r="I245" s="92"/>
      <c r="J245" s="92"/>
      <c r="K245" s="92"/>
      <c r="L245" s="92"/>
      <c r="M245" s="92"/>
      <c r="N245" s="92"/>
      <c r="O245" s="92"/>
      <c r="P245" s="92"/>
      <c r="Q245" s="92"/>
      <c r="R245" s="92"/>
    </row>
    <row r="246" spans="1:18" ht="15.75" customHeight="1">
      <c r="A246" s="92"/>
      <c r="B246" s="92"/>
      <c r="C246" s="92"/>
      <c r="D246" s="92"/>
      <c r="E246" s="92"/>
      <c r="F246" s="92"/>
      <c r="G246" s="92"/>
      <c r="H246" s="92"/>
      <c r="I246" s="92"/>
      <c r="J246" s="92"/>
      <c r="K246" s="92"/>
      <c r="L246" s="92"/>
      <c r="M246" s="92"/>
      <c r="N246" s="92"/>
      <c r="O246" s="92"/>
      <c r="P246" s="92"/>
      <c r="Q246" s="92"/>
      <c r="R246" s="92"/>
    </row>
    <row r="247" spans="1:18" ht="15.75" customHeight="1">
      <c r="A247" s="92"/>
      <c r="B247" s="92"/>
      <c r="C247" s="92"/>
      <c r="D247" s="92"/>
      <c r="E247" s="92"/>
      <c r="F247" s="92"/>
      <c r="G247" s="92"/>
      <c r="H247" s="92"/>
      <c r="I247" s="92"/>
      <c r="J247" s="92"/>
      <c r="K247" s="92"/>
      <c r="L247" s="92"/>
      <c r="M247" s="92"/>
      <c r="N247" s="92"/>
      <c r="O247" s="92"/>
      <c r="P247" s="92"/>
      <c r="Q247" s="92"/>
      <c r="R247" s="92"/>
    </row>
    <row r="248" spans="1:18" ht="15.75" customHeight="1">
      <c r="A248" s="92"/>
      <c r="B248" s="92"/>
      <c r="C248" s="92"/>
      <c r="D248" s="92"/>
      <c r="E248" s="92"/>
      <c r="F248" s="92"/>
      <c r="G248" s="92"/>
      <c r="H248" s="92"/>
      <c r="I248" s="92"/>
      <c r="J248" s="92"/>
      <c r="K248" s="92"/>
      <c r="L248" s="92"/>
      <c r="M248" s="92"/>
      <c r="N248" s="92"/>
      <c r="O248" s="92"/>
      <c r="P248" s="92"/>
      <c r="Q248" s="92"/>
      <c r="R248" s="92"/>
    </row>
    <row r="249" spans="1:18" ht="15.75" customHeight="1">
      <c r="A249" s="92"/>
      <c r="B249" s="92"/>
      <c r="C249" s="92"/>
      <c r="D249" s="92"/>
      <c r="E249" s="92"/>
      <c r="F249" s="92"/>
      <c r="G249" s="92"/>
      <c r="H249" s="92"/>
      <c r="I249" s="92"/>
      <c r="J249" s="92"/>
      <c r="K249" s="92"/>
      <c r="L249" s="92"/>
      <c r="M249" s="92"/>
      <c r="N249" s="92"/>
      <c r="O249" s="92"/>
      <c r="P249" s="92"/>
      <c r="Q249" s="92"/>
      <c r="R249" s="92"/>
    </row>
    <row r="250" spans="1:18" ht="15.75" customHeight="1">
      <c r="A250" s="92"/>
      <c r="B250" s="92"/>
      <c r="C250" s="92"/>
      <c r="D250" s="92"/>
      <c r="E250" s="92"/>
      <c r="F250" s="92"/>
      <c r="G250" s="92"/>
      <c r="H250" s="92"/>
      <c r="I250" s="92"/>
      <c r="J250" s="92"/>
      <c r="K250" s="92"/>
      <c r="L250" s="92"/>
      <c r="M250" s="92"/>
      <c r="N250" s="92"/>
      <c r="O250" s="92"/>
      <c r="P250" s="92"/>
      <c r="Q250" s="92"/>
      <c r="R250" s="92"/>
    </row>
    <row r="251" spans="1:18" ht="15.75" customHeight="1">
      <c r="A251" s="92"/>
      <c r="B251" s="92"/>
      <c r="C251" s="92"/>
      <c r="D251" s="92"/>
      <c r="E251" s="92"/>
      <c r="F251" s="92"/>
      <c r="G251" s="92"/>
      <c r="H251" s="92"/>
      <c r="I251" s="92"/>
      <c r="J251" s="92"/>
      <c r="K251" s="92"/>
      <c r="L251" s="92"/>
      <c r="M251" s="92"/>
      <c r="N251" s="92"/>
      <c r="O251" s="92"/>
      <c r="P251" s="92"/>
      <c r="Q251" s="92"/>
      <c r="R251" s="92"/>
    </row>
    <row r="252" spans="1:18" ht="15.75" customHeight="1">
      <c r="A252" s="92"/>
      <c r="B252" s="92"/>
      <c r="C252" s="92"/>
      <c r="D252" s="92"/>
      <c r="E252" s="92"/>
      <c r="F252" s="92"/>
      <c r="G252" s="92"/>
      <c r="H252" s="92"/>
      <c r="I252" s="92"/>
      <c r="J252" s="92"/>
      <c r="K252" s="92"/>
      <c r="L252" s="92"/>
      <c r="M252" s="92"/>
      <c r="N252" s="92"/>
      <c r="O252" s="92"/>
      <c r="P252" s="92"/>
      <c r="Q252" s="92"/>
      <c r="R252" s="92"/>
    </row>
    <row r="253" spans="1:18" ht="15.75" customHeight="1">
      <c r="A253" s="92"/>
      <c r="B253" s="92"/>
      <c r="C253" s="92"/>
      <c r="D253" s="92"/>
      <c r="E253" s="92"/>
      <c r="F253" s="92"/>
      <c r="G253" s="92"/>
      <c r="H253" s="92"/>
      <c r="I253" s="92"/>
      <c r="J253" s="92"/>
      <c r="K253" s="92"/>
      <c r="L253" s="92"/>
      <c r="M253" s="92"/>
      <c r="N253" s="92"/>
      <c r="O253" s="92"/>
      <c r="P253" s="92"/>
      <c r="Q253" s="92"/>
      <c r="R253" s="92"/>
    </row>
    <row r="254" spans="1:18" ht="15.75" customHeight="1">
      <c r="A254" s="92"/>
      <c r="B254" s="92"/>
      <c r="C254" s="92"/>
      <c r="D254" s="92"/>
      <c r="E254" s="92"/>
      <c r="F254" s="92"/>
      <c r="G254" s="92"/>
      <c r="H254" s="92"/>
      <c r="I254" s="92"/>
      <c r="J254" s="92"/>
      <c r="K254" s="92"/>
      <c r="L254" s="92"/>
      <c r="M254" s="92"/>
      <c r="N254" s="92"/>
      <c r="O254" s="92"/>
      <c r="P254" s="92"/>
      <c r="Q254" s="92"/>
      <c r="R254" s="92"/>
    </row>
    <row r="255" spans="1:18" ht="15.75" customHeight="1">
      <c r="A255" s="92"/>
      <c r="B255" s="92"/>
      <c r="C255" s="92"/>
      <c r="D255" s="92"/>
      <c r="E255" s="92"/>
      <c r="F255" s="92"/>
      <c r="G255" s="92"/>
      <c r="H255" s="92"/>
      <c r="I255" s="92"/>
      <c r="J255" s="92"/>
      <c r="K255" s="92"/>
      <c r="L255" s="92"/>
      <c r="M255" s="92"/>
      <c r="N255" s="92"/>
      <c r="O255" s="92"/>
      <c r="P255" s="92"/>
      <c r="Q255" s="92"/>
      <c r="R255" s="92"/>
    </row>
    <row r="256" spans="1:18" ht="15.75" customHeight="1">
      <c r="A256" s="92"/>
      <c r="B256" s="92"/>
      <c r="C256" s="92"/>
      <c r="D256" s="92"/>
      <c r="E256" s="92"/>
      <c r="F256" s="92"/>
      <c r="G256" s="92"/>
      <c r="H256" s="92"/>
      <c r="I256" s="92"/>
      <c r="J256" s="92"/>
      <c r="K256" s="92"/>
      <c r="L256" s="92"/>
      <c r="M256" s="92"/>
      <c r="N256" s="92"/>
      <c r="O256" s="92"/>
      <c r="P256" s="92"/>
      <c r="Q256" s="92"/>
      <c r="R256" s="92"/>
    </row>
    <row r="257" spans="1:18" ht="15.75" customHeight="1">
      <c r="A257" s="92"/>
      <c r="B257" s="92"/>
      <c r="C257" s="92"/>
      <c r="D257" s="92"/>
      <c r="E257" s="92"/>
      <c r="F257" s="92"/>
      <c r="G257" s="92"/>
      <c r="H257" s="92"/>
      <c r="I257" s="92"/>
      <c r="J257" s="92"/>
      <c r="K257" s="92"/>
      <c r="L257" s="92"/>
      <c r="M257" s="92"/>
      <c r="N257" s="92"/>
      <c r="O257" s="92"/>
      <c r="P257" s="92"/>
      <c r="Q257" s="92"/>
      <c r="R257" s="92"/>
    </row>
    <row r="258" spans="1:18" ht="15.75" customHeight="1">
      <c r="A258" s="92"/>
      <c r="B258" s="92"/>
      <c r="C258" s="92"/>
      <c r="D258" s="92"/>
      <c r="E258" s="92"/>
      <c r="F258" s="92"/>
      <c r="G258" s="92"/>
      <c r="H258" s="92"/>
      <c r="I258" s="92"/>
      <c r="J258" s="92"/>
      <c r="K258" s="92"/>
      <c r="L258" s="92"/>
      <c r="M258" s="92"/>
      <c r="N258" s="92"/>
      <c r="O258" s="92"/>
      <c r="P258" s="92"/>
      <c r="Q258" s="92"/>
      <c r="R258" s="92"/>
    </row>
    <row r="259" spans="1:18" ht="15.75" customHeight="1">
      <c r="A259" s="92"/>
      <c r="B259" s="92"/>
      <c r="C259" s="92"/>
      <c r="D259" s="92"/>
      <c r="E259" s="92"/>
      <c r="F259" s="92"/>
      <c r="G259" s="92"/>
      <c r="H259" s="92"/>
      <c r="I259" s="92"/>
      <c r="J259" s="92"/>
      <c r="K259" s="92"/>
      <c r="L259" s="92"/>
      <c r="M259" s="92"/>
      <c r="N259" s="92"/>
      <c r="O259" s="92"/>
      <c r="P259" s="92"/>
      <c r="Q259" s="92"/>
      <c r="R259" s="92"/>
    </row>
    <row r="260" spans="1:18" ht="15.75" customHeight="1">
      <c r="A260" s="92"/>
      <c r="B260" s="92"/>
      <c r="C260" s="92"/>
      <c r="D260" s="92"/>
      <c r="E260" s="92"/>
      <c r="F260" s="92"/>
      <c r="G260" s="92"/>
      <c r="H260" s="92"/>
      <c r="I260" s="92"/>
      <c r="J260" s="92"/>
      <c r="K260" s="92"/>
      <c r="L260" s="92"/>
      <c r="M260" s="92"/>
      <c r="N260" s="92"/>
      <c r="O260" s="92"/>
      <c r="P260" s="92"/>
      <c r="Q260" s="92"/>
      <c r="R260" s="92"/>
    </row>
    <row r="261" spans="1:18" ht="15.75" customHeight="1">
      <c r="A261" s="92"/>
      <c r="B261" s="92"/>
      <c r="C261" s="92"/>
      <c r="D261" s="92"/>
      <c r="E261" s="92"/>
      <c r="F261" s="92"/>
      <c r="G261" s="92"/>
      <c r="H261" s="92"/>
      <c r="I261" s="92"/>
      <c r="J261" s="92"/>
      <c r="K261" s="92"/>
      <c r="L261" s="92"/>
      <c r="M261" s="92"/>
      <c r="N261" s="92"/>
      <c r="O261" s="92"/>
      <c r="P261" s="92"/>
      <c r="Q261" s="92"/>
      <c r="R261" s="92"/>
    </row>
    <row r="262" spans="1:18" ht="15.75" customHeight="1">
      <c r="A262" s="92"/>
      <c r="B262" s="92"/>
      <c r="C262" s="92"/>
      <c r="D262" s="92"/>
      <c r="E262" s="92"/>
      <c r="F262" s="92"/>
      <c r="G262" s="92"/>
      <c r="H262" s="92"/>
      <c r="I262" s="92"/>
      <c r="J262" s="92"/>
      <c r="K262" s="92"/>
      <c r="L262" s="92"/>
      <c r="M262" s="92"/>
      <c r="N262" s="92"/>
      <c r="O262" s="92"/>
      <c r="P262" s="92"/>
      <c r="Q262" s="92"/>
      <c r="R262" s="92"/>
    </row>
    <row r="263" spans="1:18" ht="15.75" customHeight="1">
      <c r="A263" s="92"/>
      <c r="B263" s="92"/>
      <c r="C263" s="92"/>
      <c r="D263" s="92"/>
      <c r="E263" s="92"/>
      <c r="F263" s="92"/>
      <c r="G263" s="92"/>
      <c r="H263" s="92"/>
      <c r="I263" s="92"/>
      <c r="J263" s="92"/>
      <c r="K263" s="92"/>
      <c r="L263" s="92"/>
      <c r="M263" s="92"/>
      <c r="N263" s="92"/>
      <c r="O263" s="92"/>
      <c r="P263" s="92"/>
      <c r="Q263" s="92"/>
      <c r="R263" s="92"/>
    </row>
    <row r="264" spans="1:18" ht="15.75" customHeight="1">
      <c r="A264" s="92"/>
      <c r="B264" s="92"/>
      <c r="C264" s="92"/>
      <c r="D264" s="92"/>
      <c r="E264" s="92"/>
      <c r="F264" s="92"/>
      <c r="G264" s="92"/>
      <c r="H264" s="92"/>
      <c r="I264" s="92"/>
      <c r="J264" s="92"/>
      <c r="K264" s="92"/>
      <c r="L264" s="92"/>
      <c r="M264" s="92"/>
      <c r="N264" s="92"/>
      <c r="O264" s="92"/>
      <c r="P264" s="92"/>
      <c r="Q264" s="92"/>
      <c r="R264" s="92"/>
    </row>
    <row r="265" spans="1:18" ht="15.75" customHeight="1">
      <c r="A265" s="92"/>
      <c r="B265" s="92"/>
      <c r="C265" s="92"/>
      <c r="D265" s="92"/>
      <c r="E265" s="92"/>
      <c r="F265" s="92"/>
      <c r="G265" s="92"/>
      <c r="H265" s="92"/>
      <c r="I265" s="92"/>
      <c r="J265" s="92"/>
      <c r="K265" s="92"/>
      <c r="L265" s="92"/>
      <c r="M265" s="92"/>
      <c r="N265" s="92"/>
      <c r="O265" s="92"/>
      <c r="P265" s="92"/>
      <c r="Q265" s="92"/>
      <c r="R265" s="92"/>
    </row>
    <row r="266" spans="1:18" ht="15.75" customHeight="1">
      <c r="A266" s="92"/>
      <c r="B266" s="92"/>
      <c r="C266" s="92"/>
      <c r="D266" s="92"/>
      <c r="E266" s="92"/>
      <c r="F266" s="92"/>
      <c r="G266" s="92"/>
      <c r="H266" s="92"/>
      <c r="I266" s="92"/>
      <c r="J266" s="92"/>
      <c r="K266" s="92"/>
      <c r="L266" s="92"/>
      <c r="M266" s="92"/>
      <c r="N266" s="92"/>
      <c r="O266" s="92"/>
      <c r="P266" s="92"/>
      <c r="Q266" s="92"/>
      <c r="R266" s="92"/>
    </row>
    <row r="267" spans="1:18" ht="15.75" customHeight="1">
      <c r="A267" s="92"/>
      <c r="B267" s="92"/>
      <c r="C267" s="92"/>
      <c r="D267" s="92"/>
      <c r="E267" s="92"/>
      <c r="F267" s="92"/>
      <c r="G267" s="92"/>
      <c r="H267" s="92"/>
      <c r="I267" s="92"/>
      <c r="J267" s="92"/>
      <c r="K267" s="92"/>
      <c r="L267" s="92"/>
      <c r="M267" s="92"/>
      <c r="N267" s="92"/>
      <c r="O267" s="92"/>
      <c r="P267" s="92"/>
      <c r="Q267" s="92"/>
      <c r="R267" s="92"/>
    </row>
    <row r="268" spans="1:18" ht="15.75" customHeight="1">
      <c r="A268" s="92"/>
      <c r="B268" s="92"/>
      <c r="C268" s="92"/>
      <c r="D268" s="92"/>
      <c r="E268" s="92"/>
      <c r="F268" s="92"/>
      <c r="G268" s="92"/>
      <c r="H268" s="92"/>
      <c r="I268" s="92"/>
      <c r="J268" s="92"/>
      <c r="K268" s="92"/>
      <c r="L268" s="92"/>
      <c r="M268" s="92"/>
      <c r="N268" s="92"/>
      <c r="O268" s="92"/>
      <c r="P268" s="92"/>
      <c r="Q268" s="92"/>
      <c r="R268" s="92"/>
    </row>
    <row r="269" spans="1:18" ht="15.75" customHeight="1">
      <c r="A269" s="92"/>
      <c r="B269" s="92"/>
      <c r="C269" s="92"/>
      <c r="D269" s="92"/>
      <c r="E269" s="92"/>
      <c r="F269" s="92"/>
      <c r="G269" s="92"/>
      <c r="H269" s="92"/>
      <c r="I269" s="92"/>
      <c r="J269" s="92"/>
      <c r="K269" s="92"/>
      <c r="L269" s="92"/>
      <c r="M269" s="92"/>
      <c r="N269" s="92"/>
      <c r="O269" s="92"/>
      <c r="P269" s="92"/>
      <c r="Q269" s="92"/>
      <c r="R269" s="92"/>
    </row>
    <row r="270" spans="1:18" ht="15.75" customHeight="1">
      <c r="A270" s="92"/>
      <c r="B270" s="92"/>
      <c r="C270" s="92"/>
      <c r="D270" s="92"/>
      <c r="E270" s="92"/>
      <c r="F270" s="92"/>
      <c r="G270" s="92"/>
      <c r="H270" s="92"/>
      <c r="I270" s="92"/>
      <c r="J270" s="92"/>
      <c r="K270" s="92"/>
      <c r="L270" s="92"/>
      <c r="M270" s="92"/>
      <c r="N270" s="92"/>
      <c r="O270" s="92"/>
      <c r="P270" s="92"/>
      <c r="Q270" s="92"/>
      <c r="R270" s="92"/>
    </row>
    <row r="271" spans="1:18" ht="15.75" customHeight="1">
      <c r="A271" s="92"/>
      <c r="B271" s="92"/>
      <c r="C271" s="92"/>
      <c r="D271" s="92"/>
      <c r="E271" s="92"/>
      <c r="F271" s="92"/>
      <c r="G271" s="92"/>
      <c r="H271" s="92"/>
      <c r="I271" s="92"/>
      <c r="J271" s="92"/>
      <c r="K271" s="92"/>
      <c r="L271" s="92"/>
      <c r="M271" s="92"/>
      <c r="N271" s="92"/>
      <c r="O271" s="92"/>
      <c r="P271" s="92"/>
      <c r="Q271" s="92"/>
      <c r="R271" s="92"/>
    </row>
    <row r="272" spans="1:18" ht="15.75" customHeight="1">
      <c r="A272" s="92"/>
      <c r="B272" s="92"/>
      <c r="C272" s="92"/>
      <c r="D272" s="92"/>
      <c r="E272" s="92"/>
      <c r="F272" s="92"/>
      <c r="G272" s="92"/>
      <c r="H272" s="92"/>
      <c r="I272" s="92"/>
      <c r="J272" s="92"/>
      <c r="K272" s="92"/>
      <c r="L272" s="92"/>
      <c r="M272" s="92"/>
      <c r="N272" s="92"/>
      <c r="O272" s="92"/>
      <c r="P272" s="92"/>
      <c r="Q272" s="92"/>
      <c r="R272" s="92"/>
    </row>
    <row r="273" spans="1:18" ht="15.75" customHeight="1">
      <c r="A273" s="92"/>
      <c r="B273" s="92"/>
      <c r="C273" s="92"/>
      <c r="D273" s="92"/>
      <c r="E273" s="92"/>
      <c r="F273" s="92"/>
      <c r="G273" s="92"/>
      <c r="H273" s="92"/>
      <c r="I273" s="92"/>
      <c r="J273" s="92"/>
      <c r="K273" s="92"/>
      <c r="L273" s="92"/>
      <c r="M273" s="92"/>
      <c r="N273" s="92"/>
      <c r="O273" s="92"/>
      <c r="P273" s="92"/>
      <c r="Q273" s="92"/>
      <c r="R273" s="92"/>
    </row>
    <row r="274" spans="1:18" ht="15.75" customHeight="1">
      <c r="A274" s="92"/>
      <c r="B274" s="92"/>
      <c r="C274" s="92"/>
      <c r="D274" s="92"/>
      <c r="E274" s="92"/>
      <c r="F274" s="92"/>
      <c r="G274" s="92"/>
      <c r="H274" s="92"/>
      <c r="I274" s="92"/>
      <c r="J274" s="92"/>
      <c r="K274" s="92"/>
      <c r="L274" s="92"/>
      <c r="M274" s="92"/>
      <c r="N274" s="92"/>
      <c r="O274" s="92"/>
      <c r="P274" s="92"/>
      <c r="Q274" s="92"/>
      <c r="R274" s="92"/>
    </row>
    <row r="275" spans="1:18" ht="15.75" customHeight="1">
      <c r="A275" s="92"/>
      <c r="B275" s="92"/>
      <c r="C275" s="92"/>
      <c r="D275" s="92"/>
      <c r="E275" s="92"/>
      <c r="F275" s="92"/>
      <c r="G275" s="92"/>
      <c r="H275" s="92"/>
      <c r="I275" s="92"/>
      <c r="J275" s="92"/>
      <c r="K275" s="92"/>
      <c r="L275" s="92"/>
      <c r="M275" s="92"/>
      <c r="N275" s="92"/>
      <c r="O275" s="92"/>
      <c r="P275" s="92"/>
      <c r="Q275" s="92"/>
      <c r="R275" s="92"/>
    </row>
    <row r="276" spans="1:18" ht="15.75" customHeight="1">
      <c r="A276" s="92"/>
      <c r="B276" s="92"/>
      <c r="C276" s="92"/>
      <c r="D276" s="92"/>
      <c r="E276" s="92"/>
      <c r="F276" s="92"/>
      <c r="G276" s="92"/>
      <c r="H276" s="92"/>
      <c r="I276" s="92"/>
      <c r="J276" s="92"/>
      <c r="K276" s="92"/>
      <c r="L276" s="92"/>
      <c r="M276" s="92"/>
      <c r="N276" s="92"/>
      <c r="O276" s="92"/>
      <c r="P276" s="92"/>
      <c r="Q276" s="92"/>
      <c r="R276" s="92"/>
    </row>
    <row r="277" spans="1:18" ht="15.75" customHeight="1">
      <c r="A277" s="92"/>
      <c r="B277" s="92"/>
      <c r="C277" s="92"/>
      <c r="D277" s="92"/>
      <c r="E277" s="92"/>
      <c r="F277" s="92"/>
      <c r="G277" s="92"/>
      <c r="H277" s="92"/>
      <c r="I277" s="92"/>
      <c r="J277" s="92"/>
      <c r="K277" s="92"/>
      <c r="L277" s="92"/>
      <c r="M277" s="92"/>
      <c r="N277" s="92"/>
      <c r="O277" s="92"/>
      <c r="P277" s="92"/>
      <c r="Q277" s="92"/>
      <c r="R277" s="92"/>
    </row>
    <row r="278" spans="1:18" ht="15.75" customHeight="1">
      <c r="A278" s="92"/>
      <c r="B278" s="92"/>
      <c r="C278" s="92"/>
      <c r="D278" s="92"/>
      <c r="E278" s="92"/>
      <c r="F278" s="92"/>
      <c r="G278" s="92"/>
      <c r="H278" s="92"/>
      <c r="I278" s="92"/>
      <c r="J278" s="92"/>
      <c r="K278" s="92"/>
      <c r="L278" s="92"/>
      <c r="M278" s="92"/>
      <c r="N278" s="92"/>
      <c r="O278" s="92"/>
      <c r="P278" s="92"/>
      <c r="Q278" s="92"/>
      <c r="R278" s="92"/>
    </row>
    <row r="279" spans="1:18" ht="15.75" customHeight="1">
      <c r="A279" s="92"/>
      <c r="B279" s="92"/>
      <c r="C279" s="92"/>
      <c r="D279" s="92"/>
      <c r="E279" s="92"/>
      <c r="F279" s="92"/>
      <c r="G279" s="92"/>
      <c r="H279" s="92"/>
      <c r="I279" s="92"/>
      <c r="J279" s="92"/>
      <c r="K279" s="92"/>
      <c r="L279" s="92"/>
      <c r="M279" s="92"/>
      <c r="N279" s="92"/>
      <c r="O279" s="92"/>
      <c r="P279" s="92"/>
      <c r="Q279" s="92"/>
      <c r="R279" s="92"/>
    </row>
    <row r="280" spans="1:18" ht="15.75" customHeight="1">
      <c r="A280" s="92"/>
      <c r="B280" s="92"/>
      <c r="C280" s="92"/>
      <c r="D280" s="92"/>
      <c r="E280" s="92"/>
      <c r="F280" s="92"/>
      <c r="G280" s="92"/>
      <c r="H280" s="92"/>
      <c r="I280" s="92"/>
      <c r="J280" s="92"/>
      <c r="K280" s="92"/>
      <c r="L280" s="92"/>
      <c r="M280" s="92"/>
      <c r="N280" s="92"/>
      <c r="O280" s="92"/>
      <c r="P280" s="92"/>
      <c r="Q280" s="92"/>
      <c r="R280" s="92"/>
    </row>
    <row r="281" spans="1:18" ht="15.75" customHeight="1">
      <c r="A281" s="92"/>
      <c r="B281" s="92"/>
      <c r="C281" s="92"/>
      <c r="D281" s="92"/>
      <c r="E281" s="92"/>
      <c r="F281" s="92"/>
      <c r="G281" s="92"/>
      <c r="H281" s="92"/>
      <c r="I281" s="92"/>
      <c r="J281" s="92"/>
      <c r="K281" s="92"/>
      <c r="L281" s="92"/>
      <c r="M281" s="92"/>
      <c r="N281" s="92"/>
      <c r="O281" s="92"/>
      <c r="P281" s="92"/>
      <c r="Q281" s="92"/>
      <c r="R281" s="92"/>
    </row>
    <row r="282" spans="1:18" ht="15.75" customHeight="1">
      <c r="A282" s="92"/>
      <c r="B282" s="92"/>
      <c r="C282" s="92"/>
      <c r="D282" s="92"/>
      <c r="E282" s="92"/>
      <c r="F282" s="92"/>
      <c r="G282" s="92"/>
      <c r="H282" s="92"/>
      <c r="I282" s="92"/>
      <c r="J282" s="92"/>
      <c r="K282" s="92"/>
      <c r="L282" s="92"/>
      <c r="M282" s="92"/>
      <c r="N282" s="92"/>
      <c r="O282" s="92"/>
      <c r="P282" s="92"/>
      <c r="Q282" s="92"/>
      <c r="R282" s="92"/>
    </row>
    <row r="283" spans="1:18" ht="15.75" customHeight="1">
      <c r="A283" s="92"/>
      <c r="B283" s="92"/>
      <c r="C283" s="92"/>
      <c r="D283" s="92"/>
      <c r="E283" s="92"/>
      <c r="F283" s="92"/>
      <c r="G283" s="92"/>
      <c r="H283" s="92"/>
      <c r="I283" s="92"/>
      <c r="J283" s="92"/>
      <c r="K283" s="92"/>
      <c r="L283" s="92"/>
      <c r="M283" s="92"/>
      <c r="N283" s="92"/>
      <c r="O283" s="92"/>
      <c r="P283" s="92"/>
      <c r="Q283" s="92"/>
      <c r="R283" s="92"/>
    </row>
    <row r="284" spans="1:18" ht="15.75" customHeight="1">
      <c r="A284" s="92"/>
      <c r="B284" s="92"/>
      <c r="C284" s="92"/>
      <c r="D284" s="92"/>
      <c r="E284" s="92"/>
      <c r="F284" s="92"/>
      <c r="G284" s="92"/>
      <c r="H284" s="92"/>
      <c r="I284" s="92"/>
      <c r="J284" s="92"/>
      <c r="K284" s="92"/>
      <c r="L284" s="92"/>
      <c r="M284" s="92"/>
      <c r="N284" s="92"/>
      <c r="O284" s="92"/>
      <c r="P284" s="92"/>
      <c r="Q284" s="92"/>
      <c r="R284" s="92"/>
    </row>
    <row r="285" spans="1:18" ht="15.75" customHeight="1">
      <c r="A285" s="92"/>
      <c r="B285" s="92"/>
      <c r="C285" s="92"/>
      <c r="D285" s="92"/>
      <c r="E285" s="92"/>
      <c r="F285" s="92"/>
      <c r="G285" s="92"/>
      <c r="H285" s="92"/>
      <c r="I285" s="92"/>
      <c r="J285" s="92"/>
      <c r="K285" s="92"/>
      <c r="L285" s="92"/>
      <c r="M285" s="92"/>
      <c r="N285" s="92"/>
      <c r="O285" s="92"/>
      <c r="P285" s="92"/>
      <c r="Q285" s="92"/>
      <c r="R285" s="92"/>
    </row>
    <row r="286" spans="1:18" ht="15.75" customHeight="1">
      <c r="A286" s="92"/>
      <c r="B286" s="92"/>
      <c r="C286" s="92"/>
      <c r="D286" s="92"/>
      <c r="E286" s="92"/>
      <c r="F286" s="92"/>
      <c r="G286" s="92"/>
      <c r="H286" s="92"/>
      <c r="I286" s="92"/>
      <c r="J286" s="92"/>
      <c r="K286" s="92"/>
      <c r="L286" s="92"/>
      <c r="M286" s="92"/>
      <c r="N286" s="92"/>
      <c r="O286" s="92"/>
      <c r="P286" s="92"/>
      <c r="Q286" s="92"/>
      <c r="R286" s="92"/>
    </row>
    <row r="287" spans="1:18" ht="15.75" customHeight="1">
      <c r="A287" s="92"/>
      <c r="B287" s="92"/>
      <c r="C287" s="92"/>
      <c r="D287" s="92"/>
      <c r="E287" s="92"/>
      <c r="F287" s="92"/>
      <c r="G287" s="92"/>
      <c r="H287" s="92"/>
      <c r="I287" s="92"/>
      <c r="J287" s="92"/>
      <c r="K287" s="92"/>
      <c r="L287" s="92"/>
      <c r="M287" s="92"/>
      <c r="N287" s="92"/>
      <c r="O287" s="92"/>
      <c r="P287" s="92"/>
      <c r="Q287" s="92"/>
      <c r="R287" s="92"/>
    </row>
    <row r="288" spans="1:18" ht="15.75" customHeight="1">
      <c r="A288" s="92"/>
      <c r="B288" s="92"/>
      <c r="C288" s="92"/>
      <c r="D288" s="92"/>
      <c r="E288" s="92"/>
      <c r="F288" s="92"/>
      <c r="G288" s="92"/>
      <c r="H288" s="92"/>
      <c r="I288" s="92"/>
      <c r="J288" s="92"/>
      <c r="K288" s="92"/>
      <c r="L288" s="92"/>
      <c r="M288" s="92"/>
      <c r="N288" s="92"/>
      <c r="O288" s="92"/>
      <c r="P288" s="92"/>
      <c r="Q288" s="92"/>
      <c r="R288" s="92"/>
    </row>
    <row r="289" spans="1:18" ht="15.75" customHeight="1">
      <c r="A289" s="92"/>
      <c r="B289" s="92"/>
      <c r="C289" s="92"/>
      <c r="D289" s="92"/>
      <c r="E289" s="92"/>
      <c r="F289" s="92"/>
      <c r="G289" s="92"/>
      <c r="H289" s="92"/>
      <c r="I289" s="92"/>
      <c r="J289" s="92"/>
      <c r="K289" s="92"/>
      <c r="L289" s="92"/>
      <c r="M289" s="92"/>
      <c r="N289" s="92"/>
      <c r="O289" s="92"/>
      <c r="P289" s="92"/>
      <c r="Q289" s="92"/>
      <c r="R289" s="92"/>
    </row>
    <row r="290" spans="1:18" ht="15.75" customHeight="1">
      <c r="A290" s="92"/>
      <c r="B290" s="92"/>
      <c r="C290" s="92"/>
      <c r="D290" s="92"/>
      <c r="E290" s="92"/>
      <c r="F290" s="92"/>
      <c r="G290" s="92"/>
      <c r="H290" s="92"/>
      <c r="I290" s="92"/>
      <c r="J290" s="92"/>
      <c r="K290" s="92"/>
      <c r="L290" s="92"/>
      <c r="M290" s="92"/>
      <c r="N290" s="92"/>
      <c r="O290" s="92"/>
      <c r="P290" s="92"/>
      <c r="Q290" s="92"/>
      <c r="R290" s="92"/>
    </row>
    <row r="291" spans="1:18" ht="15.75" customHeight="1">
      <c r="A291" s="92"/>
      <c r="B291" s="92"/>
      <c r="C291" s="92"/>
      <c r="D291" s="92"/>
      <c r="E291" s="92"/>
      <c r="F291" s="92"/>
      <c r="G291" s="92"/>
      <c r="H291" s="92"/>
      <c r="I291" s="92"/>
      <c r="J291" s="92"/>
      <c r="K291" s="92"/>
      <c r="L291" s="92"/>
      <c r="M291" s="92"/>
      <c r="N291" s="92"/>
      <c r="O291" s="92"/>
      <c r="P291" s="92"/>
      <c r="Q291" s="92"/>
      <c r="R291" s="92"/>
    </row>
    <row r="292" spans="1:18" ht="15.75" customHeight="1">
      <c r="A292" s="92"/>
      <c r="B292" s="92"/>
      <c r="C292" s="92"/>
      <c r="D292" s="92"/>
      <c r="E292" s="92"/>
      <c r="F292" s="92"/>
      <c r="G292" s="92"/>
      <c r="H292" s="92"/>
      <c r="I292" s="92"/>
      <c r="J292" s="92"/>
      <c r="K292" s="92"/>
      <c r="L292" s="92"/>
      <c r="M292" s="92"/>
      <c r="N292" s="92"/>
      <c r="O292" s="92"/>
      <c r="P292" s="92"/>
      <c r="Q292" s="92"/>
      <c r="R292" s="92"/>
    </row>
    <row r="293" spans="1:18" ht="15.75" customHeight="1">
      <c r="A293" s="92"/>
      <c r="B293" s="92"/>
      <c r="C293" s="92"/>
      <c r="D293" s="92"/>
      <c r="E293" s="92"/>
      <c r="F293" s="92"/>
      <c r="G293" s="92"/>
      <c r="H293" s="92"/>
      <c r="I293" s="92"/>
      <c r="J293" s="92"/>
      <c r="K293" s="92"/>
      <c r="L293" s="92"/>
      <c r="M293" s="92"/>
      <c r="N293" s="92"/>
      <c r="O293" s="92"/>
      <c r="P293" s="92"/>
      <c r="Q293" s="92"/>
      <c r="R293" s="92"/>
    </row>
    <row r="294" spans="1:18" ht="15.75" customHeight="1">
      <c r="A294" s="92"/>
      <c r="B294" s="92"/>
      <c r="C294" s="92"/>
      <c r="D294" s="92"/>
      <c r="E294" s="92"/>
      <c r="F294" s="92"/>
      <c r="G294" s="92"/>
      <c r="H294" s="92"/>
      <c r="I294" s="92"/>
      <c r="J294" s="92"/>
      <c r="K294" s="92"/>
      <c r="L294" s="92"/>
      <c r="M294" s="92"/>
      <c r="N294" s="92"/>
      <c r="O294" s="92"/>
      <c r="P294" s="92"/>
      <c r="Q294" s="92"/>
      <c r="R294" s="92"/>
    </row>
    <row r="295" spans="1:18" ht="15.75" customHeight="1">
      <c r="A295" s="92"/>
      <c r="B295" s="92"/>
      <c r="C295" s="92"/>
      <c r="D295" s="92"/>
      <c r="E295" s="92"/>
      <c r="F295" s="92"/>
      <c r="G295" s="92"/>
      <c r="H295" s="92"/>
      <c r="I295" s="92"/>
      <c r="J295" s="92"/>
      <c r="K295" s="92"/>
      <c r="L295" s="92"/>
      <c r="M295" s="92"/>
      <c r="N295" s="92"/>
      <c r="O295" s="92"/>
      <c r="P295" s="92"/>
      <c r="Q295" s="92"/>
      <c r="R295" s="92"/>
    </row>
    <row r="296" spans="1:18" ht="15.75" customHeight="1">
      <c r="A296" s="92"/>
      <c r="B296" s="92"/>
      <c r="C296" s="92"/>
      <c r="D296" s="92"/>
      <c r="E296" s="92"/>
      <c r="F296" s="92"/>
      <c r="G296" s="92"/>
      <c r="H296" s="92"/>
      <c r="I296" s="92"/>
      <c r="J296" s="92"/>
      <c r="K296" s="92"/>
      <c r="L296" s="92"/>
      <c r="M296" s="92"/>
      <c r="N296" s="92"/>
      <c r="O296" s="92"/>
      <c r="P296" s="92"/>
      <c r="Q296" s="92"/>
      <c r="R296" s="92"/>
    </row>
    <row r="297" spans="1:18" ht="15.75" customHeight="1">
      <c r="A297" s="92"/>
      <c r="B297" s="92"/>
      <c r="C297" s="92"/>
      <c r="D297" s="92"/>
      <c r="E297" s="92"/>
      <c r="F297" s="92"/>
      <c r="G297" s="92"/>
      <c r="H297" s="92"/>
      <c r="I297" s="92"/>
      <c r="J297" s="92"/>
      <c r="K297" s="92"/>
      <c r="L297" s="92"/>
      <c r="M297" s="92"/>
      <c r="N297" s="92"/>
      <c r="O297" s="92"/>
      <c r="P297" s="92"/>
      <c r="Q297" s="92"/>
      <c r="R297" s="92"/>
    </row>
    <row r="298" spans="1:18" ht="15.75" customHeight="1">
      <c r="A298" s="92"/>
      <c r="B298" s="92"/>
      <c r="C298" s="92"/>
      <c r="D298" s="92"/>
      <c r="E298" s="92"/>
      <c r="F298" s="92"/>
      <c r="G298" s="92"/>
      <c r="H298" s="92"/>
      <c r="I298" s="92"/>
      <c r="J298" s="92"/>
      <c r="K298" s="92"/>
      <c r="L298" s="92"/>
      <c r="M298" s="92"/>
      <c r="N298" s="92"/>
      <c r="O298" s="92"/>
      <c r="P298" s="92"/>
      <c r="Q298" s="92"/>
      <c r="R298" s="92"/>
    </row>
    <row r="299" spans="1:18" ht="15.75" customHeight="1">
      <c r="A299" s="92"/>
      <c r="B299" s="92"/>
      <c r="C299" s="92"/>
      <c r="D299" s="92"/>
      <c r="E299" s="92"/>
      <c r="F299" s="92"/>
      <c r="G299" s="92"/>
      <c r="H299" s="92"/>
      <c r="I299" s="92"/>
      <c r="J299" s="92"/>
      <c r="K299" s="92"/>
      <c r="L299" s="92"/>
      <c r="M299" s="92"/>
      <c r="N299" s="92"/>
      <c r="O299" s="92"/>
      <c r="P299" s="92"/>
      <c r="Q299" s="92"/>
      <c r="R299" s="92"/>
    </row>
    <row r="300" spans="1:18" ht="15.75" customHeight="1">
      <c r="A300" s="92"/>
      <c r="B300" s="92"/>
      <c r="C300" s="92"/>
      <c r="D300" s="92"/>
      <c r="E300" s="92"/>
      <c r="F300" s="92"/>
      <c r="G300" s="92"/>
      <c r="H300" s="92"/>
      <c r="I300" s="92"/>
      <c r="J300" s="92"/>
      <c r="K300" s="92"/>
      <c r="L300" s="92"/>
      <c r="M300" s="92"/>
      <c r="N300" s="92"/>
      <c r="O300" s="92"/>
      <c r="P300" s="92"/>
      <c r="Q300" s="92"/>
      <c r="R300" s="92"/>
    </row>
    <row r="301" spans="1:18" ht="15.75" customHeight="1">
      <c r="A301" s="92"/>
      <c r="B301" s="92"/>
      <c r="C301" s="92"/>
      <c r="D301" s="92"/>
      <c r="E301" s="92"/>
      <c r="F301" s="92"/>
      <c r="G301" s="92"/>
      <c r="H301" s="92"/>
      <c r="I301" s="92"/>
      <c r="J301" s="92"/>
      <c r="K301" s="92"/>
      <c r="L301" s="92"/>
      <c r="M301" s="92"/>
      <c r="N301" s="92"/>
      <c r="O301" s="92"/>
      <c r="P301" s="92"/>
      <c r="Q301" s="92"/>
      <c r="R301" s="92"/>
    </row>
    <row r="302" spans="1:18" ht="15.75" customHeight="1">
      <c r="A302" s="92"/>
      <c r="B302" s="92"/>
      <c r="C302" s="92"/>
      <c r="D302" s="92"/>
      <c r="E302" s="92"/>
      <c r="F302" s="92"/>
      <c r="G302" s="92"/>
      <c r="H302" s="92"/>
      <c r="I302" s="92"/>
      <c r="J302" s="92"/>
      <c r="K302" s="92"/>
      <c r="L302" s="92"/>
      <c r="M302" s="92"/>
      <c r="N302" s="92"/>
      <c r="O302" s="92"/>
      <c r="P302" s="92"/>
      <c r="Q302" s="92"/>
      <c r="R302" s="92"/>
    </row>
    <row r="303" spans="1:18" ht="15.75" customHeight="1">
      <c r="A303" s="92"/>
      <c r="B303" s="92"/>
      <c r="C303" s="92"/>
      <c r="D303" s="92"/>
      <c r="E303" s="92"/>
      <c r="F303" s="92"/>
      <c r="G303" s="92"/>
      <c r="H303" s="92"/>
      <c r="I303" s="92"/>
      <c r="J303" s="92"/>
      <c r="K303" s="92"/>
      <c r="L303" s="92"/>
      <c r="M303" s="92"/>
      <c r="N303" s="92"/>
      <c r="O303" s="92"/>
      <c r="P303" s="92"/>
      <c r="Q303" s="92"/>
      <c r="R303" s="92"/>
    </row>
    <row r="304" spans="1:18" ht="15.75" customHeight="1">
      <c r="A304" s="92"/>
      <c r="B304" s="92"/>
      <c r="C304" s="92"/>
      <c r="D304" s="92"/>
      <c r="E304" s="92"/>
      <c r="F304" s="92"/>
      <c r="G304" s="92"/>
      <c r="H304" s="92"/>
      <c r="I304" s="92"/>
      <c r="J304" s="92"/>
      <c r="K304" s="92"/>
      <c r="L304" s="92"/>
      <c r="M304" s="92"/>
      <c r="N304" s="92"/>
      <c r="O304" s="92"/>
      <c r="P304" s="92"/>
      <c r="Q304" s="92"/>
      <c r="R304" s="92"/>
    </row>
    <row r="305" spans="1:18" ht="15.75" customHeight="1">
      <c r="A305" s="92"/>
      <c r="B305" s="92"/>
      <c r="C305" s="92"/>
      <c r="D305" s="92"/>
      <c r="E305" s="92"/>
      <c r="F305" s="92"/>
      <c r="G305" s="92"/>
      <c r="H305" s="92"/>
      <c r="I305" s="92"/>
      <c r="J305" s="92"/>
      <c r="K305" s="92"/>
      <c r="L305" s="92"/>
      <c r="M305" s="92"/>
      <c r="N305" s="92"/>
      <c r="O305" s="92"/>
      <c r="P305" s="92"/>
      <c r="Q305" s="92"/>
      <c r="R305" s="92"/>
    </row>
    <row r="306" spans="1:18" ht="15.75" customHeight="1">
      <c r="A306" s="92"/>
      <c r="B306" s="92"/>
      <c r="C306" s="92"/>
      <c r="D306" s="92"/>
      <c r="E306" s="92"/>
      <c r="F306" s="92"/>
      <c r="G306" s="92"/>
      <c r="H306" s="92"/>
      <c r="I306" s="92"/>
      <c r="J306" s="92"/>
      <c r="K306" s="92"/>
      <c r="L306" s="92"/>
      <c r="M306" s="92"/>
      <c r="N306" s="92"/>
      <c r="O306" s="92"/>
      <c r="P306" s="92"/>
      <c r="Q306" s="92"/>
      <c r="R306" s="92"/>
    </row>
    <row r="307" spans="1:18" ht="15.75" customHeight="1">
      <c r="A307" s="92"/>
      <c r="B307" s="92"/>
      <c r="C307" s="92"/>
      <c r="D307" s="92"/>
      <c r="E307" s="92"/>
      <c r="F307" s="92"/>
      <c r="G307" s="92"/>
      <c r="H307" s="92"/>
      <c r="I307" s="92"/>
      <c r="J307" s="92"/>
      <c r="K307" s="92"/>
      <c r="L307" s="92"/>
      <c r="M307" s="92"/>
      <c r="N307" s="92"/>
      <c r="O307" s="92"/>
      <c r="P307" s="92"/>
      <c r="Q307" s="92"/>
      <c r="R307" s="92"/>
    </row>
    <row r="308" spans="1:18" ht="15.75" customHeight="1">
      <c r="A308" s="92"/>
      <c r="B308" s="92"/>
      <c r="C308" s="92"/>
      <c r="D308" s="92"/>
      <c r="E308" s="92"/>
      <c r="F308" s="92"/>
      <c r="G308" s="92"/>
      <c r="H308" s="92"/>
      <c r="I308" s="92"/>
      <c r="J308" s="92"/>
      <c r="K308" s="92"/>
      <c r="L308" s="92"/>
      <c r="M308" s="92"/>
      <c r="N308" s="92"/>
      <c r="O308" s="92"/>
      <c r="P308" s="92"/>
      <c r="Q308" s="92"/>
      <c r="R308" s="92"/>
    </row>
    <row r="309" spans="1:18" ht="15.75" customHeight="1">
      <c r="A309" s="92"/>
      <c r="B309" s="92"/>
      <c r="C309" s="92"/>
      <c r="D309" s="92"/>
      <c r="E309" s="92"/>
      <c r="F309" s="92"/>
      <c r="G309" s="92"/>
      <c r="H309" s="92"/>
      <c r="I309" s="92"/>
      <c r="J309" s="92"/>
      <c r="K309" s="92"/>
      <c r="L309" s="92"/>
      <c r="M309" s="92"/>
      <c r="N309" s="92"/>
      <c r="O309" s="92"/>
      <c r="P309" s="92"/>
      <c r="Q309" s="92"/>
      <c r="R309" s="92"/>
    </row>
    <row r="310" spans="1:18" ht="15.75" customHeight="1">
      <c r="A310" s="92"/>
      <c r="B310" s="92"/>
      <c r="C310" s="92"/>
      <c r="D310" s="92"/>
      <c r="E310" s="92"/>
      <c r="F310" s="92"/>
      <c r="G310" s="92"/>
      <c r="H310" s="92"/>
      <c r="I310" s="92"/>
      <c r="J310" s="92"/>
      <c r="K310" s="92"/>
      <c r="L310" s="92"/>
      <c r="M310" s="92"/>
      <c r="N310" s="92"/>
      <c r="O310" s="92"/>
      <c r="P310" s="92"/>
      <c r="Q310" s="92"/>
      <c r="R310" s="92"/>
    </row>
    <row r="311" spans="1:18" ht="15.75" customHeight="1">
      <c r="A311" s="92"/>
      <c r="B311" s="92"/>
      <c r="C311" s="92"/>
      <c r="D311" s="92"/>
      <c r="E311" s="92"/>
      <c r="F311" s="92"/>
      <c r="G311" s="92"/>
      <c r="H311" s="92"/>
      <c r="I311" s="92"/>
      <c r="J311" s="92"/>
      <c r="K311" s="92"/>
      <c r="L311" s="92"/>
      <c r="M311" s="92"/>
      <c r="N311" s="92"/>
      <c r="O311" s="92"/>
      <c r="P311" s="92"/>
      <c r="Q311" s="92"/>
      <c r="R311" s="92"/>
    </row>
    <row r="312" spans="1:18" ht="15.75" customHeight="1">
      <c r="A312" s="92"/>
      <c r="B312" s="92"/>
      <c r="C312" s="92"/>
      <c r="D312" s="92"/>
      <c r="E312" s="92"/>
      <c r="F312" s="92"/>
      <c r="G312" s="92"/>
      <c r="H312" s="92"/>
      <c r="I312" s="92"/>
      <c r="J312" s="92"/>
      <c r="K312" s="92"/>
      <c r="L312" s="92"/>
      <c r="M312" s="92"/>
      <c r="N312" s="92"/>
      <c r="O312" s="92"/>
      <c r="P312" s="92"/>
      <c r="Q312" s="92"/>
      <c r="R312" s="92"/>
    </row>
    <row r="313" spans="1:18" ht="15.75" customHeight="1">
      <c r="A313" s="92"/>
      <c r="B313" s="92"/>
      <c r="C313" s="92"/>
      <c r="D313" s="92"/>
      <c r="E313" s="92"/>
      <c r="F313" s="92"/>
      <c r="G313" s="92"/>
      <c r="H313" s="92"/>
      <c r="I313" s="92"/>
      <c r="J313" s="92"/>
      <c r="K313" s="92"/>
      <c r="L313" s="92"/>
      <c r="M313" s="92"/>
      <c r="N313" s="92"/>
      <c r="O313" s="92"/>
      <c r="P313" s="92"/>
      <c r="Q313" s="92"/>
      <c r="R313" s="92"/>
    </row>
    <row r="314" spans="1:18" ht="15.75" customHeight="1">
      <c r="A314" s="92"/>
      <c r="B314" s="92"/>
      <c r="C314" s="92"/>
      <c r="D314" s="92"/>
      <c r="E314" s="92"/>
      <c r="F314" s="92"/>
      <c r="G314" s="92"/>
      <c r="H314" s="92"/>
      <c r="I314" s="92"/>
      <c r="J314" s="92"/>
      <c r="K314" s="92"/>
      <c r="L314" s="92"/>
      <c r="M314" s="92"/>
      <c r="N314" s="92"/>
      <c r="O314" s="92"/>
      <c r="P314" s="92"/>
      <c r="Q314" s="92"/>
      <c r="R314" s="92"/>
    </row>
    <row r="315" spans="1:18" ht="15.75" customHeight="1">
      <c r="A315" s="92"/>
      <c r="B315" s="92"/>
      <c r="C315" s="92"/>
      <c r="D315" s="92"/>
      <c r="E315" s="92"/>
      <c r="F315" s="92"/>
      <c r="G315" s="92"/>
      <c r="H315" s="92"/>
      <c r="I315" s="92"/>
      <c r="J315" s="92"/>
      <c r="K315" s="92"/>
      <c r="L315" s="92"/>
      <c r="M315" s="92"/>
      <c r="N315" s="92"/>
      <c r="O315" s="92"/>
      <c r="P315" s="92"/>
      <c r="Q315" s="92"/>
      <c r="R315" s="92"/>
    </row>
    <row r="316" spans="1:18" ht="15.75" customHeight="1">
      <c r="A316" s="92"/>
      <c r="B316" s="92"/>
      <c r="C316" s="92"/>
      <c r="D316" s="92"/>
      <c r="E316" s="92"/>
      <c r="F316" s="92"/>
      <c r="G316" s="92"/>
      <c r="H316" s="92"/>
      <c r="I316" s="92"/>
      <c r="J316" s="92"/>
      <c r="K316" s="92"/>
      <c r="L316" s="92"/>
      <c r="M316" s="92"/>
      <c r="N316" s="92"/>
      <c r="O316" s="92"/>
      <c r="P316" s="92"/>
      <c r="Q316" s="92"/>
      <c r="R316" s="92"/>
    </row>
    <row r="317" spans="1:18" ht="15.75" customHeight="1"/>
    <row r="318" spans="1:18" ht="15.75" customHeight="1"/>
    <row r="319" spans="1:18" ht="15.75" customHeight="1"/>
    <row r="320" spans="1:18"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9:K116" xr:uid="{00000000-0009-0000-0000-000013000000}">
    <filterColumn colId="0">
      <filters>
        <filter val="Engineering/Construction"/>
      </filters>
    </filterColumn>
  </autoFilter>
  <mergeCells count="9">
    <mergeCell ref="B6:G6"/>
    <mergeCell ref="B7:G7"/>
    <mergeCell ref="B1:G1"/>
    <mergeCell ref="B2:G2"/>
    <mergeCell ref="I2:I6"/>
    <mergeCell ref="B3:E3"/>
    <mergeCell ref="F3:G3"/>
    <mergeCell ref="B4:G4"/>
    <mergeCell ref="B5:G5"/>
  </mergeCells>
  <hyperlinks>
    <hyperlink ref="B2" r:id="rId1" xr:uid="{00000000-0004-0000-1300-000000000000}"/>
    <hyperlink ref="B4" r:id="rId2" xr:uid="{00000000-0004-0000-1300-000001000000}"/>
    <hyperlink ref="B5" r:id="rId3" xr:uid="{00000000-0004-0000-1300-000002000000}"/>
    <hyperlink ref="B6" r:id="rId4" xr:uid="{00000000-0004-0000-1300-000003000000}"/>
    <hyperlink ref="B7" r:id="rId5" xr:uid="{00000000-0004-0000-1300-000004000000}"/>
  </hyperlinks>
  <pageMargins left="0.75" right="0.75" top="1" bottom="1" header="0" footer="0"/>
  <pageSetup orientation="portrai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2060"/>
  </sheetPr>
  <dimension ref="A1:AC1000"/>
  <sheetViews>
    <sheetView workbookViewId="0"/>
  </sheetViews>
  <sheetFormatPr baseColWidth="10" defaultColWidth="14.44140625" defaultRowHeight="15" customHeight="1"/>
  <cols>
    <col min="1" max="1" width="2.6640625" customWidth="1"/>
    <col min="2" max="2" width="28" customWidth="1"/>
    <col min="3" max="3" width="17.6640625" customWidth="1"/>
    <col min="4" max="4" width="8.33203125" customWidth="1"/>
    <col min="5" max="6" width="6.88671875" customWidth="1"/>
    <col min="7" max="7" width="4" customWidth="1"/>
    <col min="8" max="8" width="6.109375" customWidth="1"/>
    <col min="9" max="9" width="16.44140625" customWidth="1"/>
    <col min="10" max="10" width="18.33203125" customWidth="1"/>
    <col min="11" max="11" width="18.88671875" customWidth="1"/>
    <col min="12" max="12" width="9.6640625" customWidth="1"/>
    <col min="13" max="13" width="17.6640625" customWidth="1"/>
    <col min="14" max="14" width="13.109375" customWidth="1"/>
    <col min="15" max="15" width="20.6640625" customWidth="1"/>
    <col min="16" max="16" width="18.33203125" customWidth="1"/>
    <col min="17" max="29" width="11.44140625" customWidth="1"/>
  </cols>
  <sheetData>
    <row r="1" spans="1:29" ht="21">
      <c r="A1" s="1"/>
      <c r="B1" s="73" t="s">
        <v>656</v>
      </c>
      <c r="C1" s="1111">
        <f>+MARCA!D31</f>
        <v>0</v>
      </c>
      <c r="D1" s="1111"/>
      <c r="E1" s="1"/>
      <c r="F1" s="1"/>
      <c r="G1" s="1"/>
      <c r="H1" s="1112" t="s">
        <v>657</v>
      </c>
      <c r="I1" s="1112"/>
      <c r="J1" s="1112"/>
      <c r="K1" s="1112"/>
      <c r="L1" s="1113"/>
      <c r="M1" s="1114"/>
      <c r="N1" s="1114"/>
      <c r="O1" s="1114"/>
      <c r="P1" s="1114"/>
      <c r="Q1" s="1"/>
      <c r="R1" s="1"/>
      <c r="S1" s="1"/>
      <c r="T1" s="1"/>
      <c r="U1" s="1"/>
      <c r="V1" s="1"/>
      <c r="W1" s="1"/>
      <c r="X1" s="1"/>
      <c r="Y1" s="1"/>
      <c r="Z1" s="1"/>
      <c r="AA1" s="1"/>
      <c r="AB1" s="1"/>
      <c r="AC1" s="1"/>
    </row>
    <row r="2" spans="1:29" ht="15.6">
      <c r="A2" s="1"/>
      <c r="B2" s="1"/>
      <c r="C2" s="1"/>
      <c r="D2" s="1"/>
      <c r="E2" s="1"/>
      <c r="F2" s="1"/>
      <c r="G2" s="1"/>
      <c r="H2" s="1115" t="s">
        <v>658</v>
      </c>
      <c r="I2" s="1115"/>
      <c r="J2" s="1115"/>
      <c r="K2" s="1115"/>
      <c r="L2" s="1114"/>
      <c r="M2" s="1114"/>
      <c r="N2" s="1114"/>
      <c r="O2" s="1114"/>
      <c r="P2" s="1114"/>
      <c r="Q2" s="1"/>
      <c r="R2" s="1"/>
      <c r="S2" s="1"/>
      <c r="T2" s="1"/>
      <c r="U2" s="1"/>
      <c r="V2" s="1"/>
      <c r="W2" s="1"/>
      <c r="X2" s="1"/>
      <c r="Y2" s="1"/>
      <c r="Z2" s="1"/>
      <c r="AA2" s="1"/>
      <c r="AB2" s="1"/>
      <c r="AC2" s="1"/>
    </row>
    <row r="3" spans="1:29" ht="15.6">
      <c r="A3" s="1"/>
      <c r="B3" s="1"/>
      <c r="C3" s="1"/>
      <c r="D3" s="1"/>
      <c r="E3" s="1"/>
      <c r="F3" s="1"/>
      <c r="G3" s="1"/>
      <c r="H3" s="1116"/>
      <c r="I3" s="1116"/>
      <c r="J3" s="1116"/>
      <c r="K3" s="1116"/>
      <c r="L3" s="1114"/>
      <c r="M3" s="1114"/>
      <c r="N3" s="1114"/>
      <c r="O3" s="1114"/>
      <c r="P3" s="1114"/>
      <c r="Q3" s="1"/>
      <c r="R3" s="1"/>
      <c r="S3" s="1"/>
      <c r="T3" s="1"/>
      <c r="U3" s="1"/>
      <c r="V3" s="1"/>
      <c r="W3" s="1"/>
      <c r="X3" s="1"/>
      <c r="Y3" s="1"/>
      <c r="Z3" s="1"/>
      <c r="AA3" s="1"/>
      <c r="AB3" s="1"/>
      <c r="AC3" s="1"/>
    </row>
    <row r="4" spans="1:29" ht="14.4">
      <c r="A4" s="1"/>
      <c r="B4" s="1"/>
      <c r="C4" s="1"/>
      <c r="D4" s="1"/>
      <c r="E4" s="1"/>
      <c r="F4" s="1"/>
      <c r="G4" s="1"/>
      <c r="H4" s="236"/>
      <c r="I4" s="236"/>
      <c r="J4" s="236"/>
      <c r="K4" s="236"/>
      <c r="L4" s="236"/>
      <c r="M4" s="236"/>
      <c r="N4" s="236"/>
      <c r="O4" s="236"/>
      <c r="P4" s="236"/>
      <c r="Q4" s="1"/>
      <c r="R4" s="1"/>
      <c r="S4" s="1"/>
      <c r="T4" s="1"/>
      <c r="U4" s="1"/>
      <c r="V4" s="1"/>
      <c r="W4" s="1"/>
      <c r="X4" s="1"/>
      <c r="Y4" s="1"/>
      <c r="Z4" s="1"/>
      <c r="AA4" s="1"/>
      <c r="AB4" s="1"/>
      <c r="AC4" s="1"/>
    </row>
    <row r="5" spans="1:29" ht="19.8">
      <c r="A5" s="1"/>
      <c r="B5" s="1117" t="s">
        <v>659</v>
      </c>
      <c r="C5" s="1118"/>
      <c r="D5" s="1118"/>
      <c r="E5" s="1"/>
      <c r="F5" s="1"/>
      <c r="G5" s="1"/>
      <c r="H5" s="1119" t="s">
        <v>660</v>
      </c>
      <c r="I5" s="1119"/>
      <c r="J5" s="1119"/>
      <c r="K5" s="1119"/>
      <c r="L5" s="1119"/>
      <c r="M5" s="1120">
        <f>+C1</f>
        <v>0</v>
      </c>
      <c r="N5" s="236"/>
      <c r="O5" s="236"/>
      <c r="P5" s="236"/>
      <c r="Q5" s="1"/>
      <c r="R5" s="1"/>
      <c r="S5" s="1"/>
      <c r="T5" s="1"/>
      <c r="U5" s="1"/>
      <c r="V5" s="1"/>
      <c r="W5" s="1"/>
      <c r="X5" s="1"/>
      <c r="Y5" s="1"/>
      <c r="Z5" s="1"/>
      <c r="AA5" s="1"/>
      <c r="AB5" s="1"/>
      <c r="AC5" s="1"/>
    </row>
    <row r="6" spans="1:29" ht="18">
      <c r="A6" s="1"/>
      <c r="B6" s="1121" t="s">
        <v>661</v>
      </c>
      <c r="C6" s="1122">
        <f>+MARCA!D26</f>
        <v>0</v>
      </c>
      <c r="D6" s="1122"/>
      <c r="E6" s="1"/>
      <c r="F6" s="1"/>
      <c r="G6" s="1"/>
      <c r="H6" s="1119" t="s">
        <v>662</v>
      </c>
      <c r="I6" s="1119"/>
      <c r="J6" s="1119"/>
      <c r="K6" s="1119"/>
      <c r="L6" s="1119"/>
      <c r="M6" s="1123" t="e">
        <f>+C7</f>
        <v>#DIV/0!</v>
      </c>
      <c r="N6" s="236"/>
      <c r="O6" s="236"/>
      <c r="P6" s="236"/>
      <c r="Q6" s="1"/>
      <c r="R6" s="1"/>
      <c r="S6" s="1"/>
      <c r="T6" s="1"/>
      <c r="U6" s="1"/>
      <c r="V6" s="1"/>
      <c r="W6" s="1"/>
      <c r="X6" s="1"/>
      <c r="Y6" s="1"/>
      <c r="Z6" s="1"/>
      <c r="AA6" s="1"/>
      <c r="AB6" s="1"/>
      <c r="AC6" s="1"/>
    </row>
    <row r="7" spans="1:29" ht="18">
      <c r="A7" s="1"/>
      <c r="B7" s="1121" t="s">
        <v>663</v>
      </c>
      <c r="C7" s="1124" t="e">
        <f>+WACC!G28</f>
        <v>#DIV/0!</v>
      </c>
      <c r="D7" s="1124"/>
      <c r="E7" s="1"/>
      <c r="F7" s="1"/>
      <c r="G7" s="1"/>
      <c r="H7" s="1119" t="s">
        <v>664</v>
      </c>
      <c r="I7" s="1119"/>
      <c r="J7" s="1119"/>
      <c r="K7" s="1119"/>
      <c r="L7" s="1119"/>
      <c r="M7" s="1125">
        <f>1/15%</f>
        <v>6.666666666666667</v>
      </c>
      <c r="N7" s="236"/>
      <c r="O7" s="236"/>
      <c r="P7" s="236"/>
      <c r="Q7" s="1"/>
      <c r="R7" s="1"/>
      <c r="S7" s="1"/>
      <c r="T7" s="1"/>
      <c r="U7" s="1"/>
      <c r="V7" s="1"/>
      <c r="W7" s="1"/>
      <c r="X7" s="1"/>
      <c r="Y7" s="1"/>
      <c r="Z7" s="1"/>
      <c r="AA7" s="1"/>
      <c r="AB7" s="1"/>
      <c r="AC7" s="1"/>
    </row>
    <row r="8" spans="1:29" ht="18">
      <c r="A8" s="1"/>
      <c r="B8" s="1121" t="s">
        <v>416</v>
      </c>
      <c r="C8" s="1126">
        <v>0.3</v>
      </c>
      <c r="D8" s="1126"/>
      <c r="E8" s="1"/>
      <c r="F8" s="1"/>
      <c r="G8" s="1"/>
      <c r="H8" s="1119" t="s">
        <v>665</v>
      </c>
      <c r="I8" s="1119"/>
      <c r="J8" s="1119"/>
      <c r="K8" s="1119"/>
      <c r="L8" s="1119"/>
      <c r="M8" s="1127">
        <v>0.3</v>
      </c>
      <c r="N8" s="236"/>
      <c r="O8" s="236"/>
      <c r="P8" s="236"/>
      <c r="Q8" s="1"/>
      <c r="R8" s="1"/>
      <c r="S8" s="1"/>
      <c r="T8" s="1"/>
      <c r="U8" s="1"/>
      <c r="V8" s="1"/>
      <c r="W8" s="1"/>
      <c r="X8" s="1"/>
      <c r="Y8" s="1"/>
      <c r="Z8" s="1"/>
      <c r="AA8" s="1"/>
      <c r="AB8" s="1"/>
      <c r="AC8" s="1"/>
    </row>
    <row r="9" spans="1:29" ht="14.4">
      <c r="A9" s="1"/>
      <c r="B9" s="1121" t="s">
        <v>666</v>
      </c>
      <c r="C9" s="1128">
        <f>1/15%</f>
        <v>6.666666666666667</v>
      </c>
      <c r="D9" s="1128"/>
      <c r="E9" s="1"/>
      <c r="F9" s="1"/>
      <c r="G9" s="1"/>
      <c r="H9" s="236"/>
      <c r="I9" s="236"/>
      <c r="J9" s="236"/>
      <c r="K9" s="236"/>
      <c r="L9" s="236"/>
      <c r="M9" s="236"/>
      <c r="N9" s="236"/>
      <c r="O9" s="236"/>
      <c r="P9" s="236"/>
      <c r="Q9" s="1"/>
      <c r="R9" s="1"/>
      <c r="S9" s="1"/>
      <c r="T9" s="1"/>
      <c r="U9" s="1"/>
      <c r="V9" s="1"/>
      <c r="W9" s="1"/>
      <c r="X9" s="1"/>
      <c r="Y9" s="1"/>
      <c r="Z9" s="1"/>
      <c r="AA9" s="1"/>
      <c r="AB9" s="1"/>
      <c r="AC9" s="1"/>
    </row>
    <row r="10" spans="1:29" ht="31.2">
      <c r="A10" s="1"/>
      <c r="B10" s="1121" t="s">
        <v>667</v>
      </c>
      <c r="C10" s="1128" t="e">
        <f>+(((1+C7)^C9-1)/(C7*(1+C7)^C9))</f>
        <v>#DIV/0!</v>
      </c>
      <c r="D10" s="1128"/>
      <c r="E10" s="1"/>
      <c r="F10" s="1"/>
      <c r="G10" s="1"/>
      <c r="H10" s="1129" t="s">
        <v>668</v>
      </c>
      <c r="I10" s="1130" t="s">
        <v>669</v>
      </c>
      <c r="J10" s="1130" t="s">
        <v>670</v>
      </c>
      <c r="K10" s="1130" t="s">
        <v>671</v>
      </c>
      <c r="L10" s="1130" t="s">
        <v>672</v>
      </c>
      <c r="M10" s="1130" t="s">
        <v>673</v>
      </c>
      <c r="N10" s="1130" t="s">
        <v>674</v>
      </c>
      <c r="O10" s="1130" t="s">
        <v>675</v>
      </c>
      <c r="P10" s="1130" t="s">
        <v>676</v>
      </c>
      <c r="Q10" s="1"/>
      <c r="R10" s="1"/>
      <c r="S10" s="1"/>
      <c r="T10" s="1"/>
      <c r="U10" s="1"/>
      <c r="V10" s="1"/>
      <c r="W10" s="1"/>
      <c r="X10" s="1"/>
      <c r="Y10" s="1"/>
      <c r="Z10" s="1"/>
      <c r="AA10" s="1"/>
      <c r="AB10" s="1"/>
      <c r="AC10" s="1"/>
    </row>
    <row r="11" spans="1:29" ht="28.8">
      <c r="A11" s="1"/>
      <c r="B11" s="1121" t="s">
        <v>677</v>
      </c>
      <c r="C11" s="1124">
        <f>+C8/C9</f>
        <v>4.4999999999999998E-2</v>
      </c>
      <c r="D11" s="1124"/>
      <c r="E11" s="1"/>
      <c r="F11" s="1"/>
      <c r="G11" s="1"/>
      <c r="H11" s="129"/>
      <c r="I11" s="1131" t="s">
        <v>678</v>
      </c>
      <c r="J11" s="1131" t="s">
        <v>679</v>
      </c>
      <c r="K11" s="1131" t="s">
        <v>680</v>
      </c>
      <c r="L11" s="1131" t="s">
        <v>681</v>
      </c>
      <c r="M11" s="1131" t="s">
        <v>682</v>
      </c>
      <c r="N11" s="1131" t="s">
        <v>683</v>
      </c>
      <c r="O11" s="1131" t="s">
        <v>684</v>
      </c>
      <c r="P11" s="1131" t="s">
        <v>685</v>
      </c>
      <c r="Q11" s="1"/>
      <c r="R11" s="1"/>
      <c r="S11" s="1"/>
      <c r="T11" s="1"/>
      <c r="U11" s="1"/>
      <c r="V11" s="1"/>
      <c r="W11" s="1"/>
      <c r="X11" s="1"/>
      <c r="Y11" s="1"/>
      <c r="Z11" s="1"/>
      <c r="AA11" s="1"/>
      <c r="AB11" s="1"/>
      <c r="AC11" s="1"/>
    </row>
    <row r="12" spans="1:29" ht="19.8">
      <c r="A12" s="1"/>
      <c r="B12" s="1132" t="s">
        <v>686</v>
      </c>
      <c r="C12" s="1133" t="e">
        <f>1/(1-(C10*C11))</f>
        <v>#DIV/0!</v>
      </c>
      <c r="D12" s="1134"/>
      <c r="E12" s="1"/>
      <c r="F12" s="1"/>
      <c r="G12" s="1"/>
      <c r="H12" s="92">
        <v>1</v>
      </c>
      <c r="I12" s="1135">
        <f>M5</f>
        <v>0</v>
      </c>
      <c r="J12" s="1136">
        <f>-I12*(15%)</f>
        <v>0</v>
      </c>
      <c r="K12" s="1136">
        <f t="shared" ref="K12:K18" si="0">+I12+J12</f>
        <v>0</v>
      </c>
      <c r="L12" s="1137">
        <f>M8</f>
        <v>0.3</v>
      </c>
      <c r="M12" s="1138">
        <f t="shared" ref="M12:M18" si="1">J12*L12</f>
        <v>0</v>
      </c>
      <c r="N12" s="1138">
        <v>0.5</v>
      </c>
      <c r="O12" s="1139" t="e">
        <f t="shared" ref="O12:O18" si="2">1/(1+$M$6)^N12</f>
        <v>#DIV/0!</v>
      </c>
      <c r="P12" s="1140" t="e">
        <f t="shared" ref="P12:P18" si="3">O12*M12</f>
        <v>#DIV/0!</v>
      </c>
      <c r="Q12" s="1"/>
      <c r="R12" s="1"/>
      <c r="S12" s="1"/>
      <c r="T12" s="1"/>
      <c r="U12" s="1"/>
      <c r="V12" s="1"/>
      <c r="W12" s="1"/>
      <c r="X12" s="1"/>
      <c r="Y12" s="1"/>
      <c r="Z12" s="1"/>
      <c r="AA12" s="1"/>
      <c r="AB12" s="1"/>
      <c r="AC12" s="1"/>
    </row>
    <row r="13" spans="1:29" ht="15.6">
      <c r="A13" s="1"/>
      <c r="B13" s="1"/>
      <c r="C13" s="1"/>
      <c r="D13" s="1"/>
      <c r="E13" s="1"/>
      <c r="F13" s="1"/>
      <c r="G13" s="1"/>
      <c r="H13" s="92">
        <v>2</v>
      </c>
      <c r="I13" s="1136">
        <f t="shared" ref="I13:I18" si="4">K12</f>
        <v>0</v>
      </c>
      <c r="J13" s="1136">
        <f t="shared" ref="J13:J17" si="5">+J12</f>
        <v>0</v>
      </c>
      <c r="K13" s="1136">
        <f t="shared" si="0"/>
        <v>0</v>
      </c>
      <c r="L13" s="1137">
        <f t="shared" ref="L13:L18" si="6">+L12</f>
        <v>0.3</v>
      </c>
      <c r="M13" s="1138">
        <f t="shared" si="1"/>
        <v>0</v>
      </c>
      <c r="N13" s="1138">
        <v>1.5</v>
      </c>
      <c r="O13" s="1139" t="e">
        <f t="shared" si="2"/>
        <v>#DIV/0!</v>
      </c>
      <c r="P13" s="1140" t="e">
        <f t="shared" si="3"/>
        <v>#DIV/0!</v>
      </c>
      <c r="Q13" s="1"/>
      <c r="R13" s="1"/>
      <c r="S13" s="1"/>
      <c r="T13" s="1"/>
      <c r="U13" s="1"/>
      <c r="V13" s="1"/>
      <c r="W13" s="1"/>
      <c r="X13" s="1"/>
      <c r="Y13" s="1"/>
      <c r="Z13" s="1"/>
      <c r="AA13" s="1"/>
      <c r="AB13" s="1"/>
      <c r="AC13" s="1"/>
    </row>
    <row r="14" spans="1:29" ht="15.6">
      <c r="A14" s="1"/>
      <c r="B14" s="1"/>
      <c r="C14" s="1"/>
      <c r="D14" s="1"/>
      <c r="E14" s="1"/>
      <c r="F14" s="1"/>
      <c r="G14" s="1"/>
      <c r="H14" s="92">
        <v>3</v>
      </c>
      <c r="I14" s="1136">
        <f t="shared" si="4"/>
        <v>0</v>
      </c>
      <c r="J14" s="1136">
        <f t="shared" si="5"/>
        <v>0</v>
      </c>
      <c r="K14" s="1136">
        <f t="shared" si="0"/>
        <v>0</v>
      </c>
      <c r="L14" s="1137">
        <f t="shared" si="6"/>
        <v>0.3</v>
      </c>
      <c r="M14" s="1138">
        <f t="shared" si="1"/>
        <v>0</v>
      </c>
      <c r="N14" s="1138">
        <v>2.5</v>
      </c>
      <c r="O14" s="1139" t="e">
        <f t="shared" si="2"/>
        <v>#DIV/0!</v>
      </c>
      <c r="P14" s="1140" t="e">
        <f t="shared" si="3"/>
        <v>#DIV/0!</v>
      </c>
      <c r="Q14" s="1"/>
      <c r="R14" s="1"/>
      <c r="S14" s="1"/>
      <c r="T14" s="1"/>
      <c r="U14" s="1"/>
      <c r="V14" s="1"/>
      <c r="W14" s="1"/>
      <c r="X14" s="1"/>
      <c r="Y14" s="1"/>
      <c r="Z14" s="1"/>
      <c r="AA14" s="1"/>
      <c r="AB14" s="1"/>
      <c r="AC14" s="1"/>
    </row>
    <row r="15" spans="1:29" ht="15.6">
      <c r="A15" s="1"/>
      <c r="B15" s="1"/>
      <c r="C15" s="1"/>
      <c r="D15" s="1"/>
      <c r="E15" s="1"/>
      <c r="F15" s="1"/>
      <c r="G15" s="1"/>
      <c r="H15" s="92">
        <v>4</v>
      </c>
      <c r="I15" s="1136">
        <f t="shared" si="4"/>
        <v>0</v>
      </c>
      <c r="J15" s="1136">
        <f t="shared" si="5"/>
        <v>0</v>
      </c>
      <c r="K15" s="1136">
        <f t="shared" si="0"/>
        <v>0</v>
      </c>
      <c r="L15" s="1137">
        <f t="shared" si="6"/>
        <v>0.3</v>
      </c>
      <c r="M15" s="1138">
        <f t="shared" si="1"/>
        <v>0</v>
      </c>
      <c r="N15" s="1138">
        <v>3.5</v>
      </c>
      <c r="O15" s="1139" t="e">
        <f t="shared" si="2"/>
        <v>#DIV/0!</v>
      </c>
      <c r="P15" s="1140" t="e">
        <f t="shared" si="3"/>
        <v>#DIV/0!</v>
      </c>
      <c r="Q15" s="1"/>
      <c r="R15" s="1"/>
      <c r="S15" s="1"/>
      <c r="T15" s="1"/>
      <c r="U15" s="1"/>
      <c r="V15" s="1"/>
      <c r="W15" s="1"/>
      <c r="X15" s="1"/>
      <c r="Y15" s="1"/>
      <c r="Z15" s="1"/>
      <c r="AA15" s="1"/>
      <c r="AB15" s="1"/>
      <c r="AC15" s="1"/>
    </row>
    <row r="16" spans="1:29" ht="15.6">
      <c r="A16" s="1"/>
      <c r="B16" s="1"/>
      <c r="C16" s="1"/>
      <c r="D16" s="1"/>
      <c r="E16" s="1"/>
      <c r="F16" s="1"/>
      <c r="G16" s="1"/>
      <c r="H16" s="92">
        <v>5</v>
      </c>
      <c r="I16" s="1136">
        <f t="shared" si="4"/>
        <v>0</v>
      </c>
      <c r="J16" s="1136">
        <f t="shared" si="5"/>
        <v>0</v>
      </c>
      <c r="K16" s="1136">
        <f t="shared" si="0"/>
        <v>0</v>
      </c>
      <c r="L16" s="1137">
        <f t="shared" si="6"/>
        <v>0.3</v>
      </c>
      <c r="M16" s="1138">
        <f t="shared" si="1"/>
        <v>0</v>
      </c>
      <c r="N16" s="1138">
        <v>4.5</v>
      </c>
      <c r="O16" s="1139" t="e">
        <f t="shared" si="2"/>
        <v>#DIV/0!</v>
      </c>
      <c r="P16" s="1140" t="e">
        <f t="shared" si="3"/>
        <v>#DIV/0!</v>
      </c>
      <c r="Q16" s="1"/>
      <c r="R16" s="1"/>
      <c r="S16" s="1"/>
      <c r="T16" s="1"/>
      <c r="U16" s="1"/>
      <c r="V16" s="1"/>
      <c r="W16" s="1"/>
      <c r="X16" s="1"/>
      <c r="Y16" s="1"/>
      <c r="Z16" s="1"/>
      <c r="AA16" s="1"/>
      <c r="AB16" s="1"/>
      <c r="AC16" s="1"/>
    </row>
    <row r="17" spans="1:29" ht="15.6">
      <c r="A17" s="1"/>
      <c r="B17" s="1"/>
      <c r="C17" s="1"/>
      <c r="D17" s="1"/>
      <c r="E17" s="1"/>
      <c r="F17" s="1"/>
      <c r="G17" s="1"/>
      <c r="H17" s="92">
        <v>6</v>
      </c>
      <c r="I17" s="1136">
        <f t="shared" si="4"/>
        <v>0</v>
      </c>
      <c r="J17" s="1136">
        <f t="shared" si="5"/>
        <v>0</v>
      </c>
      <c r="K17" s="1136">
        <f t="shared" si="0"/>
        <v>0</v>
      </c>
      <c r="L17" s="1137">
        <f t="shared" si="6"/>
        <v>0.3</v>
      </c>
      <c r="M17" s="1138">
        <f t="shared" si="1"/>
        <v>0</v>
      </c>
      <c r="N17" s="1138">
        <v>5.5</v>
      </c>
      <c r="O17" s="1139" t="e">
        <f t="shared" si="2"/>
        <v>#DIV/0!</v>
      </c>
      <c r="P17" s="1140" t="e">
        <f t="shared" si="3"/>
        <v>#DIV/0!</v>
      </c>
      <c r="Q17" s="1"/>
      <c r="R17" s="1"/>
      <c r="S17" s="1"/>
      <c r="T17" s="1"/>
      <c r="U17" s="1"/>
      <c r="V17" s="1"/>
      <c r="W17" s="1"/>
      <c r="X17" s="1"/>
      <c r="Y17" s="1"/>
      <c r="Z17" s="1"/>
      <c r="AA17" s="1"/>
      <c r="AB17" s="1"/>
      <c r="AC17" s="1"/>
    </row>
    <row r="18" spans="1:29" ht="15.6">
      <c r="A18" s="1"/>
      <c r="B18" s="1"/>
      <c r="C18" s="1"/>
      <c r="D18" s="1"/>
      <c r="E18" s="1"/>
      <c r="F18" s="1"/>
      <c r="G18" s="1"/>
      <c r="H18" s="92">
        <v>7</v>
      </c>
      <c r="I18" s="1136">
        <f t="shared" si="4"/>
        <v>0</v>
      </c>
      <c r="J18" s="1136">
        <f>-I12*(10%)</f>
        <v>0</v>
      </c>
      <c r="K18" s="1136">
        <f t="shared" si="0"/>
        <v>0</v>
      </c>
      <c r="L18" s="1137">
        <f t="shared" si="6"/>
        <v>0.3</v>
      </c>
      <c r="M18" s="1138">
        <f t="shared" si="1"/>
        <v>0</v>
      </c>
      <c r="N18" s="1138">
        <f>N17+(C9-6)</f>
        <v>6.166666666666667</v>
      </c>
      <c r="O18" s="1139" t="e">
        <f t="shared" si="2"/>
        <v>#DIV/0!</v>
      </c>
      <c r="P18" s="1140" t="e">
        <f t="shared" si="3"/>
        <v>#DIV/0!</v>
      </c>
      <c r="Q18" s="1"/>
      <c r="R18" s="1"/>
      <c r="S18" s="1"/>
      <c r="T18" s="1"/>
      <c r="U18" s="1"/>
      <c r="V18" s="1"/>
      <c r="W18" s="1"/>
      <c r="X18" s="1"/>
      <c r="Y18" s="1"/>
      <c r="Z18" s="1"/>
      <c r="AA18" s="1"/>
      <c r="AB18" s="1"/>
      <c r="AC18" s="1"/>
    </row>
    <row r="19" spans="1:29" ht="15.6">
      <c r="A19" s="1"/>
      <c r="B19" s="54"/>
      <c r="C19" s="39"/>
      <c r="D19" s="39"/>
      <c r="E19" s="1"/>
      <c r="F19" s="1"/>
      <c r="G19" s="1"/>
      <c r="H19" s="92"/>
      <c r="I19" s="1136"/>
      <c r="J19" s="1136"/>
      <c r="K19" s="1136"/>
      <c r="L19" s="1137"/>
      <c r="M19" s="1138"/>
      <c r="N19" s="1138"/>
      <c r="O19" s="1139"/>
      <c r="P19" s="1140"/>
      <c r="Q19" s="1"/>
      <c r="R19" s="1"/>
      <c r="S19" s="1"/>
      <c r="T19" s="1"/>
      <c r="U19" s="1"/>
      <c r="V19" s="1"/>
      <c r="W19" s="1"/>
      <c r="X19" s="1"/>
      <c r="Y19" s="1"/>
      <c r="Z19" s="1"/>
      <c r="AA19" s="1"/>
      <c r="AB19" s="1"/>
      <c r="AC19" s="1"/>
    </row>
    <row r="20" spans="1:29" ht="15.6">
      <c r="A20" s="1"/>
      <c r="B20" s="1"/>
      <c r="C20" s="39"/>
      <c r="D20" s="39"/>
      <c r="E20" s="1"/>
      <c r="F20" s="1"/>
      <c r="G20" s="1"/>
      <c r="H20" s="92"/>
      <c r="I20" s="1136"/>
      <c r="J20" s="1136"/>
      <c r="K20" s="1136"/>
      <c r="L20" s="1137"/>
      <c r="M20" s="1138"/>
      <c r="N20" s="1138"/>
      <c r="O20" s="1139"/>
      <c r="P20" s="1140"/>
      <c r="Q20" s="1"/>
      <c r="R20" s="1"/>
      <c r="S20" s="1"/>
      <c r="T20" s="1"/>
      <c r="U20" s="1"/>
      <c r="V20" s="1"/>
      <c r="W20" s="1"/>
      <c r="X20" s="1"/>
      <c r="Y20" s="1"/>
      <c r="Z20" s="1"/>
      <c r="AA20" s="1"/>
      <c r="AB20" s="1"/>
      <c r="AC20" s="1"/>
    </row>
    <row r="21" spans="1:29" ht="15.75" customHeight="1">
      <c r="A21" s="1"/>
      <c r="B21" s="1"/>
      <c r="C21" s="39"/>
      <c r="D21" s="39"/>
      <c r="E21" s="1"/>
      <c r="F21" s="1"/>
      <c r="G21" s="1"/>
      <c r="H21" s="92"/>
      <c r="I21" s="1136"/>
      <c r="J21" s="1136"/>
      <c r="K21" s="1136"/>
      <c r="L21" s="1137"/>
      <c r="M21" s="1138"/>
      <c r="N21" s="1138"/>
      <c r="O21" s="1139"/>
      <c r="P21" s="1140"/>
      <c r="Q21" s="1"/>
      <c r="R21" s="1"/>
      <c r="S21" s="1"/>
      <c r="T21" s="1"/>
      <c r="U21" s="1"/>
      <c r="V21" s="1"/>
      <c r="W21" s="1"/>
      <c r="X21" s="1"/>
      <c r="Y21" s="1"/>
      <c r="Z21" s="1"/>
      <c r="AA21" s="1"/>
      <c r="AB21" s="1"/>
      <c r="AC21" s="1"/>
    </row>
    <row r="22" spans="1:29" ht="15.75" customHeight="1">
      <c r="A22" s="1"/>
      <c r="B22" s="1"/>
      <c r="C22" s="39"/>
      <c r="D22" s="39"/>
      <c r="E22" s="1"/>
      <c r="F22" s="1"/>
      <c r="G22" s="1"/>
      <c r="H22" s="92"/>
      <c r="I22" s="1136"/>
      <c r="J22" s="1136"/>
      <c r="K22" s="1136"/>
      <c r="L22" s="1137"/>
      <c r="M22" s="1138"/>
      <c r="N22" s="1138"/>
      <c r="O22" s="1139"/>
      <c r="P22" s="1140"/>
      <c r="Q22" s="1"/>
      <c r="R22" s="1"/>
      <c r="S22" s="1"/>
      <c r="T22" s="1"/>
      <c r="U22" s="1"/>
      <c r="V22" s="1"/>
      <c r="W22" s="1"/>
      <c r="X22" s="1"/>
      <c r="Y22" s="1"/>
      <c r="Z22" s="1"/>
      <c r="AA22" s="1"/>
      <c r="AB22" s="1"/>
      <c r="AC22" s="1"/>
    </row>
    <row r="23" spans="1:29" ht="15.75" customHeight="1">
      <c r="A23" s="1"/>
      <c r="B23" s="1"/>
      <c r="C23" s="39"/>
      <c r="D23" s="39"/>
      <c r="E23" s="1"/>
      <c r="F23" s="1"/>
      <c r="G23" s="1"/>
      <c r="H23" s="92"/>
      <c r="I23" s="236"/>
      <c r="J23" s="236"/>
      <c r="K23" s="236"/>
      <c r="L23" s="236"/>
      <c r="M23" s="236"/>
      <c r="N23" s="236"/>
      <c r="O23" s="236"/>
      <c r="P23" s="92"/>
      <c r="Q23" s="1"/>
      <c r="R23" s="1"/>
      <c r="S23" s="1"/>
      <c r="T23" s="1"/>
      <c r="U23" s="1"/>
      <c r="V23" s="1"/>
      <c r="W23" s="1"/>
      <c r="X23" s="1"/>
      <c r="Y23" s="1"/>
      <c r="Z23" s="1"/>
      <c r="AA23" s="1"/>
      <c r="AB23" s="1"/>
      <c r="AC23" s="1"/>
    </row>
    <row r="24" spans="1:29" ht="15.75" customHeight="1">
      <c r="A24" s="1"/>
      <c r="B24" s="1"/>
      <c r="C24" s="39"/>
      <c r="D24" s="39"/>
      <c r="E24" s="1"/>
      <c r="F24" s="1"/>
      <c r="G24" s="1"/>
      <c r="H24" s="92"/>
      <c r="I24" s="236"/>
      <c r="J24" s="1141">
        <f>+SUM(J12:J22)</f>
        <v>0</v>
      </c>
      <c r="K24" s="236"/>
      <c r="L24" s="236"/>
      <c r="M24" s="1141">
        <f>+SUM(M12:M22)</f>
        <v>0</v>
      </c>
      <c r="N24" s="1142"/>
      <c r="O24" s="1142"/>
      <c r="P24" s="1141" t="e">
        <f>+SUM(P12:P22)</f>
        <v>#DIV/0!</v>
      </c>
      <c r="Q24" s="1"/>
      <c r="R24" s="1"/>
      <c r="S24" s="1"/>
      <c r="T24" s="1"/>
      <c r="U24" s="1"/>
      <c r="V24" s="1"/>
      <c r="W24" s="1"/>
      <c r="X24" s="1"/>
      <c r="Y24" s="1"/>
      <c r="Z24" s="1"/>
      <c r="AA24" s="1"/>
      <c r="AB24" s="1"/>
      <c r="AC24" s="1"/>
    </row>
    <row r="25" spans="1:29" ht="15.75" customHeight="1">
      <c r="A25" s="1"/>
      <c r="B25" s="1"/>
      <c r="C25" s="39"/>
      <c r="D25" s="39"/>
      <c r="E25" s="1"/>
      <c r="F25" s="1"/>
      <c r="G25" s="1"/>
      <c r="H25" s="92"/>
      <c r="I25" s="236"/>
      <c r="J25" s="300"/>
      <c r="K25" s="236"/>
      <c r="L25" s="236"/>
      <c r="M25" s="1143"/>
      <c r="N25" s="236"/>
      <c r="O25" s="236"/>
      <c r="P25" s="236"/>
      <c r="Q25" s="1"/>
      <c r="R25" s="1"/>
      <c r="S25" s="1"/>
      <c r="T25" s="1"/>
      <c r="U25" s="1"/>
      <c r="V25" s="1"/>
      <c r="W25" s="1"/>
      <c r="X25" s="1"/>
      <c r="Y25" s="1"/>
      <c r="Z25" s="1"/>
      <c r="AA25" s="1"/>
      <c r="AB25" s="1"/>
      <c r="AC25" s="1"/>
    </row>
    <row r="26" spans="1:29" ht="15.75" customHeight="1">
      <c r="A26" s="1"/>
      <c r="B26" s="1"/>
      <c r="C26" s="39"/>
      <c r="D26" s="39"/>
      <c r="E26" s="1"/>
      <c r="F26" s="1"/>
      <c r="G26" s="1"/>
      <c r="H26" s="1144" t="s">
        <v>660</v>
      </c>
      <c r="I26" s="236"/>
      <c r="J26" s="236"/>
      <c r="K26" s="236"/>
      <c r="L26" s="236"/>
      <c r="M26" s="236"/>
      <c r="N26" s="1144" t="s">
        <v>678</v>
      </c>
      <c r="O26" s="1145">
        <f>M5</f>
        <v>0</v>
      </c>
      <c r="P26" s="236"/>
      <c r="Q26" s="1"/>
      <c r="R26" s="1"/>
      <c r="S26" s="1"/>
      <c r="T26" s="1"/>
      <c r="U26" s="1"/>
      <c r="V26" s="1"/>
      <c r="W26" s="1"/>
      <c r="X26" s="1"/>
      <c r="Y26" s="1"/>
      <c r="Z26" s="1"/>
      <c r="AA26" s="1"/>
      <c r="AB26" s="1"/>
      <c r="AC26" s="1"/>
    </row>
    <row r="27" spans="1:29" ht="15.75" customHeight="1">
      <c r="A27" s="1"/>
      <c r="B27" s="1"/>
      <c r="C27" s="39"/>
      <c r="D27" s="39"/>
      <c r="E27" s="1"/>
      <c r="F27" s="1"/>
      <c r="G27" s="1"/>
      <c r="H27" s="1144" t="s">
        <v>676</v>
      </c>
      <c r="I27" s="236"/>
      <c r="J27" s="236"/>
      <c r="K27" s="236"/>
      <c r="L27" s="236"/>
      <c r="M27" s="236"/>
      <c r="N27" s="1144" t="s">
        <v>679</v>
      </c>
      <c r="O27" s="1145" t="e">
        <f>-P24</f>
        <v>#DIV/0!</v>
      </c>
      <c r="P27" s="236"/>
      <c r="Q27" s="1"/>
      <c r="R27" s="1"/>
      <c r="S27" s="1"/>
      <c r="T27" s="1"/>
      <c r="U27" s="1"/>
      <c r="V27" s="1"/>
      <c r="W27" s="1"/>
      <c r="X27" s="1"/>
      <c r="Y27" s="1"/>
      <c r="Z27" s="1"/>
      <c r="AA27" s="1"/>
      <c r="AB27" s="1"/>
      <c r="AC27" s="1"/>
    </row>
    <row r="28" spans="1:29" ht="15.75" customHeight="1">
      <c r="A28" s="1"/>
      <c r="B28" s="1"/>
      <c r="C28" s="39"/>
      <c r="D28" s="39"/>
      <c r="E28" s="1"/>
      <c r="F28" s="1"/>
      <c r="G28" s="1"/>
      <c r="H28" s="1144" t="s">
        <v>687</v>
      </c>
      <c r="I28" s="236"/>
      <c r="J28" s="236"/>
      <c r="K28" s="236"/>
      <c r="L28" s="236"/>
      <c r="M28" s="236"/>
      <c r="N28" s="1144" t="s">
        <v>38</v>
      </c>
      <c r="O28" s="1146" t="e">
        <f>+O27+O26</f>
        <v>#DIV/0!</v>
      </c>
      <c r="P28" s="236"/>
      <c r="Q28" s="1"/>
      <c r="R28" s="1"/>
      <c r="S28" s="1"/>
      <c r="T28" s="1"/>
      <c r="U28" s="1"/>
      <c r="V28" s="1"/>
      <c r="W28" s="1"/>
      <c r="X28" s="1"/>
      <c r="Y28" s="1"/>
      <c r="Z28" s="1"/>
      <c r="AA28" s="1"/>
      <c r="AB28" s="1"/>
      <c r="AC28" s="1"/>
    </row>
    <row r="29" spans="1:29" ht="15.75" customHeight="1">
      <c r="A29" s="1"/>
      <c r="B29" s="1"/>
      <c r="C29" s="39"/>
      <c r="D29" s="39"/>
      <c r="E29" s="1"/>
      <c r="F29" s="1"/>
      <c r="G29" s="1"/>
      <c r="H29" s="1144"/>
      <c r="I29" s="236"/>
      <c r="J29" s="236"/>
      <c r="K29" s="236"/>
      <c r="L29" s="236"/>
      <c r="M29" s="236"/>
      <c r="N29" s="1144"/>
      <c r="O29" s="1145"/>
      <c r="P29" s="236"/>
      <c r="Q29" s="1"/>
      <c r="R29" s="1"/>
      <c r="S29" s="1"/>
      <c r="T29" s="1"/>
      <c r="U29" s="1"/>
      <c r="V29" s="1"/>
      <c r="W29" s="1"/>
      <c r="X29" s="1"/>
      <c r="Y29" s="1"/>
      <c r="Z29" s="1"/>
      <c r="AA29" s="1"/>
      <c r="AB29" s="1"/>
      <c r="AC29" s="1"/>
    </row>
    <row r="30" spans="1:29" ht="15.75" customHeight="1">
      <c r="A30" s="1"/>
      <c r="B30" s="1"/>
      <c r="C30" s="39"/>
      <c r="D30" s="39"/>
      <c r="E30" s="1"/>
      <c r="F30" s="1"/>
      <c r="G30" s="1"/>
      <c r="H30" s="1144" t="s">
        <v>688</v>
      </c>
      <c r="I30" s="236"/>
      <c r="J30" s="236"/>
      <c r="K30" s="236"/>
      <c r="L30" s="236"/>
      <c r="M30" s="236"/>
      <c r="N30" s="1144" t="s">
        <v>689</v>
      </c>
      <c r="O30" s="1147" t="e">
        <f>O28/O26</f>
        <v>#DIV/0!</v>
      </c>
      <c r="P30" s="236"/>
      <c r="Q30" s="1"/>
      <c r="R30" s="1"/>
      <c r="S30" s="1"/>
      <c r="T30" s="1"/>
      <c r="U30" s="1"/>
      <c r="V30" s="1"/>
      <c r="W30" s="1"/>
      <c r="X30" s="1"/>
      <c r="Y30" s="1"/>
      <c r="Z30" s="1"/>
      <c r="AA30" s="1"/>
      <c r="AB30" s="1"/>
      <c r="AC30" s="1"/>
    </row>
    <row r="31" spans="1:29" ht="15.75" customHeight="1">
      <c r="A31" s="1"/>
      <c r="B31" s="1"/>
      <c r="C31" s="39"/>
      <c r="D31" s="39"/>
      <c r="E31" s="1"/>
      <c r="F31" s="1"/>
      <c r="G31" s="1"/>
      <c r="H31" s="92"/>
      <c r="I31" s="1"/>
      <c r="J31" s="1"/>
      <c r="K31" s="1"/>
      <c r="L31" s="1"/>
      <c r="M31" s="1"/>
      <c r="N31" s="1"/>
      <c r="O31" s="1"/>
      <c r="P31" s="1"/>
      <c r="Q31" s="1"/>
      <c r="R31" s="1"/>
      <c r="S31" s="1"/>
      <c r="T31" s="1"/>
      <c r="U31" s="1"/>
      <c r="V31" s="1"/>
      <c r="W31" s="1"/>
      <c r="X31" s="1"/>
      <c r="Y31" s="1"/>
      <c r="Z31" s="1"/>
      <c r="AA31" s="1"/>
      <c r="AB31" s="1"/>
      <c r="AC31" s="1"/>
    </row>
    <row r="32" spans="1:29" ht="15.75" customHeight="1">
      <c r="A32" s="1"/>
      <c r="B32" s="1"/>
      <c r="C32" s="39"/>
      <c r="D32" s="39"/>
      <c r="E32" s="1"/>
      <c r="F32" s="1"/>
      <c r="G32" s="1"/>
      <c r="H32" s="236"/>
      <c r="I32" s="1"/>
      <c r="J32" s="1"/>
      <c r="K32" s="1"/>
      <c r="L32" s="1"/>
      <c r="M32" s="1"/>
      <c r="N32" s="1"/>
      <c r="O32" s="1"/>
      <c r="P32" s="1"/>
      <c r="Q32" s="1"/>
      <c r="R32" s="1"/>
      <c r="S32" s="1"/>
      <c r="T32" s="1"/>
      <c r="U32" s="1"/>
      <c r="V32" s="1"/>
      <c r="W32" s="1"/>
      <c r="X32" s="1"/>
      <c r="Y32" s="1"/>
      <c r="Z32" s="1"/>
      <c r="AA32" s="1"/>
      <c r="AB32" s="1"/>
      <c r="AC32" s="1"/>
    </row>
    <row r="33" spans="1:29" ht="15.75" customHeight="1">
      <c r="A33" s="1"/>
      <c r="B33" s="1"/>
      <c r="C33" s="39"/>
      <c r="D33" s="39"/>
      <c r="E33" s="1"/>
      <c r="F33" s="1"/>
      <c r="G33" s="1"/>
      <c r="H33" s="236"/>
      <c r="I33" s="1"/>
      <c r="J33" s="1"/>
      <c r="K33" s="1"/>
      <c r="L33" s="1"/>
      <c r="M33" s="1"/>
      <c r="N33" s="1"/>
      <c r="O33" s="1"/>
      <c r="P33" s="1"/>
      <c r="Q33" s="1"/>
      <c r="R33" s="1"/>
      <c r="S33" s="1"/>
      <c r="T33" s="1"/>
      <c r="U33" s="1"/>
      <c r="V33" s="1"/>
      <c r="W33" s="1"/>
      <c r="X33" s="1"/>
      <c r="Y33" s="1"/>
      <c r="Z33" s="1"/>
      <c r="AA33" s="1"/>
      <c r="AB33" s="1"/>
      <c r="AC33" s="1"/>
    </row>
    <row r="34" spans="1:29" ht="15.75" customHeight="1">
      <c r="A34" s="1"/>
      <c r="B34" s="1"/>
      <c r="C34" s="39"/>
      <c r="D34" s="39"/>
      <c r="E34" s="1"/>
      <c r="F34" s="1"/>
      <c r="G34" s="1"/>
      <c r="H34" s="236"/>
      <c r="I34" s="1"/>
      <c r="J34" s="1"/>
      <c r="K34" s="1"/>
      <c r="L34" s="1"/>
      <c r="M34" s="1"/>
      <c r="N34" s="1"/>
      <c r="O34" s="1"/>
      <c r="P34" s="1"/>
      <c r="Q34" s="1"/>
      <c r="R34" s="1"/>
      <c r="S34" s="1"/>
      <c r="T34" s="1"/>
      <c r="U34" s="1"/>
      <c r="V34" s="1"/>
      <c r="W34" s="1"/>
      <c r="X34" s="1"/>
      <c r="Y34" s="1"/>
      <c r="Z34" s="1"/>
      <c r="AA34" s="1"/>
      <c r="AB34" s="1"/>
      <c r="AC34" s="1"/>
    </row>
    <row r="35" spans="1:29" ht="15.75" customHeight="1">
      <c r="A35" s="1"/>
      <c r="B35" s="1"/>
      <c r="C35" s="39"/>
      <c r="D35" s="39"/>
      <c r="E35" s="1"/>
      <c r="F35" s="1"/>
      <c r="G35" s="1"/>
      <c r="H35" s="1"/>
      <c r="I35" s="1"/>
      <c r="J35" s="1"/>
      <c r="K35" s="1"/>
      <c r="L35" s="1"/>
      <c r="M35" s="1"/>
      <c r="N35" s="1"/>
      <c r="O35" s="1"/>
      <c r="P35" s="1"/>
      <c r="Q35" s="1"/>
      <c r="R35" s="1"/>
      <c r="S35" s="1"/>
      <c r="T35" s="1"/>
      <c r="U35" s="1"/>
      <c r="V35" s="1"/>
      <c r="W35" s="1"/>
      <c r="X35" s="1"/>
      <c r="Y35" s="1"/>
      <c r="Z35" s="1"/>
      <c r="AA35" s="1"/>
      <c r="AB35" s="1"/>
      <c r="AC35" s="1"/>
    </row>
    <row r="36" spans="1:29" ht="15.75" customHeight="1">
      <c r="A36" s="1"/>
      <c r="B36" s="1"/>
      <c r="C36" s="39"/>
      <c r="D36" s="39"/>
      <c r="E36" s="1"/>
      <c r="F36" s="1"/>
      <c r="G36" s="1"/>
      <c r="H36" s="1"/>
      <c r="I36" s="1"/>
      <c r="J36" s="1"/>
      <c r="K36" s="1"/>
      <c r="L36" s="1"/>
      <c r="M36" s="1"/>
      <c r="N36" s="1"/>
      <c r="O36" s="1"/>
      <c r="P36" s="1"/>
      <c r="Q36" s="1"/>
      <c r="R36" s="1"/>
      <c r="S36" s="1"/>
      <c r="T36" s="1"/>
      <c r="U36" s="1"/>
      <c r="V36" s="1"/>
      <c r="W36" s="1"/>
      <c r="X36" s="1"/>
      <c r="Y36" s="1"/>
      <c r="Z36" s="1"/>
      <c r="AA36" s="1"/>
      <c r="AB36" s="1"/>
      <c r="AC36" s="1"/>
    </row>
    <row r="37" spans="1:29" ht="15.75" customHeight="1">
      <c r="A37" s="1"/>
      <c r="B37" s="1"/>
      <c r="C37" s="39"/>
      <c r="D37" s="39"/>
      <c r="E37" s="1"/>
      <c r="F37" s="1"/>
      <c r="G37" s="1"/>
      <c r="H37" s="1"/>
      <c r="I37" s="1"/>
      <c r="J37" s="1"/>
      <c r="K37" s="1"/>
      <c r="L37" s="1"/>
      <c r="M37" s="1"/>
      <c r="N37" s="1"/>
      <c r="O37" s="1"/>
      <c r="P37" s="1"/>
      <c r="Q37" s="1"/>
      <c r="R37" s="1"/>
      <c r="S37" s="1"/>
      <c r="T37" s="1"/>
      <c r="U37" s="1"/>
      <c r="V37" s="1"/>
      <c r="W37" s="1"/>
      <c r="X37" s="1"/>
      <c r="Y37" s="1"/>
      <c r="Z37" s="1"/>
      <c r="AA37" s="1"/>
      <c r="AB37" s="1"/>
      <c r="AC37" s="1"/>
    </row>
    <row r="38" spans="1:29" ht="15.75" customHeight="1">
      <c r="A38" s="1"/>
      <c r="B38" s="1"/>
      <c r="C38" s="39"/>
      <c r="D38" s="39"/>
      <c r="E38" s="1"/>
      <c r="F38" s="1"/>
      <c r="G38" s="1"/>
      <c r="H38" s="1"/>
      <c r="I38" s="1"/>
      <c r="J38" s="1"/>
      <c r="K38" s="1"/>
      <c r="L38" s="1"/>
      <c r="M38" s="1"/>
      <c r="N38" s="1"/>
      <c r="O38" s="1"/>
      <c r="P38" s="1"/>
      <c r="Q38" s="1"/>
      <c r="R38" s="1"/>
      <c r="S38" s="1"/>
      <c r="T38" s="1"/>
      <c r="U38" s="1"/>
      <c r="V38" s="1"/>
      <c r="W38" s="1"/>
      <c r="X38" s="1"/>
      <c r="Y38" s="1"/>
      <c r="Z38" s="1"/>
      <c r="AA38" s="1"/>
      <c r="AB38" s="1"/>
      <c r="AC38" s="1"/>
    </row>
    <row r="39" spans="1:29" ht="15.75" customHeight="1">
      <c r="A39" s="1"/>
      <c r="B39" s="1"/>
      <c r="C39" s="39"/>
      <c r="D39" s="39"/>
      <c r="E39" s="1"/>
      <c r="F39" s="1"/>
      <c r="G39" s="1"/>
      <c r="H39" s="1"/>
      <c r="I39" s="1"/>
      <c r="J39" s="1"/>
      <c r="K39" s="1"/>
      <c r="L39" s="1"/>
      <c r="M39" s="1"/>
      <c r="N39" s="1"/>
      <c r="O39" s="1"/>
      <c r="P39" s="1"/>
      <c r="Q39" s="1"/>
      <c r="R39" s="1"/>
      <c r="S39" s="1"/>
      <c r="T39" s="1"/>
      <c r="U39" s="1"/>
      <c r="V39" s="1"/>
      <c r="W39" s="1"/>
      <c r="X39" s="1"/>
      <c r="Y39" s="1"/>
      <c r="Z39" s="1"/>
      <c r="AA39" s="1"/>
      <c r="AB39" s="1"/>
      <c r="AC39" s="1"/>
    </row>
    <row r="40" spans="1:29" ht="15.75" customHeight="1">
      <c r="A40" s="1"/>
      <c r="B40" s="1"/>
      <c r="C40" s="39"/>
      <c r="D40" s="39"/>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c r="A41" s="1"/>
      <c r="B41" s="1"/>
      <c r="C41" s="39"/>
      <c r="D41" s="39"/>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c r="A42" s="1"/>
      <c r="B42" s="1"/>
      <c r="C42" s="39"/>
      <c r="D42" s="39"/>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c r="A43" s="1"/>
      <c r="B43" s="1"/>
      <c r="C43" s="39"/>
      <c r="D43" s="39"/>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c r="A44" s="1"/>
      <c r="B44" s="1"/>
      <c r="C44" s="39"/>
      <c r="D44" s="39"/>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c r="A45" s="1"/>
      <c r="B45" s="1"/>
      <c r="C45" s="39"/>
      <c r="D45" s="39"/>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c r="A46" s="1"/>
      <c r="B46" s="1"/>
      <c r="C46" s="39"/>
      <c r="D46" s="39"/>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c r="A47" s="1"/>
      <c r="B47" s="1"/>
      <c r="C47" s="39"/>
      <c r="D47" s="39"/>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c r="A48" s="1"/>
      <c r="B48" s="1"/>
      <c r="C48" s="39"/>
      <c r="D48" s="39"/>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c r="A49" s="1"/>
      <c r="B49" s="1"/>
      <c r="C49" s="39"/>
      <c r="D49" s="39"/>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c r="A50" s="1"/>
      <c r="B50" s="1"/>
      <c r="C50" s="39"/>
      <c r="D50" s="39"/>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c r="A51" s="1"/>
      <c r="B51" s="1"/>
      <c r="C51" s="39"/>
      <c r="D51" s="39"/>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c r="A52" s="1"/>
      <c r="B52" s="1"/>
      <c r="C52" s="39"/>
      <c r="D52" s="39"/>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c r="A53" s="1"/>
      <c r="B53" s="1"/>
      <c r="C53" s="39"/>
      <c r="D53" s="39"/>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c r="A54" s="1"/>
      <c r="B54" s="1"/>
      <c r="C54" s="39"/>
      <c r="D54" s="39"/>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c r="A55" s="1"/>
      <c r="B55" s="1"/>
      <c r="C55" s="39"/>
      <c r="D55" s="39"/>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c r="A56" s="1"/>
      <c r="B56" s="1"/>
      <c r="C56" s="39"/>
      <c r="D56" s="39"/>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c r="A57" s="1"/>
      <c r="B57" s="1"/>
      <c r="C57" s="39"/>
      <c r="D57" s="39"/>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c r="A58" s="1"/>
      <c r="B58" s="1"/>
      <c r="C58" s="39"/>
      <c r="D58" s="39"/>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c r="A59" s="1"/>
      <c r="B59" s="1"/>
      <c r="C59" s="39"/>
      <c r="D59" s="39"/>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c r="A60" s="1"/>
      <c r="B60" s="1"/>
      <c r="C60" s="39"/>
      <c r="D60" s="39"/>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c r="A61" s="1"/>
      <c r="B61" s="1"/>
      <c r="C61" s="39"/>
      <c r="D61" s="39"/>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c r="A62" s="1"/>
      <c r="B62" s="1"/>
      <c r="C62" s="39"/>
      <c r="D62" s="39"/>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c r="A63" s="1"/>
      <c r="B63" s="1"/>
      <c r="C63" s="39"/>
      <c r="D63" s="39"/>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c r="A64" s="1"/>
      <c r="B64" s="1"/>
      <c r="C64" s="39"/>
      <c r="D64" s="39"/>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c r="A65" s="1"/>
      <c r="B65" s="1"/>
      <c r="C65" s="39"/>
      <c r="D65" s="39"/>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c r="A66" s="1"/>
      <c r="B66" s="1"/>
      <c r="C66" s="39"/>
      <c r="D66" s="39"/>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c r="A67" s="1"/>
      <c r="B67" s="1"/>
      <c r="C67" s="39"/>
      <c r="D67" s="39"/>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c r="A68" s="1"/>
      <c r="B68" s="1"/>
      <c r="C68" s="39"/>
      <c r="D68" s="39"/>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c r="A69" s="1"/>
      <c r="B69" s="1"/>
      <c r="C69" s="39"/>
      <c r="D69" s="39"/>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c r="A70" s="1"/>
      <c r="B70" s="1"/>
      <c r="C70" s="39"/>
      <c r="D70" s="39"/>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c r="A71" s="1"/>
      <c r="B71" s="1"/>
      <c r="C71" s="39"/>
      <c r="D71" s="39"/>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c r="A72" s="1"/>
      <c r="B72" s="1"/>
      <c r="C72" s="39"/>
      <c r="D72" s="39"/>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c r="A73" s="1"/>
      <c r="B73" s="1"/>
      <c r="C73" s="39"/>
      <c r="D73" s="39"/>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c r="A74" s="1"/>
      <c r="B74" s="1"/>
      <c r="C74" s="39"/>
      <c r="D74" s="39"/>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c r="A75" s="1"/>
      <c r="B75" s="1"/>
      <c r="C75" s="39"/>
      <c r="D75" s="39"/>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c r="A76" s="1"/>
      <c r="B76" s="1"/>
      <c r="C76" s="39"/>
      <c r="D76" s="39"/>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c r="A77" s="1"/>
      <c r="B77" s="1"/>
      <c r="C77" s="39"/>
      <c r="D77" s="39"/>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c r="A78" s="1"/>
      <c r="B78" s="1"/>
      <c r="C78" s="39"/>
      <c r="D78" s="39"/>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c r="A79" s="1"/>
      <c r="B79" s="1"/>
      <c r="C79" s="39"/>
      <c r="D79" s="39"/>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c r="A80" s="1"/>
      <c r="B80" s="1"/>
      <c r="C80" s="39"/>
      <c r="D80" s="39"/>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c r="A81" s="1"/>
      <c r="B81" s="1"/>
      <c r="C81" s="39"/>
      <c r="D81" s="39"/>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c r="A82" s="1"/>
      <c r="B82" s="1"/>
      <c r="C82" s="39"/>
      <c r="D82" s="39"/>
      <c r="E82" s="1"/>
      <c r="F82" s="1"/>
      <c r="G82" s="1"/>
      <c r="H82" s="1"/>
      <c r="I82" s="1"/>
      <c r="J82" s="1"/>
      <c r="K82" s="1148"/>
      <c r="L82" s="1"/>
      <c r="M82" s="1"/>
      <c r="N82" s="1"/>
      <c r="O82" s="1"/>
      <c r="P82" s="1"/>
      <c r="Q82" s="1"/>
      <c r="R82" s="1"/>
      <c r="S82" s="1"/>
      <c r="T82" s="1"/>
      <c r="U82" s="1"/>
      <c r="V82" s="1"/>
      <c r="W82" s="1"/>
      <c r="X82" s="1"/>
      <c r="Y82" s="1"/>
      <c r="Z82" s="1"/>
      <c r="AA82" s="1"/>
      <c r="AB82" s="1"/>
      <c r="AC82" s="1"/>
    </row>
    <row r="83" spans="1:29" ht="15.75" customHeight="1">
      <c r="A83" s="1"/>
      <c r="B83" s="1"/>
      <c r="C83" s="39"/>
      <c r="D83" s="39"/>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c r="A84" s="1"/>
      <c r="B84" s="1"/>
      <c r="C84" s="39"/>
      <c r="D84" s="39"/>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c r="A85" s="1"/>
      <c r="B85" s="1"/>
      <c r="C85" s="39"/>
      <c r="D85" s="39"/>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c r="A86" s="1"/>
      <c r="B86" s="1"/>
      <c r="C86" s="39"/>
      <c r="D86" s="39"/>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c r="A87" s="1"/>
      <c r="B87" s="1"/>
      <c r="C87" s="39"/>
      <c r="D87" s="39"/>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c r="A88" s="1"/>
      <c r="B88" s="1"/>
      <c r="C88" s="39"/>
      <c r="D88" s="39"/>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c r="A89" s="1"/>
      <c r="B89" s="1"/>
      <c r="C89" s="39"/>
      <c r="D89" s="39"/>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c r="A90" s="1"/>
      <c r="B90" s="1"/>
      <c r="C90" s="39"/>
      <c r="D90" s="39"/>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c r="A91" s="1"/>
      <c r="B91" s="1"/>
      <c r="C91" s="39"/>
      <c r="D91" s="39"/>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c r="A92" s="1"/>
      <c r="B92" s="1"/>
      <c r="C92" s="39"/>
      <c r="D92" s="39"/>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c r="A93" s="1"/>
      <c r="B93" s="1"/>
      <c r="C93" s="39"/>
      <c r="D93" s="39"/>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c r="A94" s="1"/>
      <c r="B94" s="1"/>
      <c r="C94" s="39"/>
      <c r="D94" s="39"/>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c r="A95" s="1"/>
      <c r="B95" s="1"/>
      <c r="C95" s="39"/>
      <c r="D95" s="39"/>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c r="A96" s="1"/>
      <c r="B96" s="1"/>
      <c r="C96" s="39"/>
      <c r="D96" s="39"/>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c r="A97" s="1"/>
      <c r="B97" s="1"/>
      <c r="C97" s="39"/>
      <c r="D97" s="39"/>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c r="A98" s="1"/>
      <c r="B98" s="1"/>
      <c r="C98" s="39"/>
      <c r="D98" s="39"/>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c r="A99" s="1"/>
      <c r="B99" s="1"/>
      <c r="C99" s="39"/>
      <c r="D99" s="39"/>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c r="A100" s="1"/>
      <c r="B100" s="1"/>
      <c r="C100" s="39"/>
      <c r="D100" s="39"/>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c r="A101" s="1"/>
      <c r="B101" s="1"/>
      <c r="C101" s="39"/>
      <c r="D101" s="39"/>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c r="A102" s="1"/>
      <c r="B102" s="1"/>
      <c r="C102" s="39"/>
      <c r="D102" s="39"/>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c r="A103" s="1"/>
      <c r="B103" s="1"/>
      <c r="C103" s="39"/>
      <c r="D103" s="39"/>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c r="A104" s="1"/>
      <c r="B104" s="1"/>
      <c r="C104" s="39"/>
      <c r="D104" s="39"/>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c r="A105" s="1"/>
      <c r="B105" s="1"/>
      <c r="C105" s="39"/>
      <c r="D105" s="39"/>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c r="A106" s="1"/>
      <c r="B106" s="1"/>
      <c r="C106" s="39"/>
      <c r="D106" s="39"/>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c r="A107" s="1"/>
      <c r="B107" s="1"/>
      <c r="C107" s="39"/>
      <c r="D107" s="39"/>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c r="A108" s="1"/>
      <c r="B108" s="1"/>
      <c r="C108" s="39"/>
      <c r="D108" s="39"/>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c r="A109" s="1"/>
      <c r="B109" s="1"/>
      <c r="C109" s="39"/>
      <c r="D109" s="39"/>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c r="A110" s="1"/>
      <c r="B110" s="1"/>
      <c r="C110" s="39"/>
      <c r="D110" s="39"/>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c r="A111" s="1"/>
      <c r="B111" s="1"/>
      <c r="C111" s="39"/>
      <c r="D111" s="39"/>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c r="A112" s="1"/>
      <c r="B112" s="1"/>
      <c r="C112" s="39"/>
      <c r="D112" s="39"/>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c r="A113" s="1"/>
      <c r="B113" s="1"/>
      <c r="C113" s="39"/>
      <c r="D113" s="39"/>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c r="A114" s="1"/>
      <c r="B114" s="1"/>
      <c r="C114" s="39"/>
      <c r="D114" s="39"/>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c r="A115" s="1"/>
      <c r="B115" s="1"/>
      <c r="C115" s="39"/>
      <c r="D115" s="39"/>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c r="A116" s="1"/>
      <c r="B116" s="1"/>
      <c r="C116" s="39"/>
      <c r="D116" s="39"/>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c r="A117" s="1"/>
      <c r="B117" s="1"/>
      <c r="C117" s="39"/>
      <c r="D117" s="39"/>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c r="A118" s="1"/>
      <c r="B118" s="1"/>
      <c r="C118" s="39"/>
      <c r="D118" s="39"/>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customHeight="1">
      <c r="A119" s="1"/>
      <c r="B119" s="1"/>
      <c r="C119" s="39"/>
      <c r="D119" s="39"/>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customHeight="1">
      <c r="A120" s="1"/>
      <c r="B120" s="1"/>
      <c r="C120" s="39"/>
      <c r="D120" s="39"/>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customHeight="1">
      <c r="A121" s="1"/>
      <c r="B121" s="1"/>
      <c r="C121" s="39"/>
      <c r="D121" s="39"/>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c r="A122" s="1"/>
      <c r="B122" s="1"/>
      <c r="C122" s="39"/>
      <c r="D122" s="39"/>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c r="A123" s="1"/>
      <c r="B123" s="1"/>
      <c r="C123" s="39"/>
      <c r="D123" s="39"/>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c r="A124" s="1"/>
      <c r="B124" s="1"/>
      <c r="C124" s="39"/>
      <c r="D124" s="39"/>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c r="A125" s="1"/>
      <c r="B125" s="1"/>
      <c r="C125" s="39"/>
      <c r="D125" s="39"/>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c r="A126" s="1"/>
      <c r="B126" s="1"/>
      <c r="C126" s="39"/>
      <c r="D126" s="39"/>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c r="A127" s="1"/>
      <c r="B127" s="1"/>
      <c r="C127" s="39"/>
      <c r="D127" s="39"/>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c r="A128" s="1"/>
      <c r="B128" s="1"/>
      <c r="C128" s="39"/>
      <c r="D128" s="39"/>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c r="A129" s="1"/>
      <c r="B129" s="1"/>
      <c r="C129" s="39"/>
      <c r="D129" s="39"/>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c r="A130" s="1"/>
      <c r="B130" s="1"/>
      <c r="C130" s="39"/>
      <c r="D130" s="39"/>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c r="A131" s="1"/>
      <c r="B131" s="1"/>
      <c r="C131" s="39"/>
      <c r="D131" s="39"/>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c r="A132" s="1"/>
      <c r="B132" s="1"/>
      <c r="C132" s="39"/>
      <c r="D132" s="39"/>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c r="A133" s="1"/>
      <c r="B133" s="1"/>
      <c r="C133" s="39"/>
      <c r="D133" s="39"/>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c r="A134" s="1"/>
      <c r="B134" s="1"/>
      <c r="C134" s="39"/>
      <c r="D134" s="39"/>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c r="A135" s="1"/>
      <c r="B135" s="1"/>
      <c r="C135" s="39"/>
      <c r="D135" s="39"/>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c r="A136" s="1"/>
      <c r="B136" s="1"/>
      <c r="C136" s="39"/>
      <c r="D136" s="39"/>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15.75" customHeight="1"/>
    <row r="232" spans="1:29" ht="15.75" customHeight="1"/>
    <row r="233" spans="1:29" ht="15.75" customHeight="1"/>
    <row r="234" spans="1:29" ht="15.75" customHeight="1"/>
    <row r="235" spans="1:29" ht="15.75" customHeight="1"/>
    <row r="236" spans="1:29" ht="15.75" customHeight="1"/>
    <row r="237" spans="1:29" ht="15.75" customHeight="1"/>
    <row r="238" spans="1:29" ht="15.75" customHeight="1"/>
    <row r="239" spans="1:29" ht="15.75" customHeight="1"/>
    <row r="240" spans="1:29"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M1" xr:uid="{00000000-0002-0000-1400-000000000000}">
      <formula1>#REF!</formula1>
    </dataValidation>
  </dataValidations>
  <pageMargins left="0.7" right="0.7" top="0.75" bottom="0.75" header="0" footer="0"/>
  <pageSetup orientation="landscape"/>
  <drawing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filterMode="1"/>
  <dimension ref="A1:Z1000"/>
  <sheetViews>
    <sheetView workbookViewId="0"/>
  </sheetViews>
  <sheetFormatPr baseColWidth="10" defaultColWidth="14.44140625" defaultRowHeight="15" customHeight="1"/>
  <cols>
    <col min="1" max="1" width="37.88671875" customWidth="1"/>
    <col min="2" max="2" width="20.109375" customWidth="1"/>
    <col min="3" max="3" width="21.44140625" customWidth="1"/>
    <col min="4" max="4" width="39.44140625" customWidth="1"/>
    <col min="5" max="5" width="28.109375" customWidth="1"/>
    <col min="6" max="6" width="28.6640625" customWidth="1"/>
    <col min="7" max="10" width="11.44140625" customWidth="1"/>
    <col min="11" max="26" width="10.6640625" customWidth="1"/>
  </cols>
  <sheetData>
    <row r="1" spans="1:26" ht="15.75" customHeight="1">
      <c r="A1" s="986" t="s">
        <v>69</v>
      </c>
      <c r="B1" s="1362">
        <v>45662</v>
      </c>
      <c r="C1" s="1363"/>
      <c r="D1" s="1363"/>
      <c r="E1" s="1363"/>
      <c r="F1" s="1363"/>
      <c r="G1" s="1368"/>
      <c r="H1" s="92"/>
      <c r="I1" s="92"/>
      <c r="J1" s="92"/>
      <c r="K1" s="92"/>
      <c r="L1" s="92"/>
      <c r="M1" s="92"/>
      <c r="N1" s="92"/>
      <c r="O1" s="92"/>
      <c r="P1" s="92"/>
      <c r="Q1" s="92"/>
      <c r="R1" s="92"/>
      <c r="S1" s="92"/>
      <c r="T1" s="92"/>
      <c r="U1" s="92"/>
      <c r="V1" s="92"/>
      <c r="W1" s="92"/>
      <c r="X1" s="92"/>
      <c r="Y1" s="92"/>
      <c r="Z1" s="92"/>
    </row>
    <row r="2" spans="1:26" ht="15.75" customHeight="1">
      <c r="A2" s="200" t="s">
        <v>72</v>
      </c>
      <c r="B2" s="1369" t="s">
        <v>73</v>
      </c>
      <c r="C2" s="1339"/>
      <c r="D2" s="1339"/>
      <c r="E2" s="1339"/>
      <c r="F2" s="1339"/>
      <c r="G2" s="1387"/>
      <c r="H2" s="92"/>
      <c r="I2" s="92"/>
      <c r="J2" s="92"/>
      <c r="K2" s="92"/>
      <c r="L2" s="92"/>
      <c r="M2" s="92"/>
      <c r="N2" s="92"/>
      <c r="O2" s="92"/>
      <c r="P2" s="92"/>
      <c r="Q2" s="92"/>
      <c r="R2" s="92"/>
      <c r="S2" s="92"/>
      <c r="T2" s="92"/>
      <c r="U2" s="92"/>
      <c r="V2" s="92"/>
      <c r="W2" s="92"/>
      <c r="X2" s="92"/>
      <c r="Y2" s="92"/>
      <c r="Z2" s="92"/>
    </row>
    <row r="3" spans="1:26" ht="15.75" customHeight="1">
      <c r="A3" s="200" t="s">
        <v>75</v>
      </c>
      <c r="B3" s="1375" t="s">
        <v>690</v>
      </c>
      <c r="C3" s="1339"/>
      <c r="D3" s="1339"/>
      <c r="E3" s="1340"/>
      <c r="F3" s="1375" t="s">
        <v>245</v>
      </c>
      <c r="G3" s="1387"/>
      <c r="H3" s="84"/>
      <c r="I3" s="84"/>
      <c r="J3" s="84"/>
      <c r="K3" s="92"/>
      <c r="L3" s="92"/>
      <c r="M3" s="92"/>
      <c r="N3" s="92"/>
      <c r="O3" s="92"/>
      <c r="P3" s="92"/>
      <c r="Q3" s="92"/>
      <c r="R3" s="92"/>
      <c r="S3" s="92"/>
      <c r="T3" s="92"/>
      <c r="U3" s="92"/>
      <c r="V3" s="92"/>
      <c r="W3" s="92"/>
      <c r="X3" s="92"/>
      <c r="Y3" s="92"/>
      <c r="Z3" s="92"/>
    </row>
    <row r="4" spans="1:26" ht="15.75" customHeight="1">
      <c r="A4" s="200" t="s">
        <v>78</v>
      </c>
      <c r="B4" s="1376" t="s">
        <v>79</v>
      </c>
      <c r="C4" s="1339"/>
      <c r="D4" s="1339"/>
      <c r="E4" s="1339"/>
      <c r="F4" s="1339"/>
      <c r="G4" s="1387"/>
      <c r="H4" s="92"/>
      <c r="I4" s="92"/>
      <c r="J4" s="92"/>
      <c r="K4" s="92"/>
      <c r="L4" s="92"/>
      <c r="M4" s="92"/>
      <c r="N4" s="92"/>
      <c r="O4" s="92"/>
      <c r="P4" s="92"/>
      <c r="Q4" s="92"/>
      <c r="R4" s="92"/>
      <c r="S4" s="92"/>
      <c r="T4" s="92"/>
      <c r="U4" s="92"/>
      <c r="V4" s="92"/>
      <c r="W4" s="92"/>
      <c r="X4" s="92"/>
      <c r="Y4" s="92"/>
      <c r="Z4" s="92"/>
    </row>
    <row r="5" spans="1:26" ht="15.75" customHeight="1">
      <c r="A5" s="200" t="s">
        <v>80</v>
      </c>
      <c r="B5" s="1470" t="s">
        <v>691</v>
      </c>
      <c r="C5" s="1339"/>
      <c r="D5" s="1339"/>
      <c r="E5" s="1339"/>
      <c r="F5" s="1339"/>
      <c r="G5" s="1387"/>
      <c r="H5" s="92"/>
      <c r="I5" s="92"/>
      <c r="J5" s="92"/>
      <c r="K5" s="92"/>
      <c r="L5" s="92"/>
      <c r="M5" s="92"/>
      <c r="N5" s="92"/>
      <c r="O5" s="92"/>
      <c r="P5" s="92"/>
      <c r="Q5" s="92"/>
      <c r="R5" s="92"/>
      <c r="S5" s="92"/>
      <c r="T5" s="92"/>
      <c r="U5" s="92"/>
      <c r="V5" s="92"/>
      <c r="W5" s="92"/>
      <c r="X5" s="92"/>
      <c r="Y5" s="92"/>
      <c r="Z5" s="92"/>
    </row>
    <row r="6" spans="1:26" ht="15.75" customHeight="1">
      <c r="A6" s="200" t="s">
        <v>82</v>
      </c>
      <c r="B6" s="1369" t="s">
        <v>632</v>
      </c>
      <c r="C6" s="1339"/>
      <c r="D6" s="1339"/>
      <c r="E6" s="1339"/>
      <c r="F6" s="1339"/>
      <c r="G6" s="1387"/>
      <c r="H6" s="95"/>
      <c r="I6" s="95"/>
      <c r="J6" s="95"/>
      <c r="K6" s="95"/>
      <c r="L6" s="95"/>
      <c r="M6" s="95"/>
      <c r="N6" s="95"/>
      <c r="O6" s="95"/>
      <c r="P6" s="95"/>
      <c r="Q6" s="95"/>
      <c r="R6" s="95"/>
      <c r="S6" s="95"/>
      <c r="T6" s="95"/>
      <c r="U6" s="95"/>
      <c r="V6" s="95"/>
      <c r="W6" s="95"/>
      <c r="X6" s="95"/>
      <c r="Y6" s="95"/>
      <c r="Z6" s="95"/>
    </row>
    <row r="7" spans="1:26" ht="15.75" customHeight="1">
      <c r="A7" s="201" t="s">
        <v>84</v>
      </c>
      <c r="B7" s="1388" t="s">
        <v>633</v>
      </c>
      <c r="C7" s="1389"/>
      <c r="D7" s="1389"/>
      <c r="E7" s="1389"/>
      <c r="F7" s="1389"/>
      <c r="G7" s="1390"/>
      <c r="H7" s="92"/>
      <c r="I7" s="92"/>
      <c r="J7" s="92"/>
      <c r="K7" s="92"/>
      <c r="L7" s="92"/>
      <c r="M7" s="92"/>
      <c r="N7" s="92"/>
      <c r="O7" s="92"/>
      <c r="P7" s="92"/>
      <c r="Q7" s="92"/>
      <c r="R7" s="92"/>
      <c r="S7" s="92"/>
      <c r="T7" s="92"/>
      <c r="U7" s="92"/>
      <c r="V7" s="92"/>
      <c r="W7" s="92"/>
      <c r="X7" s="92"/>
      <c r="Y7" s="92"/>
      <c r="Z7" s="92"/>
    </row>
    <row r="8" spans="1:26" ht="15.75" customHeight="1">
      <c r="A8" s="1149" t="s">
        <v>557</v>
      </c>
      <c r="B8" s="1150" t="s">
        <v>91</v>
      </c>
      <c r="C8" s="1150" t="s">
        <v>558</v>
      </c>
      <c r="D8" s="1150" t="s">
        <v>559</v>
      </c>
      <c r="E8" s="1150" t="s">
        <v>560</v>
      </c>
      <c r="F8" s="1151" t="s">
        <v>561</v>
      </c>
      <c r="G8" s="209"/>
      <c r="H8" s="209"/>
      <c r="I8" s="209"/>
      <c r="J8" s="209"/>
      <c r="K8" s="209"/>
      <c r="L8" s="209"/>
      <c r="M8" s="209"/>
      <c r="N8" s="209"/>
      <c r="O8" s="209"/>
      <c r="P8" s="209"/>
      <c r="Q8" s="209"/>
      <c r="R8" s="209"/>
      <c r="S8" s="209"/>
      <c r="T8" s="209"/>
      <c r="U8" s="209"/>
      <c r="V8" s="209"/>
      <c r="W8" s="209"/>
      <c r="X8" s="209"/>
      <c r="Y8" s="209"/>
      <c r="Z8" s="209"/>
    </row>
    <row r="9" spans="1:26" ht="15.75" hidden="1" customHeight="1">
      <c r="A9" s="1004" t="s">
        <v>106</v>
      </c>
      <c r="B9" s="1005">
        <v>54</v>
      </c>
      <c r="C9" s="1005">
        <v>2.33</v>
      </c>
      <c r="D9" s="1006">
        <v>0.03</v>
      </c>
      <c r="E9" s="1005">
        <v>2.75</v>
      </c>
      <c r="F9" s="1007">
        <v>0.1125</v>
      </c>
      <c r="G9" s="92"/>
      <c r="H9" s="92"/>
      <c r="I9" s="92"/>
      <c r="J9" s="92"/>
      <c r="K9" s="92"/>
      <c r="L9" s="92"/>
      <c r="M9" s="92"/>
      <c r="N9" s="92"/>
      <c r="O9" s="92"/>
      <c r="P9" s="92"/>
      <c r="Q9" s="92"/>
      <c r="R9" s="92"/>
      <c r="S9" s="92"/>
      <c r="T9" s="92"/>
      <c r="U9" s="92"/>
      <c r="V9" s="92"/>
      <c r="W9" s="92"/>
      <c r="X9" s="92"/>
      <c r="Y9" s="92"/>
      <c r="Z9" s="92"/>
    </row>
    <row r="10" spans="1:26" ht="15.75" hidden="1" customHeight="1">
      <c r="A10" s="1008" t="s">
        <v>107</v>
      </c>
      <c r="B10" s="1009">
        <v>67</v>
      </c>
      <c r="C10" s="1009">
        <v>2.21</v>
      </c>
      <c r="D10" s="1010">
        <v>4.3700000000000003E-2</v>
      </c>
      <c r="E10" s="1009">
        <v>2.6</v>
      </c>
      <c r="F10" s="1011">
        <v>7.6600000000000001E-2</v>
      </c>
      <c r="G10" s="92"/>
      <c r="H10" s="92"/>
      <c r="I10" s="92"/>
      <c r="J10" s="92"/>
      <c r="K10" s="92"/>
      <c r="L10" s="92"/>
      <c r="M10" s="92"/>
      <c r="N10" s="92"/>
      <c r="O10" s="92"/>
      <c r="P10" s="92"/>
      <c r="Q10" s="92"/>
      <c r="R10" s="92"/>
      <c r="S10" s="92"/>
      <c r="T10" s="92"/>
      <c r="U10" s="92"/>
      <c r="V10" s="92"/>
      <c r="W10" s="92"/>
      <c r="X10" s="92"/>
      <c r="Y10" s="92"/>
      <c r="Z10" s="92"/>
    </row>
    <row r="11" spans="1:26" ht="15.75" hidden="1" customHeight="1">
      <c r="A11" s="1004" t="s">
        <v>108</v>
      </c>
      <c r="B11" s="1005">
        <v>24</v>
      </c>
      <c r="C11" s="1005">
        <v>0.55000000000000004</v>
      </c>
      <c r="D11" s="1006">
        <v>2.2100000000000002E-2</v>
      </c>
      <c r="E11" s="1005">
        <v>1.02</v>
      </c>
      <c r="F11" s="1007">
        <v>5.4600000000000003E-2</v>
      </c>
      <c r="G11" s="92"/>
      <c r="H11" s="92"/>
      <c r="I11" s="92"/>
      <c r="J11" s="92"/>
      <c r="K11" s="92"/>
      <c r="L11" s="92"/>
      <c r="M11" s="92"/>
      <c r="N11" s="92"/>
      <c r="O11" s="92"/>
      <c r="P11" s="92"/>
      <c r="Q11" s="92"/>
      <c r="R11" s="92"/>
      <c r="S11" s="92"/>
      <c r="T11" s="92"/>
      <c r="U11" s="92"/>
      <c r="V11" s="92"/>
      <c r="W11" s="92"/>
      <c r="X11" s="92"/>
      <c r="Y11" s="92"/>
      <c r="Z11" s="92"/>
    </row>
    <row r="12" spans="1:26" ht="15.75" hidden="1" customHeight="1">
      <c r="A12" s="1008" t="s">
        <v>109</v>
      </c>
      <c r="B12" s="1009">
        <v>37</v>
      </c>
      <c r="C12" s="1009">
        <v>1.0900000000000001</v>
      </c>
      <c r="D12" s="1010">
        <v>2.98E-2</v>
      </c>
      <c r="E12" s="1009">
        <v>1.41</v>
      </c>
      <c r="F12" s="1011">
        <v>9.6100000000000005E-2</v>
      </c>
      <c r="G12" s="92"/>
      <c r="H12" s="92"/>
      <c r="I12" s="92"/>
      <c r="J12" s="92"/>
      <c r="K12" s="92"/>
      <c r="L12" s="92"/>
      <c r="M12" s="92"/>
      <c r="N12" s="92"/>
      <c r="O12" s="92"/>
      <c r="P12" s="92"/>
      <c r="Q12" s="92"/>
      <c r="R12" s="92"/>
      <c r="S12" s="92"/>
      <c r="T12" s="92"/>
      <c r="U12" s="92"/>
      <c r="V12" s="92"/>
      <c r="W12" s="92"/>
      <c r="X12" s="92"/>
      <c r="Y12" s="92"/>
      <c r="Z12" s="92"/>
    </row>
    <row r="13" spans="1:26" ht="15.75" hidden="1" customHeight="1">
      <c r="A13" s="1004" t="s">
        <v>110</v>
      </c>
      <c r="B13" s="1005">
        <v>34</v>
      </c>
      <c r="C13" s="1005">
        <v>2.94</v>
      </c>
      <c r="D13" s="1006">
        <v>3.7699999999999997E-2</v>
      </c>
      <c r="E13" s="1005">
        <v>3.47</v>
      </c>
      <c r="F13" s="1007">
        <v>3.2099999999999997E-2</v>
      </c>
      <c r="G13" s="92"/>
      <c r="H13" s="92"/>
      <c r="I13" s="92"/>
      <c r="J13" s="92"/>
      <c r="K13" s="92"/>
      <c r="L13" s="92"/>
      <c r="M13" s="92"/>
      <c r="N13" s="92"/>
      <c r="O13" s="92"/>
      <c r="P13" s="92"/>
      <c r="Q13" s="92"/>
      <c r="R13" s="92"/>
      <c r="S13" s="92"/>
      <c r="T13" s="92"/>
      <c r="U13" s="92"/>
      <c r="V13" s="92"/>
      <c r="W13" s="92"/>
      <c r="X13" s="92"/>
      <c r="Y13" s="92"/>
      <c r="Z13" s="92"/>
    </row>
    <row r="14" spans="1:26" ht="15.75" hidden="1" customHeight="1">
      <c r="A14" s="1008" t="s">
        <v>111</v>
      </c>
      <c r="B14" s="1009">
        <v>33</v>
      </c>
      <c r="C14" s="1009">
        <v>0.55000000000000004</v>
      </c>
      <c r="D14" s="1010">
        <v>2.2700000000000001E-2</v>
      </c>
      <c r="E14" s="1009">
        <v>0.75</v>
      </c>
      <c r="F14" s="1011">
        <v>5.21E-2</v>
      </c>
      <c r="G14" s="92"/>
      <c r="H14" s="92"/>
      <c r="I14" s="92"/>
      <c r="J14" s="92"/>
      <c r="K14" s="92"/>
      <c r="L14" s="92"/>
      <c r="M14" s="92"/>
      <c r="N14" s="92"/>
      <c r="O14" s="92"/>
      <c r="P14" s="92"/>
      <c r="Q14" s="92"/>
      <c r="R14" s="92"/>
      <c r="S14" s="92"/>
      <c r="T14" s="92"/>
      <c r="U14" s="92"/>
      <c r="V14" s="92"/>
      <c r="W14" s="92"/>
      <c r="X14" s="92"/>
      <c r="Y14" s="92"/>
      <c r="Z14" s="92"/>
    </row>
    <row r="15" spans="1:26" ht="15.75" hidden="1" customHeight="1">
      <c r="A15" s="1004" t="s">
        <v>112</v>
      </c>
      <c r="B15" s="1005">
        <v>15</v>
      </c>
      <c r="C15" s="1005" t="s">
        <v>113</v>
      </c>
      <c r="D15" s="1006" t="s">
        <v>113</v>
      </c>
      <c r="E15" s="1005" t="s">
        <v>113</v>
      </c>
      <c r="F15" s="1007" t="s">
        <v>113</v>
      </c>
      <c r="G15" s="92"/>
      <c r="H15" s="92"/>
      <c r="I15" s="92"/>
      <c r="J15" s="92"/>
      <c r="K15" s="92"/>
      <c r="L15" s="92"/>
      <c r="M15" s="92"/>
      <c r="N15" s="92"/>
      <c r="O15" s="92"/>
      <c r="P15" s="92"/>
      <c r="Q15" s="92"/>
      <c r="R15" s="92"/>
      <c r="S15" s="92"/>
      <c r="T15" s="92"/>
      <c r="U15" s="92"/>
      <c r="V15" s="92"/>
      <c r="W15" s="92"/>
      <c r="X15" s="92"/>
      <c r="Y15" s="92"/>
      <c r="Z15" s="92"/>
    </row>
    <row r="16" spans="1:26" ht="15.75" hidden="1" customHeight="1">
      <c r="A16" s="1008" t="s">
        <v>114</v>
      </c>
      <c r="B16" s="1009">
        <v>591</v>
      </c>
      <c r="C16" s="1009" t="s">
        <v>113</v>
      </c>
      <c r="D16" s="1010" t="s">
        <v>113</v>
      </c>
      <c r="E16" s="1009" t="s">
        <v>113</v>
      </c>
      <c r="F16" s="1011" t="s">
        <v>113</v>
      </c>
      <c r="G16" s="92"/>
      <c r="H16" s="92"/>
      <c r="I16" s="92"/>
      <c r="J16" s="92"/>
      <c r="K16" s="92"/>
      <c r="L16" s="92"/>
      <c r="M16" s="92"/>
      <c r="N16" s="92"/>
      <c r="O16" s="92"/>
      <c r="P16" s="92"/>
      <c r="Q16" s="92"/>
      <c r="R16" s="92"/>
      <c r="S16" s="92"/>
      <c r="T16" s="92"/>
      <c r="U16" s="92"/>
      <c r="V16" s="92"/>
      <c r="W16" s="92"/>
      <c r="X16" s="92"/>
      <c r="Y16" s="92"/>
      <c r="Z16" s="92"/>
    </row>
    <row r="17" spans="1:26" ht="15.75" hidden="1" customHeight="1">
      <c r="A17" s="1004" t="s">
        <v>115</v>
      </c>
      <c r="B17" s="1005">
        <v>18</v>
      </c>
      <c r="C17" s="1005">
        <v>2.58</v>
      </c>
      <c r="D17" s="1006">
        <v>9.2899999999999996E-2</v>
      </c>
      <c r="E17" s="1005">
        <v>3.3</v>
      </c>
      <c r="F17" s="1007">
        <v>0.2288</v>
      </c>
      <c r="G17" s="92"/>
      <c r="H17" s="92"/>
      <c r="I17" s="92"/>
      <c r="J17" s="92"/>
      <c r="K17" s="92"/>
      <c r="L17" s="92"/>
      <c r="M17" s="92"/>
      <c r="N17" s="92"/>
      <c r="O17" s="92"/>
      <c r="P17" s="92"/>
      <c r="Q17" s="92"/>
      <c r="R17" s="92"/>
      <c r="S17" s="92"/>
      <c r="T17" s="92"/>
      <c r="U17" s="92"/>
      <c r="V17" s="92"/>
      <c r="W17" s="92"/>
      <c r="X17" s="92"/>
      <c r="Y17" s="92"/>
      <c r="Z17" s="92"/>
    </row>
    <row r="18" spans="1:26" ht="15.75" hidden="1" customHeight="1">
      <c r="A18" s="1008" t="s">
        <v>116</v>
      </c>
      <c r="B18" s="1009">
        <v>29</v>
      </c>
      <c r="C18" s="1009">
        <v>3.47</v>
      </c>
      <c r="D18" s="1010">
        <v>0.14069999999999999</v>
      </c>
      <c r="E18" s="1009">
        <v>4</v>
      </c>
      <c r="F18" s="1011">
        <v>0.20130000000000001</v>
      </c>
      <c r="G18" s="92"/>
      <c r="H18" s="92"/>
      <c r="I18" s="92"/>
      <c r="J18" s="92"/>
      <c r="K18" s="92"/>
      <c r="L18" s="92"/>
      <c r="M18" s="92"/>
      <c r="N18" s="92"/>
      <c r="O18" s="92"/>
      <c r="P18" s="92"/>
      <c r="Q18" s="92"/>
      <c r="R18" s="92"/>
      <c r="S18" s="92"/>
      <c r="T18" s="92"/>
      <c r="U18" s="92"/>
      <c r="V18" s="92"/>
      <c r="W18" s="92"/>
      <c r="X18" s="92"/>
      <c r="Y18" s="92"/>
      <c r="Z18" s="92"/>
    </row>
    <row r="19" spans="1:26" ht="15.75" hidden="1" customHeight="1">
      <c r="A19" s="1004" t="s">
        <v>117</v>
      </c>
      <c r="B19" s="1005">
        <v>22</v>
      </c>
      <c r="C19" s="1005">
        <v>0.56999999999999995</v>
      </c>
      <c r="D19" s="1006">
        <v>-5.6399999999999999E-2</v>
      </c>
      <c r="E19" s="1005">
        <v>1.29</v>
      </c>
      <c r="F19" s="1007">
        <v>0.12509999999999999</v>
      </c>
      <c r="G19" s="92"/>
      <c r="H19" s="92"/>
      <c r="I19" s="92"/>
      <c r="J19" s="92"/>
      <c r="K19" s="92"/>
      <c r="L19" s="92"/>
      <c r="M19" s="92"/>
      <c r="N19" s="92"/>
      <c r="O19" s="92"/>
      <c r="P19" s="92"/>
      <c r="Q19" s="92"/>
      <c r="R19" s="92"/>
      <c r="S19" s="92"/>
      <c r="T19" s="92"/>
      <c r="U19" s="92"/>
      <c r="V19" s="92"/>
      <c r="W19" s="92"/>
      <c r="X19" s="92"/>
      <c r="Y19" s="92"/>
      <c r="Z19" s="92"/>
    </row>
    <row r="20" spans="1:26" ht="15.75" hidden="1" customHeight="1">
      <c r="A20" s="1008" t="s">
        <v>118</v>
      </c>
      <c r="B20" s="1009">
        <v>30</v>
      </c>
      <c r="C20" s="1009" t="s">
        <v>113</v>
      </c>
      <c r="D20" s="1010" t="s">
        <v>113</v>
      </c>
      <c r="E20" s="1009" t="s">
        <v>113</v>
      </c>
      <c r="F20" s="1011" t="s">
        <v>113</v>
      </c>
      <c r="G20" s="92"/>
      <c r="H20" s="92"/>
      <c r="I20" s="92"/>
      <c r="J20" s="92"/>
      <c r="K20" s="92"/>
      <c r="L20" s="92"/>
      <c r="M20" s="92"/>
      <c r="N20" s="92"/>
      <c r="O20" s="92"/>
      <c r="P20" s="92"/>
      <c r="Q20" s="92"/>
      <c r="R20" s="92"/>
      <c r="S20" s="92"/>
      <c r="T20" s="92"/>
      <c r="U20" s="92"/>
      <c r="V20" s="92"/>
      <c r="W20" s="92"/>
      <c r="X20" s="92"/>
      <c r="Y20" s="92"/>
      <c r="Z20" s="92"/>
    </row>
    <row r="21" spans="1:26" ht="15.75" hidden="1" customHeight="1">
      <c r="A21" s="1004" t="s">
        <v>119</v>
      </c>
      <c r="B21" s="1005">
        <v>39</v>
      </c>
      <c r="C21" s="1005">
        <v>2.0299999999999998</v>
      </c>
      <c r="D21" s="1006">
        <v>0.1056</v>
      </c>
      <c r="E21" s="1005">
        <v>2.33</v>
      </c>
      <c r="F21" s="1007">
        <v>0.13500000000000001</v>
      </c>
      <c r="G21" s="92"/>
      <c r="H21" s="92"/>
      <c r="I21" s="92"/>
      <c r="J21" s="92"/>
      <c r="K21" s="92"/>
      <c r="L21" s="92"/>
      <c r="M21" s="92"/>
      <c r="N21" s="92"/>
      <c r="O21" s="92"/>
      <c r="P21" s="92"/>
      <c r="Q21" s="92"/>
      <c r="R21" s="92"/>
      <c r="S21" s="92"/>
      <c r="T21" s="92"/>
      <c r="U21" s="92"/>
      <c r="V21" s="92"/>
      <c r="W21" s="92"/>
      <c r="X21" s="92"/>
      <c r="Y21" s="92"/>
      <c r="Z21" s="92"/>
    </row>
    <row r="22" spans="1:26" ht="15.75" hidden="1" customHeight="1">
      <c r="A22" s="1008" t="s">
        <v>120</v>
      </c>
      <c r="B22" s="1009">
        <v>152</v>
      </c>
      <c r="C22" s="1009">
        <v>2.6</v>
      </c>
      <c r="D22" s="1010">
        <v>7.0900000000000005E-2</v>
      </c>
      <c r="E22" s="1009">
        <v>2.93</v>
      </c>
      <c r="F22" s="1011">
        <v>0.12239999999999999</v>
      </c>
      <c r="G22" s="92"/>
      <c r="H22" s="92"/>
      <c r="I22" s="92"/>
      <c r="J22" s="92"/>
      <c r="K22" s="92"/>
      <c r="L22" s="92"/>
      <c r="M22" s="92"/>
      <c r="N22" s="92"/>
      <c r="O22" s="92"/>
      <c r="P22" s="92"/>
      <c r="Q22" s="92"/>
      <c r="R22" s="92"/>
      <c r="S22" s="92"/>
      <c r="T22" s="92"/>
      <c r="U22" s="92"/>
      <c r="V22" s="92"/>
      <c r="W22" s="92"/>
      <c r="X22" s="92"/>
      <c r="Y22" s="92"/>
      <c r="Z22" s="92"/>
    </row>
    <row r="23" spans="1:26" ht="15.75" hidden="1" customHeight="1">
      <c r="A23" s="1004" t="s">
        <v>121</v>
      </c>
      <c r="B23" s="1005">
        <v>9</v>
      </c>
      <c r="C23" s="1005">
        <v>1.03</v>
      </c>
      <c r="D23" s="1006">
        <v>7.5800000000000006E-2</v>
      </c>
      <c r="E23" s="1005">
        <v>2.27</v>
      </c>
      <c r="F23" s="1007">
        <v>0.1817</v>
      </c>
      <c r="G23" s="92"/>
      <c r="H23" s="92"/>
      <c r="I23" s="92"/>
      <c r="J23" s="92"/>
      <c r="K23" s="92"/>
      <c r="L23" s="92"/>
      <c r="M23" s="92"/>
      <c r="N23" s="92"/>
      <c r="O23" s="92"/>
      <c r="P23" s="92"/>
      <c r="Q23" s="92"/>
      <c r="R23" s="92"/>
      <c r="S23" s="92"/>
      <c r="T23" s="92"/>
      <c r="U23" s="92"/>
      <c r="V23" s="92"/>
      <c r="W23" s="92"/>
      <c r="X23" s="92"/>
      <c r="Y23" s="92"/>
      <c r="Z23" s="92"/>
    </row>
    <row r="24" spans="1:26" ht="15.75" hidden="1" customHeight="1">
      <c r="A24" s="1008" t="s">
        <v>122</v>
      </c>
      <c r="B24" s="1009">
        <v>31</v>
      </c>
      <c r="C24" s="1009">
        <v>0.7</v>
      </c>
      <c r="D24" s="1010">
        <v>2.76E-2</v>
      </c>
      <c r="E24" s="1009">
        <v>1.03</v>
      </c>
      <c r="F24" s="1011">
        <v>6.25E-2</v>
      </c>
      <c r="G24" s="92"/>
      <c r="H24" s="92"/>
      <c r="I24" s="92"/>
      <c r="J24" s="92"/>
      <c r="K24" s="92"/>
      <c r="L24" s="92"/>
      <c r="M24" s="92"/>
      <c r="N24" s="92"/>
      <c r="O24" s="92"/>
      <c r="P24" s="92"/>
      <c r="Q24" s="92"/>
      <c r="R24" s="92"/>
      <c r="S24" s="92"/>
      <c r="T24" s="92"/>
      <c r="U24" s="92"/>
      <c r="V24" s="92"/>
      <c r="W24" s="92"/>
      <c r="X24" s="92"/>
      <c r="Y24" s="92"/>
      <c r="Z24" s="92"/>
    </row>
    <row r="25" spans="1:26" ht="15.75" hidden="1" customHeight="1">
      <c r="A25" s="1004" t="s">
        <v>123</v>
      </c>
      <c r="B25" s="1005">
        <v>4</v>
      </c>
      <c r="C25" s="1005">
        <v>0.51</v>
      </c>
      <c r="D25" s="1006">
        <v>-5.0000000000000001E-3</v>
      </c>
      <c r="E25" s="1005">
        <v>1</v>
      </c>
      <c r="F25" s="1007">
        <v>4.48E-2</v>
      </c>
      <c r="G25" s="92"/>
      <c r="H25" s="92"/>
      <c r="I25" s="92"/>
      <c r="J25" s="92"/>
      <c r="K25" s="92"/>
      <c r="L25" s="92"/>
      <c r="M25" s="92"/>
      <c r="N25" s="92"/>
      <c r="O25" s="92"/>
      <c r="P25" s="92"/>
      <c r="Q25" s="92"/>
      <c r="R25" s="92"/>
      <c r="S25" s="92"/>
      <c r="T25" s="92"/>
      <c r="U25" s="92"/>
      <c r="V25" s="92"/>
      <c r="W25" s="92"/>
      <c r="X25" s="92"/>
      <c r="Y25" s="92"/>
      <c r="Z25" s="92"/>
    </row>
    <row r="26" spans="1:26" ht="15.75" hidden="1" customHeight="1">
      <c r="A26" s="1008" t="s">
        <v>124</v>
      </c>
      <c r="B26" s="1009">
        <v>60</v>
      </c>
      <c r="C26" s="1009">
        <v>2.2599999999999998</v>
      </c>
      <c r="D26" s="1010">
        <v>6.4600000000000005E-2</v>
      </c>
      <c r="E26" s="1009">
        <v>2.77</v>
      </c>
      <c r="F26" s="1011">
        <v>0.1217</v>
      </c>
      <c r="G26" s="92"/>
      <c r="H26" s="92"/>
      <c r="I26" s="92"/>
      <c r="J26" s="92"/>
      <c r="K26" s="92"/>
      <c r="L26" s="92"/>
      <c r="M26" s="92"/>
      <c r="N26" s="92"/>
      <c r="O26" s="92"/>
      <c r="P26" s="92"/>
      <c r="Q26" s="92"/>
      <c r="R26" s="92"/>
      <c r="S26" s="92"/>
      <c r="T26" s="92"/>
      <c r="U26" s="92"/>
      <c r="V26" s="92"/>
      <c r="W26" s="92"/>
      <c r="X26" s="92"/>
      <c r="Y26" s="92"/>
      <c r="Z26" s="92"/>
    </row>
    <row r="27" spans="1:26" ht="15.75" hidden="1" customHeight="1">
      <c r="A27" s="1004" t="s">
        <v>125</v>
      </c>
      <c r="B27" s="1005">
        <v>16</v>
      </c>
      <c r="C27" s="1005">
        <v>1.64</v>
      </c>
      <c r="D27" s="1006">
        <v>0.10059999999999999</v>
      </c>
      <c r="E27" s="1005">
        <v>1.57</v>
      </c>
      <c r="F27" s="1007">
        <v>0.1111</v>
      </c>
      <c r="G27" s="92"/>
      <c r="H27" s="92"/>
      <c r="I27" s="92"/>
      <c r="J27" s="92"/>
      <c r="K27" s="92"/>
      <c r="L27" s="92"/>
      <c r="M27" s="92"/>
      <c r="N27" s="92"/>
      <c r="O27" s="92"/>
      <c r="P27" s="92"/>
      <c r="Q27" s="92"/>
      <c r="R27" s="92"/>
      <c r="S27" s="92"/>
      <c r="T27" s="92"/>
      <c r="U27" s="92"/>
      <c r="V27" s="92"/>
      <c r="W27" s="92"/>
      <c r="X27" s="92"/>
      <c r="Y27" s="92"/>
      <c r="Z27" s="92"/>
    </row>
    <row r="28" spans="1:26" ht="15.75" hidden="1" customHeight="1">
      <c r="A28" s="1008" t="s">
        <v>126</v>
      </c>
      <c r="B28" s="1009">
        <v>63</v>
      </c>
      <c r="C28" s="1009">
        <v>1.1599999999999999</v>
      </c>
      <c r="D28" s="1010">
        <v>4.1500000000000002E-2</v>
      </c>
      <c r="E28" s="1009">
        <v>1.38</v>
      </c>
      <c r="F28" s="1011">
        <v>6.3100000000000003E-2</v>
      </c>
      <c r="G28" s="92"/>
      <c r="H28" s="92"/>
      <c r="I28" s="92"/>
      <c r="J28" s="92"/>
      <c r="K28" s="92"/>
      <c r="L28" s="92"/>
      <c r="M28" s="92"/>
      <c r="N28" s="92"/>
      <c r="O28" s="92"/>
      <c r="P28" s="92"/>
      <c r="Q28" s="92"/>
      <c r="R28" s="92"/>
      <c r="S28" s="92"/>
      <c r="T28" s="92"/>
      <c r="U28" s="92"/>
      <c r="V28" s="92"/>
      <c r="W28" s="92"/>
      <c r="X28" s="92"/>
      <c r="Y28" s="92"/>
      <c r="Z28" s="92"/>
    </row>
    <row r="29" spans="1:26" ht="15.75" hidden="1" customHeight="1">
      <c r="A29" s="1004" t="s">
        <v>127</v>
      </c>
      <c r="B29" s="1005">
        <v>35</v>
      </c>
      <c r="C29" s="1005">
        <v>6.46</v>
      </c>
      <c r="D29" s="1006">
        <v>0.1678</v>
      </c>
      <c r="E29" s="1005">
        <v>6.68</v>
      </c>
      <c r="F29" s="1007">
        <v>0.22670000000000001</v>
      </c>
      <c r="G29" s="92"/>
      <c r="H29" s="92"/>
      <c r="I29" s="92"/>
      <c r="J29" s="92"/>
      <c r="K29" s="92"/>
      <c r="L29" s="92"/>
      <c r="M29" s="92"/>
      <c r="N29" s="92"/>
      <c r="O29" s="92"/>
      <c r="P29" s="92"/>
      <c r="Q29" s="92"/>
      <c r="R29" s="92"/>
      <c r="S29" s="92"/>
      <c r="T29" s="92"/>
      <c r="U29" s="92"/>
      <c r="V29" s="92"/>
      <c r="W29" s="92"/>
      <c r="X29" s="92"/>
      <c r="Y29" s="92"/>
      <c r="Z29" s="92"/>
    </row>
    <row r="30" spans="1:26" ht="15.75" hidden="1" customHeight="1">
      <c r="A30" s="1008" t="s">
        <v>128</v>
      </c>
      <c r="B30" s="1009">
        <v>46</v>
      </c>
      <c r="C30" s="1009">
        <v>2.1</v>
      </c>
      <c r="D30" s="1010">
        <v>0.1123</v>
      </c>
      <c r="E30" s="1009">
        <v>2.46</v>
      </c>
      <c r="F30" s="1011">
        <v>0.15190000000000001</v>
      </c>
      <c r="G30" s="92"/>
      <c r="H30" s="92"/>
      <c r="I30" s="92"/>
      <c r="J30" s="92"/>
      <c r="K30" s="92"/>
      <c r="L30" s="92"/>
      <c r="M30" s="92"/>
      <c r="N30" s="92"/>
      <c r="O30" s="92"/>
      <c r="P30" s="92"/>
      <c r="Q30" s="92"/>
      <c r="R30" s="92"/>
      <c r="S30" s="92"/>
      <c r="T30" s="92"/>
      <c r="U30" s="92"/>
      <c r="V30" s="92"/>
      <c r="W30" s="92"/>
      <c r="X30" s="92"/>
      <c r="Y30" s="92"/>
      <c r="Z30" s="92"/>
    </row>
    <row r="31" spans="1:26" ht="15.75" hidden="1" customHeight="1">
      <c r="A31" s="1004" t="s">
        <v>129</v>
      </c>
      <c r="B31" s="1005">
        <v>21</v>
      </c>
      <c r="C31" s="1005">
        <v>2.61</v>
      </c>
      <c r="D31" s="1006">
        <v>0.2515</v>
      </c>
      <c r="E31" s="1005">
        <v>2.91</v>
      </c>
      <c r="F31" s="1007">
        <v>0.32969999999999999</v>
      </c>
      <c r="G31" s="92"/>
      <c r="H31" s="92"/>
      <c r="I31" s="92"/>
      <c r="J31" s="92"/>
      <c r="K31" s="92"/>
      <c r="L31" s="92"/>
      <c r="M31" s="92"/>
      <c r="N31" s="92"/>
      <c r="O31" s="92"/>
      <c r="P31" s="92"/>
      <c r="Q31" s="92"/>
      <c r="R31" s="92"/>
      <c r="S31" s="92"/>
      <c r="T31" s="92"/>
      <c r="U31" s="92"/>
      <c r="V31" s="92"/>
      <c r="W31" s="92"/>
      <c r="X31" s="92"/>
      <c r="Y31" s="92"/>
      <c r="Z31" s="92"/>
    </row>
    <row r="32" spans="1:26" ht="15.75" hidden="1" customHeight="1">
      <c r="A32" s="1008" t="s">
        <v>130</v>
      </c>
      <c r="B32" s="1009">
        <v>535</v>
      </c>
      <c r="C32" s="1009">
        <v>6.11</v>
      </c>
      <c r="D32" s="1010">
        <v>-0.13200000000000001</v>
      </c>
      <c r="E32" s="1009">
        <v>6.79</v>
      </c>
      <c r="F32" s="1011">
        <v>1.2999999999999999E-2</v>
      </c>
      <c r="G32" s="92"/>
      <c r="H32" s="92"/>
      <c r="I32" s="92"/>
      <c r="J32" s="92"/>
      <c r="K32" s="92"/>
      <c r="L32" s="92"/>
      <c r="M32" s="92"/>
      <c r="N32" s="92"/>
      <c r="O32" s="92"/>
      <c r="P32" s="92"/>
      <c r="Q32" s="92"/>
      <c r="R32" s="92"/>
      <c r="S32" s="92"/>
      <c r="T32" s="92"/>
      <c r="U32" s="92"/>
      <c r="V32" s="92"/>
      <c r="W32" s="92"/>
      <c r="X32" s="92"/>
      <c r="Y32" s="92"/>
      <c r="Z32" s="92"/>
    </row>
    <row r="33" spans="1:26" ht="15.75" hidden="1" customHeight="1">
      <c r="A33" s="1004" t="s">
        <v>131</v>
      </c>
      <c r="B33" s="1005">
        <v>231</v>
      </c>
      <c r="C33" s="1005">
        <v>4.84</v>
      </c>
      <c r="D33" s="1006">
        <v>8.8999999999999996E-2</v>
      </c>
      <c r="E33" s="1005">
        <v>5.48</v>
      </c>
      <c r="F33" s="1007">
        <v>0.22800000000000001</v>
      </c>
      <c r="G33" s="92"/>
      <c r="H33" s="92"/>
      <c r="I33" s="92"/>
      <c r="J33" s="92"/>
      <c r="K33" s="92"/>
      <c r="L33" s="92"/>
      <c r="M33" s="92"/>
      <c r="N33" s="92"/>
      <c r="O33" s="92"/>
      <c r="P33" s="92"/>
      <c r="Q33" s="92"/>
      <c r="R33" s="92"/>
      <c r="S33" s="92"/>
      <c r="T33" s="92"/>
      <c r="U33" s="92"/>
      <c r="V33" s="92"/>
      <c r="W33" s="92"/>
      <c r="X33" s="92"/>
      <c r="Y33" s="92"/>
      <c r="Z33" s="92"/>
    </row>
    <row r="34" spans="1:26" ht="15.75" hidden="1" customHeight="1">
      <c r="A34" s="1008" t="s">
        <v>132</v>
      </c>
      <c r="B34" s="1009">
        <v>29</v>
      </c>
      <c r="C34" s="1009">
        <v>2.2400000000000002</v>
      </c>
      <c r="D34" s="1010">
        <v>2.6499999999999999E-2</v>
      </c>
      <c r="E34" s="1009">
        <v>2.4900000000000002</v>
      </c>
      <c r="F34" s="1011">
        <v>8.4099999999999994E-2</v>
      </c>
      <c r="G34" s="92"/>
      <c r="H34" s="92"/>
      <c r="I34" s="92"/>
      <c r="J34" s="92"/>
      <c r="K34" s="92"/>
      <c r="L34" s="92"/>
      <c r="M34" s="92"/>
      <c r="N34" s="92"/>
      <c r="O34" s="92"/>
      <c r="P34" s="92"/>
      <c r="Q34" s="92"/>
      <c r="R34" s="92"/>
      <c r="S34" s="92"/>
      <c r="T34" s="92"/>
      <c r="U34" s="92"/>
      <c r="V34" s="92"/>
      <c r="W34" s="92"/>
      <c r="X34" s="92"/>
      <c r="Y34" s="92"/>
      <c r="Z34" s="92"/>
    </row>
    <row r="35" spans="1:26" ht="15.75" hidden="1" customHeight="1">
      <c r="A35" s="1004" t="s">
        <v>133</v>
      </c>
      <c r="B35" s="1005">
        <v>101</v>
      </c>
      <c r="C35" s="1005">
        <v>3.03</v>
      </c>
      <c r="D35" s="1006">
        <v>2.5899999999999999E-2</v>
      </c>
      <c r="E35" s="1005">
        <v>3.31</v>
      </c>
      <c r="F35" s="1007">
        <v>7.3800000000000004E-2</v>
      </c>
      <c r="G35" s="92"/>
      <c r="H35" s="92"/>
      <c r="I35" s="92"/>
      <c r="J35" s="92"/>
      <c r="K35" s="92"/>
      <c r="L35" s="92"/>
      <c r="M35" s="92"/>
      <c r="N35" s="92"/>
      <c r="O35" s="92"/>
      <c r="P35" s="92"/>
      <c r="Q35" s="92"/>
      <c r="R35" s="92"/>
      <c r="S35" s="92"/>
      <c r="T35" s="92"/>
      <c r="U35" s="92"/>
      <c r="V35" s="92"/>
      <c r="W35" s="92"/>
      <c r="X35" s="92"/>
      <c r="Y35" s="92"/>
      <c r="Z35" s="92"/>
    </row>
    <row r="36" spans="1:26" ht="15.75" hidden="1" customHeight="1">
      <c r="A36" s="1008" t="s">
        <v>134</v>
      </c>
      <c r="B36" s="1009">
        <v>11</v>
      </c>
      <c r="C36" s="1009">
        <v>0.73</v>
      </c>
      <c r="D36" s="1010">
        <v>-0.1537</v>
      </c>
      <c r="E36" s="1009">
        <v>0.72</v>
      </c>
      <c r="F36" s="1011">
        <v>-5.1999999999999998E-2</v>
      </c>
      <c r="G36" s="92"/>
      <c r="H36" s="92"/>
      <c r="I36" s="92"/>
      <c r="J36" s="92"/>
      <c r="K36" s="92"/>
      <c r="L36" s="92"/>
      <c r="M36" s="92"/>
      <c r="N36" s="92"/>
      <c r="O36" s="92"/>
      <c r="P36" s="92"/>
      <c r="Q36" s="92"/>
      <c r="R36" s="92"/>
      <c r="S36" s="92"/>
      <c r="T36" s="92"/>
      <c r="U36" s="92"/>
      <c r="V36" s="92"/>
      <c r="W36" s="92"/>
      <c r="X36" s="92"/>
      <c r="Y36" s="92"/>
      <c r="Z36" s="92"/>
    </row>
    <row r="37" spans="1:26" ht="15.75" hidden="1" customHeight="1">
      <c r="A37" s="1004" t="s">
        <v>135</v>
      </c>
      <c r="B37" s="1005">
        <v>122</v>
      </c>
      <c r="C37" s="1005">
        <v>2.27</v>
      </c>
      <c r="D37" s="1006">
        <v>5.62E-2</v>
      </c>
      <c r="E37" s="1005">
        <v>2.46</v>
      </c>
      <c r="F37" s="1007">
        <v>8.2699999999999996E-2</v>
      </c>
      <c r="G37" s="92"/>
      <c r="H37" s="92"/>
      <c r="I37" s="92"/>
      <c r="J37" s="92"/>
      <c r="K37" s="92"/>
      <c r="L37" s="92"/>
      <c r="M37" s="92"/>
      <c r="N37" s="92"/>
      <c r="O37" s="92"/>
      <c r="P37" s="92"/>
      <c r="Q37" s="92"/>
      <c r="R37" s="92"/>
      <c r="S37" s="92"/>
      <c r="T37" s="92"/>
      <c r="U37" s="92"/>
      <c r="V37" s="92"/>
      <c r="W37" s="92"/>
      <c r="X37" s="92"/>
      <c r="Y37" s="92"/>
      <c r="Z37" s="92"/>
    </row>
    <row r="38" spans="1:26" ht="15.75" hidden="1" customHeight="1">
      <c r="A38" s="1008" t="s">
        <v>136</v>
      </c>
      <c r="B38" s="1009">
        <v>42</v>
      </c>
      <c r="C38" s="1009">
        <v>1.26</v>
      </c>
      <c r="D38" s="1010">
        <v>2.9499999999999998E-2</v>
      </c>
      <c r="E38" s="1009">
        <v>1.41</v>
      </c>
      <c r="F38" s="1011">
        <v>5.8400000000000001E-2</v>
      </c>
      <c r="G38" s="92"/>
      <c r="H38" s="92"/>
      <c r="I38" s="92"/>
      <c r="J38" s="92"/>
      <c r="K38" s="92"/>
      <c r="L38" s="92"/>
      <c r="M38" s="92"/>
      <c r="N38" s="92"/>
      <c r="O38" s="92"/>
      <c r="P38" s="92"/>
      <c r="Q38" s="92"/>
      <c r="R38" s="92"/>
      <c r="S38" s="92"/>
      <c r="T38" s="92"/>
      <c r="U38" s="92"/>
      <c r="V38" s="92"/>
      <c r="W38" s="92"/>
      <c r="X38" s="92"/>
      <c r="Y38" s="92"/>
      <c r="Z38" s="92"/>
    </row>
    <row r="39" spans="1:26" ht="15.75" hidden="1" customHeight="1">
      <c r="A39" s="1004" t="s">
        <v>137</v>
      </c>
      <c r="B39" s="1005">
        <v>96</v>
      </c>
      <c r="C39" s="1005">
        <v>3.37</v>
      </c>
      <c r="D39" s="1006">
        <v>-3.1600000000000003E-2</v>
      </c>
      <c r="E39" s="1005">
        <v>3.9</v>
      </c>
      <c r="F39" s="1007">
        <v>8.1299999999999997E-2</v>
      </c>
      <c r="G39" s="92"/>
      <c r="H39" s="92"/>
      <c r="I39" s="92"/>
      <c r="J39" s="92"/>
      <c r="K39" s="92"/>
      <c r="L39" s="92"/>
      <c r="M39" s="92"/>
      <c r="N39" s="92"/>
      <c r="O39" s="92"/>
      <c r="P39" s="92"/>
      <c r="Q39" s="92"/>
      <c r="R39" s="92"/>
      <c r="S39" s="92"/>
      <c r="T39" s="92"/>
      <c r="U39" s="92"/>
      <c r="V39" s="92"/>
      <c r="W39" s="92"/>
      <c r="X39" s="92"/>
      <c r="Y39" s="92"/>
      <c r="Z39" s="92"/>
    </row>
    <row r="40" spans="1:26" ht="15.75" hidden="1" customHeight="1">
      <c r="A40" s="1008" t="s">
        <v>138</v>
      </c>
      <c r="B40" s="1009">
        <v>50</v>
      </c>
      <c r="C40" s="1009">
        <v>3.13</v>
      </c>
      <c r="D40" s="1010">
        <v>8.8099999999999998E-2</v>
      </c>
      <c r="E40" s="1009">
        <v>3.68</v>
      </c>
      <c r="F40" s="1011">
        <v>0.15079999999999999</v>
      </c>
      <c r="G40" s="92"/>
      <c r="H40" s="92"/>
      <c r="I40" s="92"/>
      <c r="J40" s="92"/>
      <c r="K40" s="92"/>
      <c r="L40" s="92"/>
      <c r="M40" s="92"/>
      <c r="N40" s="92"/>
      <c r="O40" s="92"/>
      <c r="P40" s="92"/>
      <c r="Q40" s="92"/>
      <c r="R40" s="92"/>
      <c r="S40" s="92"/>
      <c r="T40" s="92"/>
      <c r="U40" s="92"/>
      <c r="V40" s="92"/>
      <c r="W40" s="92"/>
      <c r="X40" s="92"/>
      <c r="Y40" s="92"/>
      <c r="Z40" s="92"/>
    </row>
    <row r="41" spans="1:26" ht="15.75" hidden="1" customHeight="1">
      <c r="A41" s="1004" t="s">
        <v>139</v>
      </c>
      <c r="B41" s="1005">
        <v>35</v>
      </c>
      <c r="C41" s="1005">
        <v>0.8</v>
      </c>
      <c r="D41" s="1006">
        <v>4.9000000000000002E-2</v>
      </c>
      <c r="E41" s="1005">
        <v>1.18</v>
      </c>
      <c r="F41" s="1007">
        <v>7.4200000000000002E-2</v>
      </c>
      <c r="G41" s="92"/>
      <c r="H41" s="92"/>
      <c r="I41" s="92"/>
      <c r="J41" s="92"/>
      <c r="K41" s="92"/>
      <c r="L41" s="92"/>
      <c r="M41" s="92"/>
      <c r="N41" s="92"/>
      <c r="O41" s="92"/>
      <c r="P41" s="92"/>
      <c r="Q41" s="92"/>
      <c r="R41" s="92"/>
      <c r="S41" s="92"/>
      <c r="T41" s="92"/>
      <c r="U41" s="92"/>
      <c r="V41" s="92"/>
      <c r="W41" s="92"/>
      <c r="X41" s="92"/>
      <c r="Y41" s="92"/>
      <c r="Z41" s="92"/>
    </row>
    <row r="42" spans="1:26" ht="15.75" hidden="1" customHeight="1">
      <c r="A42" s="1008" t="s">
        <v>254</v>
      </c>
      <c r="B42" s="1009">
        <v>166</v>
      </c>
      <c r="C42" s="1009">
        <v>5.14</v>
      </c>
      <c r="D42" s="1010">
        <v>0.2228</v>
      </c>
      <c r="E42" s="1009">
        <v>19.3</v>
      </c>
      <c r="F42" s="1011">
        <v>0.1641</v>
      </c>
      <c r="G42" s="92"/>
      <c r="H42" s="92"/>
      <c r="I42" s="92"/>
      <c r="J42" s="92"/>
      <c r="K42" s="92"/>
      <c r="L42" s="92"/>
      <c r="M42" s="92"/>
      <c r="N42" s="92"/>
      <c r="O42" s="92"/>
      <c r="P42" s="92"/>
      <c r="Q42" s="92"/>
      <c r="R42" s="92"/>
      <c r="S42" s="92"/>
      <c r="T42" s="92"/>
      <c r="U42" s="92"/>
      <c r="V42" s="92"/>
      <c r="W42" s="92"/>
      <c r="X42" s="92"/>
      <c r="Y42" s="92"/>
      <c r="Z42" s="92"/>
    </row>
    <row r="43" spans="1:26" ht="15.75" hidden="1" customHeight="1">
      <c r="A43" s="1004" t="s">
        <v>141</v>
      </c>
      <c r="B43" s="1005">
        <v>77</v>
      </c>
      <c r="C43" s="1005">
        <v>1.35</v>
      </c>
      <c r="D43" s="1006">
        <v>6.0100000000000001E-2</v>
      </c>
      <c r="E43" s="1005">
        <v>1.79</v>
      </c>
      <c r="F43" s="1007">
        <v>0.121</v>
      </c>
      <c r="G43" s="92"/>
      <c r="H43" s="92"/>
      <c r="I43" s="92"/>
      <c r="J43" s="92"/>
      <c r="K43" s="92"/>
      <c r="L43" s="92"/>
      <c r="M43" s="92"/>
      <c r="N43" s="92"/>
      <c r="O43" s="92"/>
      <c r="P43" s="92"/>
      <c r="Q43" s="92"/>
      <c r="R43" s="92"/>
      <c r="S43" s="92"/>
      <c r="T43" s="92"/>
      <c r="U43" s="92"/>
      <c r="V43" s="92"/>
      <c r="W43" s="92"/>
      <c r="X43" s="92"/>
      <c r="Y43" s="92"/>
      <c r="Z43" s="92"/>
    </row>
    <row r="44" spans="1:26" ht="15.75" hidden="1" customHeight="1">
      <c r="A44" s="1008" t="s">
        <v>142</v>
      </c>
      <c r="B44" s="1009">
        <v>14</v>
      </c>
      <c r="C44" s="1009">
        <v>0.31</v>
      </c>
      <c r="D44" s="1010">
        <v>1.34E-2</v>
      </c>
      <c r="E44" s="1009">
        <v>0.44</v>
      </c>
      <c r="F44" s="1011">
        <v>2.63E-2</v>
      </c>
      <c r="G44" s="92"/>
      <c r="H44" s="92"/>
      <c r="I44" s="92"/>
      <c r="J44" s="92"/>
      <c r="K44" s="92"/>
      <c r="L44" s="92"/>
      <c r="M44" s="92"/>
      <c r="N44" s="92"/>
      <c r="O44" s="92"/>
      <c r="P44" s="92"/>
      <c r="Q44" s="92"/>
      <c r="R44" s="92"/>
      <c r="S44" s="92"/>
      <c r="T44" s="92"/>
      <c r="U44" s="92"/>
      <c r="V44" s="92"/>
      <c r="W44" s="92"/>
      <c r="X44" s="92"/>
      <c r="Y44" s="92"/>
      <c r="Z44" s="92"/>
    </row>
    <row r="45" spans="1:26" ht="15.75" hidden="1" customHeight="1">
      <c r="A45" s="1004" t="s">
        <v>143</v>
      </c>
      <c r="B45" s="1005">
        <v>28</v>
      </c>
      <c r="C45" s="1005">
        <v>0.87</v>
      </c>
      <c r="D45" s="1006">
        <v>2.1100000000000001E-2</v>
      </c>
      <c r="E45" s="1005">
        <v>1.18</v>
      </c>
      <c r="F45" s="1007">
        <v>6.7900000000000002E-2</v>
      </c>
      <c r="G45" s="92"/>
      <c r="H45" s="92"/>
      <c r="I45" s="92"/>
      <c r="J45" s="92"/>
      <c r="K45" s="92"/>
      <c r="L45" s="92"/>
      <c r="M45" s="92"/>
      <c r="N45" s="92"/>
      <c r="O45" s="92"/>
      <c r="P45" s="92"/>
      <c r="Q45" s="92"/>
      <c r="R45" s="92"/>
      <c r="S45" s="92"/>
      <c r="T45" s="92"/>
      <c r="U45" s="92"/>
      <c r="V45" s="92"/>
      <c r="W45" s="92"/>
      <c r="X45" s="92"/>
      <c r="Y45" s="92"/>
      <c r="Z45" s="92"/>
    </row>
    <row r="46" spans="1:26" ht="15.75" hidden="1" customHeight="1">
      <c r="A46" s="1008" t="s">
        <v>144</v>
      </c>
      <c r="B46" s="1009">
        <v>18</v>
      </c>
      <c r="C46" s="1009">
        <v>2.38</v>
      </c>
      <c r="D46" s="1010">
        <v>-0.1883</v>
      </c>
      <c r="E46" s="1009">
        <v>6.38</v>
      </c>
      <c r="F46" s="1011">
        <v>0.1978</v>
      </c>
      <c r="G46" s="92"/>
      <c r="H46" s="92"/>
      <c r="I46" s="92"/>
      <c r="J46" s="92"/>
      <c r="K46" s="92"/>
      <c r="L46" s="92"/>
      <c r="M46" s="92"/>
      <c r="N46" s="92"/>
      <c r="O46" s="92"/>
      <c r="P46" s="92"/>
      <c r="Q46" s="92"/>
      <c r="R46" s="92"/>
      <c r="S46" s="92"/>
      <c r="T46" s="92"/>
      <c r="U46" s="92"/>
      <c r="V46" s="92"/>
      <c r="W46" s="92"/>
      <c r="X46" s="92"/>
      <c r="Y46" s="92"/>
      <c r="Z46" s="92"/>
    </row>
    <row r="47" spans="1:26" ht="15.75" hidden="1" customHeight="1">
      <c r="A47" s="1004" t="s">
        <v>145</v>
      </c>
      <c r="B47" s="1005">
        <v>218</v>
      </c>
      <c r="C47" s="1005">
        <v>4.7699999999999996</v>
      </c>
      <c r="D47" s="1006">
        <v>8.7300000000000003E-2</v>
      </c>
      <c r="E47" s="1005">
        <v>5.2</v>
      </c>
      <c r="F47" s="1007">
        <v>0.14990000000000001</v>
      </c>
      <c r="G47" s="92"/>
      <c r="H47" s="92"/>
      <c r="I47" s="92"/>
      <c r="J47" s="92"/>
      <c r="K47" s="92"/>
      <c r="L47" s="92"/>
      <c r="M47" s="92"/>
      <c r="N47" s="92"/>
      <c r="O47" s="92"/>
      <c r="P47" s="92"/>
      <c r="Q47" s="92"/>
      <c r="R47" s="92"/>
      <c r="S47" s="92"/>
      <c r="T47" s="92"/>
      <c r="U47" s="92"/>
      <c r="V47" s="92"/>
      <c r="W47" s="92"/>
      <c r="X47" s="92"/>
      <c r="Y47" s="92"/>
      <c r="Z47" s="92"/>
    </row>
    <row r="48" spans="1:26" ht="15.75" hidden="1" customHeight="1">
      <c r="A48" s="1008" t="s">
        <v>146</v>
      </c>
      <c r="B48" s="1009">
        <v>113</v>
      </c>
      <c r="C48" s="1009">
        <v>0.43</v>
      </c>
      <c r="D48" s="1010">
        <v>1.5800000000000002E-2</v>
      </c>
      <c r="E48" s="1009">
        <v>0.53</v>
      </c>
      <c r="F48" s="1011">
        <v>3.4299999999999997E-2</v>
      </c>
      <c r="G48" s="92"/>
      <c r="H48" s="92"/>
      <c r="I48" s="92"/>
      <c r="J48" s="92"/>
      <c r="K48" s="92"/>
      <c r="L48" s="92"/>
      <c r="M48" s="92"/>
      <c r="N48" s="92"/>
      <c r="O48" s="92"/>
      <c r="P48" s="92"/>
      <c r="Q48" s="92"/>
      <c r="R48" s="92"/>
      <c r="S48" s="92"/>
      <c r="T48" s="92"/>
      <c r="U48" s="92"/>
      <c r="V48" s="92"/>
      <c r="W48" s="92"/>
      <c r="X48" s="92"/>
      <c r="Y48" s="92"/>
      <c r="Z48" s="92"/>
    </row>
    <row r="49" spans="1:26" ht="15.75" hidden="1" customHeight="1">
      <c r="A49" s="1004" t="s">
        <v>255</v>
      </c>
      <c r="B49" s="1005">
        <v>116</v>
      </c>
      <c r="C49" s="1005">
        <v>4.71</v>
      </c>
      <c r="D49" s="1006">
        <v>4.6899999999999997E-2</v>
      </c>
      <c r="E49" s="1005">
        <v>5.31</v>
      </c>
      <c r="F49" s="1007">
        <v>0.13400000000000001</v>
      </c>
      <c r="G49" s="92"/>
      <c r="H49" s="92"/>
      <c r="I49" s="92"/>
      <c r="J49" s="92"/>
      <c r="K49" s="92"/>
      <c r="L49" s="92"/>
      <c r="M49" s="92"/>
      <c r="N49" s="92"/>
      <c r="O49" s="92"/>
      <c r="P49" s="92"/>
      <c r="Q49" s="92"/>
      <c r="R49" s="92"/>
      <c r="S49" s="92"/>
      <c r="T49" s="92"/>
      <c r="U49" s="92"/>
      <c r="V49" s="92"/>
      <c r="W49" s="92"/>
      <c r="X49" s="92"/>
      <c r="Y49" s="92"/>
      <c r="Z49" s="92"/>
    </row>
    <row r="50" spans="1:26" ht="15.75" hidden="1" customHeight="1">
      <c r="A50" s="1008" t="s">
        <v>148</v>
      </c>
      <c r="B50" s="1009">
        <v>30</v>
      </c>
      <c r="C50" s="1009">
        <v>1.1499999999999999</v>
      </c>
      <c r="D50" s="1010">
        <v>0.12</v>
      </c>
      <c r="E50" s="1009">
        <v>1.24</v>
      </c>
      <c r="F50" s="1011">
        <v>0.15590000000000001</v>
      </c>
      <c r="G50" s="92"/>
      <c r="H50" s="92"/>
      <c r="I50" s="92"/>
      <c r="J50" s="92"/>
      <c r="K50" s="92"/>
      <c r="L50" s="92"/>
      <c r="M50" s="92"/>
      <c r="N50" s="92"/>
      <c r="O50" s="92"/>
      <c r="P50" s="92"/>
      <c r="Q50" s="92"/>
      <c r="R50" s="92"/>
      <c r="S50" s="92"/>
      <c r="T50" s="92"/>
      <c r="U50" s="92"/>
      <c r="V50" s="92"/>
      <c r="W50" s="92"/>
      <c r="X50" s="92"/>
      <c r="Y50" s="92"/>
      <c r="Z50" s="92"/>
    </row>
    <row r="51" spans="1:26" ht="15.75" customHeight="1">
      <c r="A51" s="1004" t="s">
        <v>149</v>
      </c>
      <c r="B51" s="1005">
        <v>33</v>
      </c>
      <c r="C51" s="1005">
        <v>0.87</v>
      </c>
      <c r="D51" s="1006">
        <v>6.9699999999999998E-2</v>
      </c>
      <c r="E51" s="1005">
        <v>1.48</v>
      </c>
      <c r="F51" s="1007">
        <v>0.12139999999999999</v>
      </c>
      <c r="G51" s="92"/>
      <c r="H51" s="92"/>
      <c r="I51" s="92"/>
      <c r="J51" s="92"/>
      <c r="K51" s="92"/>
      <c r="L51" s="92"/>
      <c r="M51" s="92"/>
      <c r="N51" s="92"/>
      <c r="O51" s="92"/>
      <c r="P51" s="92"/>
      <c r="Q51" s="92"/>
      <c r="R51" s="92"/>
      <c r="S51" s="92"/>
      <c r="T51" s="92"/>
      <c r="U51" s="92"/>
      <c r="V51" s="92"/>
      <c r="W51" s="92"/>
      <c r="X51" s="92"/>
      <c r="Y51" s="92"/>
      <c r="Z51" s="92"/>
    </row>
    <row r="52" spans="1:26" ht="15.75" hidden="1" customHeight="1">
      <c r="A52" s="1008" t="s">
        <v>150</v>
      </c>
      <c r="B52" s="1009">
        <v>65</v>
      </c>
      <c r="C52" s="1009">
        <v>3.15</v>
      </c>
      <c r="D52" s="1010">
        <v>9.8000000000000004E-2</v>
      </c>
      <c r="E52" s="1009">
        <v>4.28</v>
      </c>
      <c r="F52" s="1011">
        <v>0.14849999999999999</v>
      </c>
      <c r="G52" s="92"/>
      <c r="H52" s="92"/>
      <c r="I52" s="92"/>
      <c r="J52" s="92"/>
      <c r="K52" s="92"/>
      <c r="L52" s="92"/>
      <c r="M52" s="92"/>
      <c r="N52" s="92"/>
      <c r="O52" s="92"/>
      <c r="P52" s="92"/>
      <c r="Q52" s="92"/>
      <c r="R52" s="92"/>
      <c r="S52" s="92"/>
      <c r="T52" s="92"/>
      <c r="U52" s="92"/>
      <c r="V52" s="92"/>
      <c r="W52" s="92"/>
      <c r="X52" s="92"/>
      <c r="Y52" s="92"/>
      <c r="Z52" s="92"/>
    </row>
    <row r="53" spans="1:26" ht="15.75" hidden="1" customHeight="1">
      <c r="A53" s="1004" t="s">
        <v>151</v>
      </c>
      <c r="B53" s="1005">
        <v>101</v>
      </c>
      <c r="C53" s="1005">
        <v>3.16</v>
      </c>
      <c r="D53" s="1006">
        <v>0.1038</v>
      </c>
      <c r="E53" s="1005">
        <v>3.53</v>
      </c>
      <c r="F53" s="1007">
        <v>0.18529999999999999</v>
      </c>
      <c r="G53" s="92"/>
      <c r="H53" s="92"/>
      <c r="I53" s="92"/>
      <c r="J53" s="92"/>
      <c r="K53" s="92"/>
      <c r="L53" s="92"/>
      <c r="M53" s="92"/>
      <c r="N53" s="92"/>
      <c r="O53" s="92"/>
      <c r="P53" s="92"/>
      <c r="Q53" s="92"/>
      <c r="R53" s="92"/>
      <c r="S53" s="92"/>
      <c r="T53" s="92"/>
      <c r="U53" s="92"/>
      <c r="V53" s="92"/>
      <c r="W53" s="92"/>
      <c r="X53" s="92"/>
      <c r="Y53" s="92"/>
      <c r="Z53" s="92"/>
    </row>
    <row r="54" spans="1:26" ht="15.75" hidden="1" customHeight="1">
      <c r="A54" s="1008" t="s">
        <v>152</v>
      </c>
      <c r="B54" s="1009">
        <v>16</v>
      </c>
      <c r="C54" s="1009">
        <v>1.73</v>
      </c>
      <c r="D54" s="1010">
        <v>6.2300000000000001E-2</v>
      </c>
      <c r="E54" s="1009">
        <v>2.27</v>
      </c>
      <c r="F54" s="1011">
        <v>0.1215</v>
      </c>
      <c r="G54" s="92"/>
      <c r="H54" s="92"/>
      <c r="I54" s="92"/>
      <c r="J54" s="92"/>
      <c r="K54" s="92"/>
      <c r="L54" s="92"/>
      <c r="M54" s="92"/>
      <c r="N54" s="92"/>
      <c r="O54" s="92"/>
      <c r="P54" s="92"/>
      <c r="Q54" s="92"/>
      <c r="R54" s="92"/>
      <c r="S54" s="92"/>
      <c r="T54" s="92"/>
      <c r="U54" s="92"/>
      <c r="V54" s="92"/>
      <c r="W54" s="92"/>
      <c r="X54" s="92"/>
      <c r="Y54" s="92"/>
      <c r="Z54" s="92"/>
    </row>
    <row r="55" spans="1:26" ht="15.75" hidden="1" customHeight="1">
      <c r="A55" s="1004" t="s">
        <v>153</v>
      </c>
      <c r="B55" s="1005">
        <v>22</v>
      </c>
      <c r="C55" s="1005">
        <v>2.72</v>
      </c>
      <c r="D55" s="1006">
        <v>4.1599999999999998E-2</v>
      </c>
      <c r="E55" s="1005">
        <v>3.11</v>
      </c>
      <c r="F55" s="1007">
        <v>0.16489999999999999</v>
      </c>
      <c r="G55" s="92"/>
      <c r="H55" s="92"/>
      <c r="I55" s="92"/>
      <c r="J55" s="92"/>
      <c r="K55" s="92"/>
      <c r="L55" s="92"/>
      <c r="M55" s="92"/>
      <c r="N55" s="92"/>
      <c r="O55" s="92"/>
      <c r="P55" s="92"/>
      <c r="Q55" s="92"/>
      <c r="R55" s="92"/>
      <c r="S55" s="92"/>
      <c r="T55" s="92"/>
      <c r="U55" s="92"/>
      <c r="V55" s="92"/>
      <c r="W55" s="92"/>
      <c r="X55" s="92"/>
      <c r="Y55" s="92"/>
      <c r="Z55" s="92"/>
    </row>
    <row r="56" spans="1:26" ht="15.75" hidden="1" customHeight="1">
      <c r="A56" s="1008" t="s">
        <v>154</v>
      </c>
      <c r="B56" s="1009">
        <v>19</v>
      </c>
      <c r="C56" s="1009">
        <v>0.95</v>
      </c>
      <c r="D56" s="1010">
        <v>5.9499999999999997E-2</v>
      </c>
      <c r="E56" s="1009">
        <v>1.24</v>
      </c>
      <c r="F56" s="1011">
        <v>8.2500000000000004E-2</v>
      </c>
      <c r="G56" s="92"/>
      <c r="H56" s="92"/>
      <c r="I56" s="92"/>
      <c r="J56" s="92"/>
      <c r="K56" s="92"/>
      <c r="L56" s="92"/>
      <c r="M56" s="92"/>
      <c r="N56" s="92"/>
      <c r="O56" s="92"/>
      <c r="P56" s="92"/>
      <c r="Q56" s="92"/>
      <c r="R56" s="92"/>
      <c r="S56" s="92"/>
      <c r="T56" s="92"/>
      <c r="U56" s="92"/>
      <c r="V56" s="92"/>
      <c r="W56" s="92"/>
      <c r="X56" s="92"/>
      <c r="Y56" s="92"/>
      <c r="Z56" s="92"/>
    </row>
    <row r="57" spans="1:26" ht="15.75" hidden="1" customHeight="1">
      <c r="A57" s="1004" t="s">
        <v>155</v>
      </c>
      <c r="B57" s="1005">
        <v>53</v>
      </c>
      <c r="C57" s="1005">
        <v>1.37</v>
      </c>
      <c r="D57" s="1006">
        <v>9.8799999999999999E-2</v>
      </c>
      <c r="E57" s="1005">
        <v>1.51</v>
      </c>
      <c r="F57" s="1007">
        <v>0.13700000000000001</v>
      </c>
      <c r="G57" s="92"/>
      <c r="H57" s="92"/>
      <c r="I57" s="92"/>
      <c r="J57" s="92"/>
      <c r="K57" s="92"/>
      <c r="L57" s="92"/>
      <c r="M57" s="92"/>
      <c r="N57" s="92"/>
      <c r="O57" s="92"/>
      <c r="P57" s="92"/>
      <c r="Q57" s="92"/>
      <c r="R57" s="92"/>
      <c r="S57" s="92"/>
      <c r="T57" s="92"/>
      <c r="U57" s="92"/>
      <c r="V57" s="92"/>
      <c r="W57" s="92"/>
      <c r="X57" s="92"/>
      <c r="Y57" s="92"/>
      <c r="Z57" s="92"/>
    </row>
    <row r="58" spans="1:26" ht="15.75" hidden="1" customHeight="1">
      <c r="A58" s="1008" t="s">
        <v>156</v>
      </c>
      <c r="B58" s="1009">
        <v>231</v>
      </c>
      <c r="C58" s="1009">
        <v>4.95</v>
      </c>
      <c r="D58" s="1010">
        <v>0.1759</v>
      </c>
      <c r="E58" s="1009">
        <v>6.01</v>
      </c>
      <c r="F58" s="1011">
        <v>0.14080000000000001</v>
      </c>
      <c r="G58" s="92"/>
      <c r="H58" s="92"/>
      <c r="I58" s="92"/>
      <c r="J58" s="92"/>
      <c r="K58" s="92"/>
      <c r="L58" s="92"/>
      <c r="M58" s="92"/>
      <c r="N58" s="92"/>
      <c r="O58" s="92"/>
      <c r="P58" s="92"/>
      <c r="Q58" s="92"/>
      <c r="R58" s="92"/>
      <c r="S58" s="92"/>
      <c r="T58" s="92"/>
      <c r="U58" s="92"/>
      <c r="V58" s="92"/>
      <c r="W58" s="92"/>
      <c r="X58" s="92"/>
      <c r="Y58" s="92"/>
      <c r="Z58" s="92"/>
    </row>
    <row r="59" spans="1:26" ht="15.75" hidden="1" customHeight="1">
      <c r="A59" s="1004" t="s">
        <v>157</v>
      </c>
      <c r="B59" s="1005">
        <v>109</v>
      </c>
      <c r="C59" s="1005">
        <v>2.87</v>
      </c>
      <c r="D59" s="1006">
        <v>0.1004</v>
      </c>
      <c r="E59" s="1005">
        <v>3.23</v>
      </c>
      <c r="F59" s="1007">
        <v>0.1598</v>
      </c>
      <c r="G59" s="92"/>
      <c r="H59" s="92"/>
      <c r="I59" s="92"/>
      <c r="J59" s="92"/>
      <c r="K59" s="92"/>
      <c r="L59" s="92"/>
      <c r="M59" s="92"/>
      <c r="N59" s="92"/>
      <c r="O59" s="92"/>
      <c r="P59" s="92"/>
      <c r="Q59" s="92"/>
      <c r="R59" s="92"/>
      <c r="S59" s="92"/>
      <c r="T59" s="92"/>
      <c r="U59" s="92"/>
      <c r="V59" s="92"/>
      <c r="W59" s="92"/>
      <c r="X59" s="92"/>
      <c r="Y59" s="92"/>
      <c r="Z59" s="92"/>
    </row>
    <row r="60" spans="1:26" ht="15.75" hidden="1" customHeight="1">
      <c r="A60" s="1008" t="s">
        <v>158</v>
      </c>
      <c r="B60" s="1009">
        <v>64</v>
      </c>
      <c r="C60" s="1009">
        <v>2.62</v>
      </c>
      <c r="D60" s="1010">
        <v>7.3899999999999993E-2</v>
      </c>
      <c r="E60" s="1009">
        <v>2.89</v>
      </c>
      <c r="F60" s="1011">
        <v>0.22620000000000001</v>
      </c>
      <c r="G60" s="92"/>
      <c r="H60" s="92"/>
      <c r="I60" s="92"/>
      <c r="J60" s="92"/>
      <c r="K60" s="92"/>
      <c r="L60" s="92"/>
      <c r="M60" s="92"/>
      <c r="N60" s="92"/>
      <c r="O60" s="92"/>
      <c r="P60" s="92"/>
      <c r="Q60" s="92"/>
      <c r="R60" s="92"/>
      <c r="S60" s="92"/>
      <c r="T60" s="92"/>
      <c r="U60" s="92"/>
      <c r="V60" s="92"/>
      <c r="W60" s="92"/>
      <c r="X60" s="92"/>
      <c r="Y60" s="92"/>
      <c r="Z60" s="92"/>
    </row>
    <row r="61" spans="1:26" ht="15.75" hidden="1" customHeight="1">
      <c r="A61" s="1004" t="s">
        <v>159</v>
      </c>
      <c r="B61" s="1005">
        <v>14</v>
      </c>
      <c r="C61" s="1005">
        <v>0.89</v>
      </c>
      <c r="D61" s="1006">
        <v>1.06E-2</v>
      </c>
      <c r="E61" s="1005">
        <v>1.2</v>
      </c>
      <c r="F61" s="1007">
        <v>8.4599999999999995E-2</v>
      </c>
      <c r="G61" s="92"/>
      <c r="H61" s="92"/>
      <c r="I61" s="92"/>
      <c r="J61" s="92"/>
      <c r="K61" s="92"/>
      <c r="L61" s="92"/>
      <c r="M61" s="92"/>
      <c r="N61" s="92"/>
      <c r="O61" s="92"/>
      <c r="P61" s="92"/>
      <c r="Q61" s="92"/>
      <c r="R61" s="92"/>
      <c r="S61" s="92"/>
      <c r="T61" s="92"/>
      <c r="U61" s="92"/>
      <c r="V61" s="92"/>
      <c r="W61" s="92"/>
      <c r="X61" s="92"/>
      <c r="Y61" s="92"/>
      <c r="Z61" s="92"/>
    </row>
    <row r="62" spans="1:26" ht="15.75" hidden="1" customHeight="1">
      <c r="A62" s="1008" t="s">
        <v>160</v>
      </c>
      <c r="B62" s="1009">
        <v>4</v>
      </c>
      <c r="C62" s="1009">
        <v>1.39</v>
      </c>
      <c r="D62" s="1010">
        <v>9.7500000000000003E-2</v>
      </c>
      <c r="E62" s="1009">
        <v>1.52</v>
      </c>
      <c r="F62" s="1011">
        <v>0.1371</v>
      </c>
      <c r="G62" s="92"/>
      <c r="H62" s="92"/>
      <c r="I62" s="92"/>
      <c r="J62" s="92"/>
      <c r="K62" s="92"/>
      <c r="L62" s="92"/>
      <c r="M62" s="92"/>
      <c r="N62" s="92"/>
      <c r="O62" s="92"/>
      <c r="P62" s="92"/>
      <c r="Q62" s="92"/>
      <c r="R62" s="92"/>
      <c r="S62" s="92"/>
      <c r="T62" s="92"/>
      <c r="U62" s="92"/>
      <c r="V62" s="92"/>
      <c r="W62" s="92"/>
      <c r="X62" s="92"/>
      <c r="Y62" s="92"/>
      <c r="Z62" s="92"/>
    </row>
    <row r="63" spans="1:26" ht="15.75" hidden="1" customHeight="1">
      <c r="A63" s="1004" t="s">
        <v>256</v>
      </c>
      <c r="B63" s="1005">
        <v>147</v>
      </c>
      <c r="C63" s="1005">
        <v>2.5099999999999998</v>
      </c>
      <c r="D63" s="1006">
        <v>0.19520000000000001</v>
      </c>
      <c r="E63" s="1005">
        <v>3.08</v>
      </c>
      <c r="F63" s="1007">
        <v>0.30059999999999998</v>
      </c>
      <c r="G63" s="92"/>
      <c r="H63" s="92"/>
      <c r="I63" s="92"/>
      <c r="J63" s="92"/>
      <c r="K63" s="92"/>
      <c r="L63" s="92"/>
      <c r="M63" s="92"/>
      <c r="N63" s="92"/>
      <c r="O63" s="92"/>
      <c r="P63" s="92"/>
      <c r="Q63" s="92"/>
      <c r="R63" s="92"/>
      <c r="S63" s="92"/>
      <c r="T63" s="92"/>
      <c r="U63" s="92"/>
      <c r="V63" s="92"/>
      <c r="W63" s="92"/>
      <c r="X63" s="92"/>
      <c r="Y63" s="92"/>
      <c r="Z63" s="92"/>
    </row>
    <row r="64" spans="1:26" ht="15.75" hidden="1" customHeight="1">
      <c r="A64" s="1008" t="s">
        <v>162</v>
      </c>
      <c r="B64" s="1009">
        <v>24</v>
      </c>
      <c r="C64" s="1009">
        <v>3.33</v>
      </c>
      <c r="D64" s="1010">
        <v>0.16239999999999999</v>
      </c>
      <c r="E64" s="1009">
        <v>4.9800000000000004</v>
      </c>
      <c r="F64" s="1011">
        <v>0.28449999999999998</v>
      </c>
      <c r="G64" s="92"/>
      <c r="H64" s="92"/>
      <c r="I64" s="92"/>
      <c r="J64" s="92"/>
      <c r="K64" s="92"/>
      <c r="L64" s="92"/>
      <c r="M64" s="92"/>
      <c r="N64" s="92"/>
      <c r="O64" s="92"/>
      <c r="P64" s="92"/>
      <c r="Q64" s="92"/>
      <c r="R64" s="92"/>
      <c r="S64" s="92"/>
      <c r="T64" s="92"/>
      <c r="U64" s="92"/>
      <c r="V64" s="92"/>
      <c r="W64" s="92"/>
      <c r="X64" s="92"/>
      <c r="Y64" s="92"/>
      <c r="Z64" s="92"/>
    </row>
    <row r="65" spans="1:26" ht="15.75" hidden="1" customHeight="1">
      <c r="A65" s="1004" t="s">
        <v>163</v>
      </c>
      <c r="B65" s="1005">
        <v>97</v>
      </c>
      <c r="C65" s="1005">
        <v>0.47</v>
      </c>
      <c r="D65" s="1006">
        <v>3.3099999999999997E-2</v>
      </c>
      <c r="E65" s="1005">
        <v>0.61</v>
      </c>
      <c r="F65" s="1007">
        <v>5.1700000000000003E-2</v>
      </c>
      <c r="G65" s="92"/>
      <c r="H65" s="92"/>
      <c r="I65" s="92"/>
      <c r="J65" s="92"/>
      <c r="K65" s="92"/>
      <c r="L65" s="92"/>
      <c r="M65" s="92"/>
      <c r="N65" s="92"/>
      <c r="O65" s="92"/>
      <c r="P65" s="92"/>
      <c r="Q65" s="92"/>
      <c r="R65" s="92"/>
      <c r="S65" s="92"/>
      <c r="T65" s="92"/>
      <c r="U65" s="92"/>
      <c r="V65" s="92"/>
      <c r="W65" s="92"/>
      <c r="X65" s="92"/>
      <c r="Y65" s="92"/>
      <c r="Z65" s="92"/>
    </row>
    <row r="66" spans="1:26" ht="15.75" hidden="1" customHeight="1">
      <c r="A66" s="1008" t="s">
        <v>164</v>
      </c>
      <c r="B66" s="1009">
        <v>22</v>
      </c>
      <c r="C66" s="1009">
        <v>1.06</v>
      </c>
      <c r="D66" s="1010">
        <v>6.8199999999999997E-2</v>
      </c>
      <c r="E66" s="1009">
        <v>1.54</v>
      </c>
      <c r="F66" s="1011">
        <v>9.9900000000000003E-2</v>
      </c>
      <c r="G66" s="92"/>
      <c r="H66" s="92"/>
      <c r="I66" s="92"/>
      <c r="J66" s="92"/>
      <c r="K66" s="92"/>
      <c r="L66" s="92"/>
      <c r="M66" s="92"/>
      <c r="N66" s="92"/>
      <c r="O66" s="92"/>
      <c r="P66" s="92"/>
      <c r="Q66" s="92"/>
      <c r="R66" s="92"/>
      <c r="S66" s="92"/>
      <c r="T66" s="92"/>
      <c r="U66" s="92"/>
      <c r="V66" s="92"/>
      <c r="W66" s="92"/>
      <c r="X66" s="92"/>
      <c r="Y66" s="92"/>
      <c r="Z66" s="92"/>
    </row>
    <row r="67" spans="1:26" ht="15.75" hidden="1" customHeight="1">
      <c r="A67" s="1004" t="s">
        <v>165</v>
      </c>
      <c r="B67" s="1005">
        <v>6</v>
      </c>
      <c r="C67" s="1005">
        <v>1.05</v>
      </c>
      <c r="D67" s="1006">
        <v>6.5299999999999997E-2</v>
      </c>
      <c r="E67" s="1005">
        <v>1.23</v>
      </c>
      <c r="F67" s="1007">
        <v>0.1031</v>
      </c>
      <c r="G67" s="92"/>
      <c r="H67" s="92"/>
      <c r="I67" s="92"/>
      <c r="J67" s="92"/>
      <c r="K67" s="92"/>
      <c r="L67" s="92"/>
      <c r="M67" s="92"/>
      <c r="N67" s="92"/>
      <c r="O67" s="92"/>
      <c r="P67" s="92"/>
      <c r="Q67" s="92"/>
      <c r="R67" s="92"/>
      <c r="S67" s="92"/>
      <c r="T67" s="92"/>
      <c r="U67" s="92"/>
      <c r="V67" s="92"/>
      <c r="W67" s="92"/>
      <c r="X67" s="92"/>
      <c r="Y67" s="92"/>
      <c r="Z67" s="92"/>
    </row>
    <row r="68" spans="1:26" ht="15.75" hidden="1" customHeight="1">
      <c r="A68" s="1008" t="s">
        <v>166</v>
      </c>
      <c r="B68" s="1009">
        <v>48</v>
      </c>
      <c r="C68" s="1009">
        <v>2.4300000000000002</v>
      </c>
      <c r="D68" s="1010">
        <v>0.113</v>
      </c>
      <c r="E68" s="1009">
        <v>4.33</v>
      </c>
      <c r="F68" s="1011">
        <v>0.19670000000000001</v>
      </c>
      <c r="G68" s="92"/>
      <c r="H68" s="92"/>
      <c r="I68" s="92"/>
      <c r="J68" s="92"/>
      <c r="K68" s="92"/>
      <c r="L68" s="92"/>
      <c r="M68" s="92"/>
      <c r="N68" s="92"/>
      <c r="O68" s="92"/>
      <c r="P68" s="92"/>
      <c r="Q68" s="92"/>
      <c r="R68" s="92"/>
      <c r="S68" s="92"/>
      <c r="T68" s="92"/>
      <c r="U68" s="92"/>
      <c r="V68" s="92"/>
      <c r="W68" s="92"/>
      <c r="X68" s="92"/>
      <c r="Y68" s="92"/>
      <c r="Z68" s="92"/>
    </row>
    <row r="69" spans="1:26" ht="15.75" hidden="1" customHeight="1">
      <c r="A69" s="1004" t="s">
        <v>167</v>
      </c>
      <c r="B69" s="1005">
        <v>60</v>
      </c>
      <c r="C69" s="1005">
        <v>2.74</v>
      </c>
      <c r="D69" s="1006">
        <v>-4.8399999999999999E-2</v>
      </c>
      <c r="E69" s="1005">
        <v>3.06</v>
      </c>
      <c r="F69" s="1007">
        <v>0.18890000000000001</v>
      </c>
      <c r="G69" s="92"/>
      <c r="H69" s="92"/>
      <c r="I69" s="92"/>
      <c r="J69" s="92"/>
      <c r="K69" s="92"/>
      <c r="L69" s="92"/>
      <c r="M69" s="92"/>
      <c r="N69" s="92"/>
      <c r="O69" s="92"/>
      <c r="P69" s="92"/>
      <c r="Q69" s="92"/>
      <c r="R69" s="92"/>
      <c r="S69" s="92"/>
      <c r="T69" s="92"/>
      <c r="U69" s="92"/>
      <c r="V69" s="92"/>
      <c r="W69" s="92"/>
      <c r="X69" s="92"/>
      <c r="Y69" s="92"/>
      <c r="Z69" s="92"/>
    </row>
    <row r="70" spans="1:26" ht="15.75" hidden="1" customHeight="1">
      <c r="A70" s="1008" t="s">
        <v>168</v>
      </c>
      <c r="B70" s="1009">
        <v>19</v>
      </c>
      <c r="C70" s="1009">
        <v>1.32</v>
      </c>
      <c r="D70" s="1010">
        <v>2.2599999999999999E-2</v>
      </c>
      <c r="E70" s="1009">
        <v>1.59</v>
      </c>
      <c r="F70" s="1011">
        <v>8.2299999999999998E-2</v>
      </c>
      <c r="G70" s="92"/>
      <c r="H70" s="92"/>
      <c r="I70" s="92"/>
      <c r="J70" s="92"/>
      <c r="K70" s="92"/>
      <c r="L70" s="92"/>
      <c r="M70" s="92"/>
      <c r="N70" s="92"/>
      <c r="O70" s="92"/>
      <c r="P70" s="92"/>
      <c r="Q70" s="92"/>
      <c r="R70" s="92"/>
      <c r="S70" s="92"/>
      <c r="T70" s="92"/>
      <c r="U70" s="92"/>
      <c r="V70" s="92"/>
      <c r="W70" s="92"/>
      <c r="X70" s="92"/>
      <c r="Y70" s="92"/>
      <c r="Z70" s="92"/>
    </row>
    <row r="71" spans="1:26" ht="15.75" hidden="1" customHeight="1">
      <c r="A71" s="1004" t="s">
        <v>169</v>
      </c>
      <c r="B71" s="1005">
        <v>192</v>
      </c>
      <c r="C71" s="1005">
        <v>6.02</v>
      </c>
      <c r="D71" s="1006">
        <v>0.12529999999999999</v>
      </c>
      <c r="E71" s="1005">
        <v>10.83</v>
      </c>
      <c r="F71" s="1007">
        <v>0.2223</v>
      </c>
      <c r="G71" s="92"/>
      <c r="H71" s="92"/>
      <c r="I71" s="92"/>
      <c r="J71" s="92"/>
      <c r="K71" s="92"/>
      <c r="L71" s="92"/>
      <c r="M71" s="92"/>
      <c r="N71" s="92"/>
      <c r="O71" s="92"/>
      <c r="P71" s="92"/>
      <c r="Q71" s="92"/>
      <c r="R71" s="92"/>
      <c r="S71" s="92"/>
      <c r="T71" s="92"/>
      <c r="U71" s="92"/>
      <c r="V71" s="92"/>
      <c r="W71" s="92"/>
      <c r="X71" s="92"/>
      <c r="Y71" s="92"/>
      <c r="Z71" s="92"/>
    </row>
    <row r="72" spans="1:26" ht="15.75" customHeight="1">
      <c r="A72" s="1008" t="s">
        <v>170</v>
      </c>
      <c r="B72" s="1009">
        <v>15</v>
      </c>
      <c r="C72" s="1009">
        <v>2.06</v>
      </c>
      <c r="D72" s="1010">
        <v>0.11119999999999999</v>
      </c>
      <c r="E72" s="1009">
        <v>3.96</v>
      </c>
      <c r="F72" s="1011">
        <v>0.1348</v>
      </c>
      <c r="G72" s="92"/>
      <c r="H72" s="92"/>
      <c r="I72" s="92"/>
      <c r="J72" s="92"/>
      <c r="K72" s="92"/>
      <c r="L72" s="92"/>
      <c r="M72" s="92"/>
      <c r="N72" s="92"/>
      <c r="O72" s="92"/>
      <c r="P72" s="92"/>
      <c r="Q72" s="92"/>
      <c r="R72" s="92"/>
      <c r="S72" s="92"/>
      <c r="T72" s="92"/>
      <c r="U72" s="92"/>
      <c r="V72" s="92"/>
      <c r="W72" s="92"/>
      <c r="X72" s="92"/>
      <c r="Y72" s="92"/>
      <c r="Z72" s="92"/>
    </row>
    <row r="73" spans="1:26" ht="15.75" customHeight="1">
      <c r="A73" s="1004" t="s">
        <v>171</v>
      </c>
      <c r="B73" s="1005">
        <v>11</v>
      </c>
      <c r="C73" s="1005">
        <v>3.24</v>
      </c>
      <c r="D73" s="1006">
        <v>8.6400000000000005E-2</v>
      </c>
      <c r="E73" s="1005">
        <v>4.0999999999999996</v>
      </c>
      <c r="F73" s="1007">
        <v>0.1124</v>
      </c>
      <c r="G73" s="92"/>
      <c r="H73" s="92"/>
      <c r="I73" s="92"/>
      <c r="J73" s="92"/>
      <c r="K73" s="92"/>
      <c r="L73" s="92"/>
      <c r="M73" s="92"/>
      <c r="N73" s="92"/>
      <c r="O73" s="92"/>
      <c r="P73" s="92"/>
      <c r="Q73" s="92"/>
      <c r="R73" s="92"/>
      <c r="S73" s="92"/>
      <c r="T73" s="92"/>
      <c r="U73" s="92"/>
      <c r="V73" s="92"/>
      <c r="W73" s="92"/>
      <c r="X73" s="92"/>
      <c r="Y73" s="92"/>
      <c r="Z73" s="92"/>
    </row>
    <row r="74" spans="1:26" ht="15.75" customHeight="1">
      <c r="A74" s="1008" t="s">
        <v>257</v>
      </c>
      <c r="B74" s="1009">
        <v>60</v>
      </c>
      <c r="C74" s="1009">
        <v>1.28</v>
      </c>
      <c r="D74" s="1010">
        <v>-7.9000000000000008E-3</v>
      </c>
      <c r="E74" s="1009">
        <v>1.53</v>
      </c>
      <c r="F74" s="1011">
        <v>1.3599999999999999E-2</v>
      </c>
      <c r="G74" s="92"/>
      <c r="H74" s="92"/>
      <c r="I74" s="92"/>
      <c r="J74" s="92"/>
      <c r="K74" s="92"/>
      <c r="L74" s="92"/>
      <c r="M74" s="92"/>
      <c r="N74" s="92"/>
      <c r="O74" s="92"/>
      <c r="P74" s="92"/>
      <c r="Q74" s="92"/>
      <c r="R74" s="92"/>
      <c r="S74" s="92"/>
      <c r="T74" s="92"/>
      <c r="U74" s="92"/>
      <c r="V74" s="92"/>
      <c r="W74" s="92"/>
      <c r="X74" s="92"/>
      <c r="Y74" s="92"/>
      <c r="Z74" s="92"/>
    </row>
    <row r="75" spans="1:26" ht="15.75" hidden="1" customHeight="1">
      <c r="A75" s="1004" t="s">
        <v>173</v>
      </c>
      <c r="B75" s="1005">
        <v>50</v>
      </c>
      <c r="C75" s="1005">
        <v>1.26</v>
      </c>
      <c r="D75" s="1006">
        <v>6.4999999999999997E-3</v>
      </c>
      <c r="E75" s="1005">
        <v>1.99</v>
      </c>
      <c r="F75" s="1007">
        <v>7.4800000000000005E-2</v>
      </c>
      <c r="G75" s="92"/>
      <c r="H75" s="92"/>
      <c r="I75" s="92"/>
      <c r="J75" s="92"/>
      <c r="K75" s="92"/>
      <c r="L75" s="92"/>
      <c r="M75" s="92"/>
      <c r="N75" s="92"/>
      <c r="O75" s="92"/>
      <c r="P75" s="92"/>
      <c r="Q75" s="92"/>
      <c r="R75" s="92"/>
      <c r="S75" s="92"/>
      <c r="T75" s="92"/>
      <c r="U75" s="92"/>
      <c r="V75" s="92"/>
      <c r="W75" s="92"/>
      <c r="X75" s="92"/>
      <c r="Y75" s="92"/>
      <c r="Z75" s="92"/>
    </row>
    <row r="76" spans="1:26" ht="15.75" hidden="1" customHeight="1">
      <c r="A76" s="1008" t="s">
        <v>174</v>
      </c>
      <c r="B76" s="1009">
        <v>1</v>
      </c>
      <c r="C76" s="1009">
        <v>0.64</v>
      </c>
      <c r="D76" s="1010">
        <v>3.32E-2</v>
      </c>
      <c r="E76" s="1009">
        <v>0.64</v>
      </c>
      <c r="F76" s="1011">
        <v>5.5300000000000002E-2</v>
      </c>
      <c r="G76" s="92"/>
      <c r="H76" s="92"/>
      <c r="I76" s="92"/>
      <c r="J76" s="92"/>
      <c r="K76" s="92"/>
      <c r="L76" s="92"/>
      <c r="M76" s="92"/>
      <c r="N76" s="92"/>
      <c r="O76" s="92"/>
      <c r="P76" s="92"/>
      <c r="Q76" s="92"/>
      <c r="R76" s="92"/>
      <c r="S76" s="92"/>
      <c r="T76" s="92"/>
      <c r="U76" s="92"/>
      <c r="V76" s="92"/>
      <c r="W76" s="92"/>
      <c r="X76" s="92"/>
      <c r="Y76" s="92"/>
      <c r="Z76" s="92"/>
    </row>
    <row r="77" spans="1:26" ht="15.75" hidden="1" customHeight="1">
      <c r="A77" s="1004" t="s">
        <v>175</v>
      </c>
      <c r="B77" s="1005">
        <v>62</v>
      </c>
      <c r="C77" s="1005">
        <v>3.69</v>
      </c>
      <c r="D77" s="1006">
        <v>0.1062</v>
      </c>
      <c r="E77" s="1005">
        <v>4.47</v>
      </c>
      <c r="F77" s="1007">
        <v>0.13900000000000001</v>
      </c>
      <c r="G77" s="92"/>
      <c r="H77" s="92"/>
      <c r="I77" s="92"/>
      <c r="J77" s="92"/>
      <c r="K77" s="92"/>
      <c r="L77" s="92"/>
      <c r="M77" s="92"/>
      <c r="N77" s="92"/>
      <c r="O77" s="92"/>
      <c r="P77" s="92"/>
      <c r="Q77" s="92"/>
      <c r="R77" s="92"/>
      <c r="S77" s="92"/>
      <c r="T77" s="92"/>
      <c r="U77" s="92"/>
      <c r="V77" s="92"/>
      <c r="W77" s="92"/>
      <c r="X77" s="92"/>
      <c r="Y77" s="92"/>
      <c r="Z77" s="92"/>
    </row>
    <row r="78" spans="1:26" ht="15.75" hidden="1" customHeight="1">
      <c r="A78" s="1008" t="s">
        <v>176</v>
      </c>
      <c r="B78" s="1009">
        <v>29</v>
      </c>
      <c r="C78" s="1009">
        <v>0.82</v>
      </c>
      <c r="D78" s="1010">
        <v>3.3300000000000003E-2</v>
      </c>
      <c r="E78" s="1009">
        <v>1.22</v>
      </c>
      <c r="F78" s="1011">
        <v>5.6000000000000001E-2</v>
      </c>
      <c r="G78" s="92"/>
      <c r="H78" s="92"/>
      <c r="I78" s="92"/>
      <c r="J78" s="92"/>
      <c r="K78" s="92"/>
      <c r="L78" s="92"/>
      <c r="M78" s="92"/>
      <c r="N78" s="92"/>
      <c r="O78" s="92"/>
      <c r="P78" s="92"/>
      <c r="Q78" s="92"/>
      <c r="R78" s="92"/>
      <c r="S78" s="92"/>
      <c r="T78" s="92"/>
      <c r="U78" s="92"/>
      <c r="V78" s="92"/>
      <c r="W78" s="92"/>
      <c r="X78" s="92"/>
      <c r="Y78" s="92"/>
      <c r="Z78" s="92"/>
    </row>
    <row r="79" spans="1:26" ht="15.75" hidden="1" customHeight="1">
      <c r="A79" s="1004" t="s">
        <v>177</v>
      </c>
      <c r="B79" s="1005">
        <v>13</v>
      </c>
      <c r="C79" s="1005">
        <v>2.12</v>
      </c>
      <c r="D79" s="1006">
        <v>8.0799999999999997E-2</v>
      </c>
      <c r="E79" s="1005">
        <v>2.52</v>
      </c>
      <c r="F79" s="1007">
        <v>0.1197</v>
      </c>
      <c r="G79" s="92"/>
      <c r="H79" s="92"/>
      <c r="I79" s="92"/>
      <c r="J79" s="92"/>
      <c r="K79" s="92"/>
      <c r="L79" s="92"/>
      <c r="M79" s="92"/>
      <c r="N79" s="92"/>
      <c r="O79" s="92"/>
      <c r="P79" s="92"/>
      <c r="Q79" s="92"/>
      <c r="R79" s="92"/>
      <c r="S79" s="92"/>
      <c r="T79" s="92"/>
      <c r="U79" s="92"/>
      <c r="V79" s="92"/>
      <c r="W79" s="92"/>
      <c r="X79" s="92"/>
      <c r="Y79" s="92"/>
      <c r="Z79" s="92"/>
    </row>
    <row r="80" spans="1:26" ht="15.75" hidden="1" customHeight="1">
      <c r="A80" s="1008" t="s">
        <v>178</v>
      </c>
      <c r="B80" s="1009">
        <v>66</v>
      </c>
      <c r="C80" s="1009">
        <v>1.41</v>
      </c>
      <c r="D80" s="1010">
        <v>6.4500000000000002E-2</v>
      </c>
      <c r="E80" s="1009">
        <v>1.81</v>
      </c>
      <c r="F80" s="1011">
        <v>0.1079</v>
      </c>
      <c r="G80" s="92"/>
      <c r="H80" s="92"/>
      <c r="I80" s="92"/>
      <c r="J80" s="92"/>
      <c r="K80" s="92"/>
      <c r="L80" s="92"/>
      <c r="M80" s="92"/>
      <c r="N80" s="92"/>
      <c r="O80" s="92"/>
      <c r="P80" s="92"/>
      <c r="Q80" s="92"/>
      <c r="R80" s="92"/>
      <c r="S80" s="92"/>
      <c r="T80" s="92"/>
      <c r="U80" s="92"/>
      <c r="V80" s="92"/>
      <c r="W80" s="92"/>
      <c r="X80" s="92"/>
      <c r="Y80" s="92"/>
      <c r="Z80" s="92"/>
    </row>
    <row r="81" spans="1:26" ht="15.75" hidden="1" customHeight="1">
      <c r="A81" s="1004" t="s">
        <v>179</v>
      </c>
      <c r="B81" s="1005">
        <v>24</v>
      </c>
      <c r="C81" s="1005">
        <v>1.94</v>
      </c>
      <c r="D81" s="1006">
        <v>4.5999999999999999E-2</v>
      </c>
      <c r="E81" s="1005">
        <v>2.0499999999999998</v>
      </c>
      <c r="F81" s="1007">
        <v>5.9200000000000003E-2</v>
      </c>
      <c r="G81" s="92"/>
      <c r="H81" s="92"/>
      <c r="I81" s="92"/>
      <c r="J81" s="92"/>
      <c r="K81" s="92"/>
      <c r="L81" s="92"/>
      <c r="M81" s="92"/>
      <c r="N81" s="92"/>
      <c r="O81" s="92"/>
      <c r="P81" s="92"/>
      <c r="Q81" s="92"/>
      <c r="R81" s="92"/>
      <c r="S81" s="92"/>
      <c r="T81" s="92"/>
      <c r="U81" s="92"/>
      <c r="V81" s="92"/>
      <c r="W81" s="92"/>
      <c r="X81" s="92"/>
      <c r="Y81" s="92"/>
      <c r="Z81" s="92"/>
    </row>
    <row r="82" spans="1:26" ht="15.75" hidden="1" customHeight="1">
      <c r="A82" s="1008" t="s">
        <v>180</v>
      </c>
      <c r="B82" s="1009">
        <v>17</v>
      </c>
      <c r="C82" s="1009">
        <v>0.36</v>
      </c>
      <c r="D82" s="1010">
        <v>1.9699999999999999E-2</v>
      </c>
      <c r="E82" s="1009">
        <v>0.49</v>
      </c>
      <c r="F82" s="1011">
        <v>2.93E-2</v>
      </c>
      <c r="G82" s="92"/>
      <c r="H82" s="92"/>
      <c r="I82" s="92"/>
      <c r="J82" s="92"/>
      <c r="K82" s="92"/>
      <c r="L82" s="92"/>
      <c r="M82" s="92"/>
      <c r="N82" s="92"/>
      <c r="O82" s="92"/>
      <c r="P82" s="92"/>
      <c r="Q82" s="92"/>
      <c r="R82" s="92"/>
      <c r="S82" s="92"/>
      <c r="T82" s="92"/>
      <c r="U82" s="92"/>
      <c r="V82" s="92"/>
      <c r="W82" s="92"/>
      <c r="X82" s="92"/>
      <c r="Y82" s="92"/>
      <c r="Z82" s="92"/>
    </row>
    <row r="83" spans="1:26" ht="15.75" hidden="1" customHeight="1">
      <c r="A83" s="1004" t="s">
        <v>181</v>
      </c>
      <c r="B83" s="1005">
        <v>28</v>
      </c>
      <c r="C83" s="1005">
        <v>8.06</v>
      </c>
      <c r="D83" s="1006">
        <v>0.25469999999999998</v>
      </c>
      <c r="E83" s="1005">
        <v>12.22</v>
      </c>
      <c r="F83" s="1007">
        <v>0.37280000000000002</v>
      </c>
      <c r="G83" s="92"/>
      <c r="H83" s="92"/>
      <c r="I83" s="92"/>
      <c r="J83" s="92"/>
      <c r="K83" s="92"/>
      <c r="L83" s="92"/>
      <c r="M83" s="92"/>
      <c r="N83" s="92"/>
      <c r="O83" s="92"/>
      <c r="P83" s="92"/>
      <c r="Q83" s="92"/>
      <c r="R83" s="92"/>
      <c r="S83" s="92"/>
      <c r="T83" s="92"/>
      <c r="U83" s="92"/>
      <c r="V83" s="92"/>
      <c r="W83" s="92"/>
      <c r="X83" s="92"/>
      <c r="Y83" s="92"/>
      <c r="Z83" s="92"/>
    </row>
    <row r="84" spans="1:26" ht="15.75" hidden="1" customHeight="1">
      <c r="A84" s="1008" t="s">
        <v>182</v>
      </c>
      <c r="B84" s="1009">
        <v>98</v>
      </c>
      <c r="C84" s="1009">
        <v>0.87</v>
      </c>
      <c r="D84" s="1010">
        <v>1.49E-2</v>
      </c>
      <c r="E84" s="1009">
        <v>1.07</v>
      </c>
      <c r="F84" s="1011">
        <v>5.2999999999999999E-2</v>
      </c>
      <c r="G84" s="92"/>
      <c r="H84" s="92"/>
      <c r="I84" s="92"/>
      <c r="J84" s="92"/>
      <c r="K84" s="92"/>
      <c r="L84" s="92"/>
      <c r="M84" s="92"/>
      <c r="N84" s="92"/>
      <c r="O84" s="92"/>
      <c r="P84" s="92"/>
      <c r="Q84" s="92"/>
      <c r="R84" s="92"/>
      <c r="S84" s="92"/>
      <c r="T84" s="92"/>
      <c r="U84" s="92"/>
      <c r="V84" s="92"/>
      <c r="W84" s="92"/>
      <c r="X84" s="92"/>
      <c r="Y84" s="92"/>
      <c r="Z84" s="92"/>
    </row>
    <row r="85" spans="1:26" ht="15.75" hidden="1" customHeight="1">
      <c r="A85" s="1004" t="s">
        <v>183</v>
      </c>
      <c r="B85" s="1005">
        <v>3</v>
      </c>
      <c r="C85" s="1005">
        <v>0.14000000000000001</v>
      </c>
      <c r="D85" s="1006">
        <v>-1.7000000000000001E-2</v>
      </c>
      <c r="E85" s="1005">
        <v>0.62</v>
      </c>
      <c r="F85" s="1007">
        <v>4.3400000000000001E-2</v>
      </c>
      <c r="G85" s="92"/>
      <c r="H85" s="92"/>
      <c r="I85" s="92"/>
      <c r="J85" s="92"/>
      <c r="K85" s="92"/>
      <c r="L85" s="92"/>
      <c r="M85" s="92"/>
      <c r="N85" s="92"/>
      <c r="O85" s="92"/>
      <c r="P85" s="92"/>
      <c r="Q85" s="92"/>
      <c r="R85" s="92"/>
      <c r="S85" s="92"/>
      <c r="T85" s="92"/>
      <c r="U85" s="92"/>
      <c r="V85" s="92"/>
      <c r="W85" s="92"/>
      <c r="X85" s="92"/>
      <c r="Y85" s="92"/>
      <c r="Z85" s="92"/>
    </row>
    <row r="86" spans="1:26" ht="15.75" hidden="1" customHeight="1">
      <c r="A86" s="1008" t="s">
        <v>184</v>
      </c>
      <c r="B86" s="1009">
        <v>63</v>
      </c>
      <c r="C86" s="1009">
        <v>14.26</v>
      </c>
      <c r="D86" s="1010">
        <v>0.1996</v>
      </c>
      <c r="E86" s="1009">
        <v>14.65</v>
      </c>
      <c r="F86" s="1011">
        <v>0.29730000000000001</v>
      </c>
      <c r="G86" s="92"/>
      <c r="H86" s="92"/>
      <c r="I86" s="92"/>
      <c r="J86" s="92"/>
      <c r="K86" s="92"/>
      <c r="L86" s="92"/>
      <c r="M86" s="92"/>
      <c r="N86" s="92"/>
      <c r="O86" s="92"/>
      <c r="P86" s="92"/>
      <c r="Q86" s="92"/>
      <c r="R86" s="92"/>
      <c r="S86" s="92"/>
      <c r="T86" s="92"/>
      <c r="U86" s="92"/>
      <c r="V86" s="92"/>
      <c r="W86" s="92"/>
      <c r="X86" s="92"/>
      <c r="Y86" s="92"/>
      <c r="Z86" s="92"/>
    </row>
    <row r="87" spans="1:26" ht="15.75" hidden="1" customHeight="1">
      <c r="A87" s="1004" t="s">
        <v>185</v>
      </c>
      <c r="B87" s="1005">
        <v>30</v>
      </c>
      <c r="C87" s="1005">
        <v>4.9400000000000004</v>
      </c>
      <c r="D87" s="1006">
        <v>0.2014</v>
      </c>
      <c r="E87" s="1005">
        <v>5.07</v>
      </c>
      <c r="F87" s="1007">
        <v>0.2419</v>
      </c>
      <c r="G87" s="92"/>
      <c r="H87" s="92"/>
      <c r="I87" s="92"/>
      <c r="J87" s="92"/>
      <c r="K87" s="92"/>
      <c r="L87" s="92"/>
      <c r="M87" s="92"/>
      <c r="N87" s="92"/>
      <c r="O87" s="92"/>
      <c r="P87" s="92"/>
      <c r="Q87" s="92"/>
      <c r="R87" s="92"/>
      <c r="S87" s="92"/>
      <c r="T87" s="92"/>
      <c r="U87" s="92"/>
      <c r="V87" s="92"/>
      <c r="W87" s="92"/>
      <c r="X87" s="92"/>
      <c r="Y87" s="92"/>
      <c r="Z87" s="92"/>
    </row>
    <row r="88" spans="1:26" ht="15.75" hidden="1" customHeight="1">
      <c r="A88" s="1008" t="s">
        <v>186</v>
      </c>
      <c r="B88" s="1009">
        <v>8</v>
      </c>
      <c r="C88" s="1009">
        <v>1.52</v>
      </c>
      <c r="D88" s="1010">
        <v>0.1052</v>
      </c>
      <c r="E88" s="1009">
        <v>1.75</v>
      </c>
      <c r="F88" s="1011">
        <v>0.14979999999999999</v>
      </c>
      <c r="G88" s="92"/>
      <c r="H88" s="92"/>
      <c r="I88" s="92"/>
      <c r="J88" s="92"/>
      <c r="K88" s="92"/>
      <c r="L88" s="92"/>
      <c r="M88" s="92"/>
      <c r="N88" s="92"/>
      <c r="O88" s="92"/>
      <c r="P88" s="92"/>
      <c r="Q88" s="92"/>
      <c r="R88" s="92"/>
      <c r="S88" s="92"/>
      <c r="T88" s="92"/>
      <c r="U88" s="92"/>
      <c r="V88" s="92"/>
      <c r="W88" s="92"/>
      <c r="X88" s="92"/>
      <c r="Y88" s="92"/>
      <c r="Z88" s="92"/>
    </row>
    <row r="89" spans="1:26" ht="15.75" hidden="1" customHeight="1">
      <c r="A89" s="1004" t="s">
        <v>187</v>
      </c>
      <c r="B89" s="1005">
        <v>12</v>
      </c>
      <c r="C89" s="1005">
        <v>2.3199999999999998</v>
      </c>
      <c r="D89" s="1006">
        <v>0.10150000000000001</v>
      </c>
      <c r="E89" s="1005">
        <v>2.4</v>
      </c>
      <c r="F89" s="1007">
        <v>0.13009999999999999</v>
      </c>
      <c r="G89" s="92"/>
      <c r="H89" s="92"/>
      <c r="I89" s="92"/>
      <c r="J89" s="92"/>
      <c r="K89" s="92"/>
      <c r="L89" s="92"/>
      <c r="M89" s="92"/>
      <c r="N89" s="92"/>
      <c r="O89" s="92"/>
      <c r="P89" s="92"/>
      <c r="Q89" s="92"/>
      <c r="R89" s="92"/>
      <c r="S89" s="92"/>
      <c r="T89" s="92"/>
      <c r="U89" s="92"/>
      <c r="V89" s="92"/>
      <c r="W89" s="92"/>
      <c r="X89" s="92"/>
      <c r="Y89" s="92"/>
      <c r="Z89" s="92"/>
    </row>
    <row r="90" spans="1:26" ht="15.75" hidden="1" customHeight="1">
      <c r="A90" s="1008" t="s">
        <v>188</v>
      </c>
      <c r="B90" s="1009">
        <v>81</v>
      </c>
      <c r="C90" s="1009">
        <v>7.3</v>
      </c>
      <c r="D90" s="1010">
        <v>0.27429999999999999</v>
      </c>
      <c r="E90" s="1009">
        <v>7.35</v>
      </c>
      <c r="F90" s="1011">
        <v>0.3216</v>
      </c>
      <c r="G90" s="92"/>
      <c r="H90" s="92"/>
      <c r="I90" s="92"/>
      <c r="J90" s="92"/>
      <c r="K90" s="92"/>
      <c r="L90" s="92"/>
      <c r="M90" s="92"/>
      <c r="N90" s="92"/>
      <c r="O90" s="92"/>
      <c r="P90" s="92"/>
      <c r="Q90" s="92"/>
      <c r="R90" s="92"/>
      <c r="S90" s="92"/>
      <c r="T90" s="92"/>
      <c r="U90" s="92"/>
      <c r="V90" s="92"/>
      <c r="W90" s="92"/>
      <c r="X90" s="92"/>
      <c r="Y90" s="92"/>
      <c r="Z90" s="92"/>
    </row>
    <row r="91" spans="1:26" ht="15.75" hidden="1" customHeight="1">
      <c r="A91" s="1004" t="s">
        <v>189</v>
      </c>
      <c r="B91" s="1005">
        <v>29</v>
      </c>
      <c r="C91" s="1005">
        <v>7.01</v>
      </c>
      <c r="D91" s="1006">
        <v>-2.5999999999999999E-2</v>
      </c>
      <c r="E91" s="1005">
        <v>7.59</v>
      </c>
      <c r="F91" s="1007">
        <v>2.0500000000000001E-2</v>
      </c>
      <c r="G91" s="92"/>
      <c r="H91" s="92"/>
      <c r="I91" s="92"/>
      <c r="J91" s="92"/>
      <c r="K91" s="92"/>
      <c r="L91" s="92"/>
      <c r="M91" s="92"/>
      <c r="N91" s="92"/>
      <c r="O91" s="92"/>
      <c r="P91" s="92"/>
      <c r="Q91" s="92"/>
      <c r="R91" s="92"/>
      <c r="S91" s="92"/>
      <c r="T91" s="92"/>
      <c r="U91" s="92"/>
      <c r="V91" s="92"/>
      <c r="W91" s="92"/>
      <c r="X91" s="92"/>
      <c r="Y91" s="92"/>
      <c r="Z91" s="92"/>
    </row>
    <row r="92" spans="1:26" ht="15.75" hidden="1" customHeight="1">
      <c r="A92" s="1008" t="s">
        <v>190</v>
      </c>
      <c r="B92" s="1009">
        <v>333</v>
      </c>
      <c r="C92" s="1009">
        <v>11.2</v>
      </c>
      <c r="D92" s="1010">
        <v>0.22939999999999999</v>
      </c>
      <c r="E92" s="1009">
        <v>11.54</v>
      </c>
      <c r="F92" s="1011">
        <v>0.28770000000000001</v>
      </c>
      <c r="G92" s="92"/>
      <c r="H92" s="92"/>
      <c r="I92" s="92"/>
      <c r="J92" s="92"/>
      <c r="K92" s="92"/>
      <c r="L92" s="92"/>
      <c r="M92" s="92"/>
      <c r="N92" s="92"/>
      <c r="O92" s="92"/>
      <c r="P92" s="92"/>
      <c r="Q92" s="92"/>
      <c r="R92" s="92"/>
      <c r="S92" s="92"/>
      <c r="T92" s="92"/>
      <c r="U92" s="92"/>
      <c r="V92" s="92"/>
      <c r="W92" s="92"/>
      <c r="X92" s="92"/>
      <c r="Y92" s="92"/>
      <c r="Z92" s="92"/>
    </row>
    <row r="93" spans="1:26" ht="15.75" hidden="1" customHeight="1">
      <c r="A93" s="1004" t="s">
        <v>191</v>
      </c>
      <c r="B93" s="1005">
        <v>27</v>
      </c>
      <c r="C93" s="1005">
        <v>0.77</v>
      </c>
      <c r="D93" s="1006">
        <v>5.2499999999999998E-2</v>
      </c>
      <c r="E93" s="1005">
        <v>0.89</v>
      </c>
      <c r="F93" s="1007">
        <v>7.6499999999999999E-2</v>
      </c>
      <c r="G93" s="92"/>
      <c r="H93" s="92"/>
      <c r="I93" s="92"/>
      <c r="J93" s="92"/>
      <c r="K93" s="92"/>
      <c r="L93" s="92"/>
      <c r="M93" s="92"/>
      <c r="N93" s="92"/>
      <c r="O93" s="92"/>
      <c r="P93" s="92"/>
      <c r="Q93" s="92"/>
      <c r="R93" s="92"/>
      <c r="S93" s="92"/>
      <c r="T93" s="92"/>
      <c r="U93" s="92"/>
      <c r="V93" s="92"/>
      <c r="W93" s="92"/>
      <c r="X93" s="92"/>
      <c r="Y93" s="92"/>
      <c r="Z93" s="92"/>
    </row>
    <row r="94" spans="1:26" ht="15.75" hidden="1" customHeight="1">
      <c r="A94" s="1008" t="s">
        <v>192</v>
      </c>
      <c r="B94" s="1009">
        <v>11</v>
      </c>
      <c r="C94" s="1009">
        <v>2.89</v>
      </c>
      <c r="D94" s="1010">
        <v>0.1081</v>
      </c>
      <c r="E94" s="1009">
        <v>4.1500000000000004</v>
      </c>
      <c r="F94" s="1011">
        <v>0.189</v>
      </c>
      <c r="G94" s="92"/>
      <c r="H94" s="92"/>
      <c r="I94" s="92"/>
      <c r="J94" s="92"/>
      <c r="K94" s="92"/>
      <c r="L94" s="92"/>
      <c r="M94" s="92"/>
      <c r="N94" s="92"/>
      <c r="O94" s="92"/>
      <c r="P94" s="92"/>
      <c r="Q94" s="92"/>
      <c r="R94" s="92"/>
      <c r="S94" s="92"/>
      <c r="T94" s="92"/>
      <c r="U94" s="92"/>
      <c r="V94" s="92"/>
      <c r="W94" s="92"/>
      <c r="X94" s="92"/>
      <c r="Y94" s="92"/>
      <c r="Z94" s="92"/>
    </row>
    <row r="95" spans="1:26" ht="15.75" hidden="1" customHeight="1">
      <c r="A95" s="1004" t="s">
        <v>193</v>
      </c>
      <c r="B95" s="1005">
        <v>61</v>
      </c>
      <c r="C95" s="1005">
        <v>5.05</v>
      </c>
      <c r="D95" s="1006">
        <v>0.1048</v>
      </c>
      <c r="E95" s="1005">
        <v>5.48</v>
      </c>
      <c r="F95" s="1007">
        <v>0.17799999999999999</v>
      </c>
      <c r="G95" s="92"/>
      <c r="H95" s="92"/>
      <c r="I95" s="92"/>
      <c r="J95" s="92"/>
      <c r="K95" s="92"/>
      <c r="L95" s="92"/>
      <c r="M95" s="92"/>
      <c r="N95" s="92"/>
      <c r="O95" s="92"/>
      <c r="P95" s="92"/>
      <c r="Q95" s="92"/>
      <c r="R95" s="92"/>
      <c r="S95" s="92"/>
      <c r="T95" s="92"/>
      <c r="U95" s="92"/>
      <c r="V95" s="92"/>
      <c r="W95" s="92"/>
      <c r="X95" s="92"/>
      <c r="Y95" s="92"/>
      <c r="Z95" s="92"/>
    </row>
    <row r="96" spans="1:26" ht="15.75" hidden="1" customHeight="1">
      <c r="A96" s="1008" t="s">
        <v>194</v>
      </c>
      <c r="B96" s="1009">
        <v>32</v>
      </c>
      <c r="C96" s="1009">
        <v>1.3</v>
      </c>
      <c r="D96" s="1010">
        <v>5.8700000000000002E-2</v>
      </c>
      <c r="E96" s="1009">
        <v>2.56</v>
      </c>
      <c r="F96" s="1011">
        <v>0.20680000000000001</v>
      </c>
      <c r="G96" s="92"/>
      <c r="H96" s="92"/>
      <c r="I96" s="92"/>
      <c r="J96" s="92"/>
      <c r="K96" s="92"/>
      <c r="L96" s="92"/>
      <c r="M96" s="92"/>
      <c r="N96" s="92"/>
      <c r="O96" s="92"/>
      <c r="P96" s="92"/>
      <c r="Q96" s="92"/>
      <c r="R96" s="92"/>
      <c r="S96" s="92"/>
      <c r="T96" s="92"/>
      <c r="U96" s="92"/>
      <c r="V96" s="92"/>
      <c r="W96" s="92"/>
      <c r="X96" s="92"/>
      <c r="Y96" s="92"/>
      <c r="Z96" s="92"/>
    </row>
    <row r="97" spans="1:26" ht="15.75" hidden="1" customHeight="1">
      <c r="A97" s="1004" t="s">
        <v>195</v>
      </c>
      <c r="B97" s="1005">
        <v>12</v>
      </c>
      <c r="C97" s="1005">
        <v>4.41</v>
      </c>
      <c r="D97" s="1006">
        <v>0.3196</v>
      </c>
      <c r="E97" s="1005">
        <v>5.54</v>
      </c>
      <c r="F97" s="1007">
        <v>0.41220000000000001</v>
      </c>
      <c r="G97" s="92"/>
      <c r="H97" s="92"/>
      <c r="I97" s="92"/>
      <c r="J97" s="92"/>
      <c r="K97" s="92"/>
      <c r="L97" s="92"/>
      <c r="M97" s="92"/>
      <c r="N97" s="92"/>
      <c r="O97" s="92"/>
      <c r="P97" s="92"/>
      <c r="Q97" s="92"/>
      <c r="R97" s="92"/>
      <c r="S97" s="92"/>
      <c r="T97" s="92"/>
      <c r="U97" s="92"/>
      <c r="V97" s="92"/>
      <c r="W97" s="92"/>
      <c r="X97" s="92"/>
      <c r="Y97" s="92"/>
      <c r="Z97" s="92"/>
    </row>
    <row r="98" spans="1:26" ht="15.75" hidden="1" customHeight="1">
      <c r="A98" s="1008" t="s">
        <v>196</v>
      </c>
      <c r="B98" s="1009">
        <v>21</v>
      </c>
      <c r="C98" s="1009">
        <v>1.19</v>
      </c>
      <c r="D98" s="1010">
        <v>4.0899999999999999E-2</v>
      </c>
      <c r="E98" s="1009">
        <v>1.58</v>
      </c>
      <c r="F98" s="1011">
        <v>6.9000000000000006E-2</v>
      </c>
      <c r="G98" s="92"/>
      <c r="H98" s="92"/>
      <c r="I98" s="92"/>
      <c r="J98" s="92"/>
      <c r="K98" s="92"/>
      <c r="L98" s="92"/>
      <c r="M98" s="92"/>
      <c r="N98" s="92"/>
      <c r="O98" s="92"/>
      <c r="P98" s="92"/>
      <c r="Q98" s="92"/>
      <c r="R98" s="92"/>
      <c r="S98" s="92"/>
      <c r="T98" s="92"/>
      <c r="U98" s="92"/>
      <c r="V98" s="92"/>
      <c r="W98" s="92"/>
      <c r="X98" s="92"/>
      <c r="Y98" s="92"/>
      <c r="Z98" s="92"/>
    </row>
    <row r="99" spans="1:26" ht="15.75" hidden="1" customHeight="1">
      <c r="A99" s="1004" t="s">
        <v>197</v>
      </c>
      <c r="B99" s="1005">
        <v>4</v>
      </c>
      <c r="C99" s="1005">
        <v>4.9400000000000004</v>
      </c>
      <c r="D99" s="1006">
        <v>0.24299999999999999</v>
      </c>
      <c r="E99" s="1005">
        <v>6.28</v>
      </c>
      <c r="F99" s="1007">
        <v>0.3826</v>
      </c>
      <c r="G99" s="92"/>
      <c r="H99" s="92"/>
      <c r="I99" s="92"/>
      <c r="J99" s="92"/>
      <c r="K99" s="92"/>
      <c r="L99" s="92"/>
      <c r="M99" s="92"/>
      <c r="N99" s="92"/>
      <c r="O99" s="92"/>
      <c r="P99" s="92"/>
      <c r="Q99" s="92"/>
      <c r="R99" s="92"/>
      <c r="S99" s="92"/>
      <c r="T99" s="92"/>
      <c r="U99" s="92"/>
      <c r="V99" s="92"/>
      <c r="W99" s="92"/>
      <c r="X99" s="92"/>
      <c r="Y99" s="92"/>
      <c r="Z99" s="92"/>
    </row>
    <row r="100" spans="1:26" ht="15.75" hidden="1" customHeight="1">
      <c r="A100" s="1008" t="s">
        <v>198</v>
      </c>
      <c r="B100" s="1009">
        <v>24</v>
      </c>
      <c r="C100" s="1009">
        <v>1.54</v>
      </c>
      <c r="D100" s="1010">
        <v>4.2000000000000003E-2</v>
      </c>
      <c r="E100" s="1009">
        <v>1.85</v>
      </c>
      <c r="F100" s="1011">
        <v>7.3200000000000001E-2</v>
      </c>
      <c r="G100" s="92"/>
      <c r="H100" s="92"/>
      <c r="I100" s="92"/>
      <c r="J100" s="92"/>
      <c r="K100" s="92"/>
      <c r="L100" s="92"/>
      <c r="M100" s="92"/>
      <c r="N100" s="92"/>
      <c r="O100" s="92"/>
      <c r="P100" s="92"/>
      <c r="Q100" s="92"/>
      <c r="R100" s="92"/>
      <c r="S100" s="92"/>
      <c r="T100" s="92"/>
      <c r="U100" s="92"/>
      <c r="V100" s="92"/>
      <c r="W100" s="92"/>
      <c r="X100" s="92"/>
      <c r="Y100" s="92"/>
      <c r="Z100" s="92"/>
    </row>
    <row r="101" spans="1:26" ht="15.75" hidden="1" customHeight="1">
      <c r="A101" s="1004" t="s">
        <v>199</v>
      </c>
      <c r="B101" s="1005">
        <v>14</v>
      </c>
      <c r="C101" s="1005">
        <v>2.97</v>
      </c>
      <c r="D101" s="1006">
        <v>0.15459999999999999</v>
      </c>
      <c r="E101" s="1005">
        <v>5.24</v>
      </c>
      <c r="F101" s="1007">
        <v>0.23069999999999999</v>
      </c>
      <c r="G101" s="92"/>
      <c r="H101" s="92"/>
      <c r="I101" s="92"/>
      <c r="J101" s="92"/>
      <c r="K101" s="92"/>
      <c r="L101" s="92"/>
      <c r="M101" s="92"/>
      <c r="N101" s="92"/>
      <c r="O101" s="92"/>
      <c r="P101" s="92"/>
      <c r="Q101" s="92"/>
      <c r="R101" s="92"/>
      <c r="S101" s="92"/>
      <c r="T101" s="92"/>
      <c r="U101" s="92"/>
      <c r="V101" s="92"/>
      <c r="W101" s="92"/>
      <c r="X101" s="92"/>
      <c r="Y101" s="92"/>
      <c r="Z101" s="92"/>
    </row>
    <row r="102" spans="1:26" ht="15.75" hidden="1" customHeight="1">
      <c r="A102" s="1008" t="s">
        <v>200</v>
      </c>
      <c r="B102" s="1009">
        <v>15</v>
      </c>
      <c r="C102" s="1009">
        <v>4.75</v>
      </c>
      <c r="D102" s="1010">
        <v>0.2132</v>
      </c>
      <c r="E102" s="1009">
        <v>7.51</v>
      </c>
      <c r="F102" s="1011">
        <v>0.33029999999999998</v>
      </c>
      <c r="G102" s="92"/>
      <c r="H102" s="92"/>
      <c r="I102" s="92"/>
      <c r="J102" s="92"/>
      <c r="K102" s="95"/>
      <c r="L102" s="95"/>
      <c r="M102" s="95"/>
      <c r="N102" s="95"/>
      <c r="O102" s="95"/>
      <c r="P102" s="95"/>
      <c r="Q102" s="95"/>
      <c r="R102" s="95"/>
      <c r="S102" s="95"/>
      <c r="T102" s="95"/>
      <c r="U102" s="95"/>
      <c r="V102" s="95"/>
      <c r="W102" s="95"/>
      <c r="X102" s="95"/>
      <c r="Y102" s="95"/>
      <c r="Z102" s="95"/>
    </row>
    <row r="103" spans="1:26" ht="15.75" hidden="1" customHeight="1">
      <c r="A103" s="1004" t="s">
        <v>201</v>
      </c>
      <c r="B103" s="1005">
        <v>6062</v>
      </c>
      <c r="C103" s="1005">
        <v>2.76</v>
      </c>
      <c r="D103" s="1006">
        <v>8.6699999999999999E-2</v>
      </c>
      <c r="E103" s="1005">
        <v>3.65</v>
      </c>
      <c r="F103" s="1007">
        <v>0.1202</v>
      </c>
      <c r="G103" s="95"/>
      <c r="H103" s="95"/>
      <c r="I103" s="95"/>
      <c r="J103" s="95"/>
      <c r="K103" s="95"/>
      <c r="L103" s="95"/>
      <c r="M103" s="95"/>
      <c r="N103" s="95"/>
      <c r="O103" s="95"/>
      <c r="P103" s="95"/>
      <c r="Q103" s="95"/>
      <c r="R103" s="95"/>
      <c r="S103" s="95"/>
      <c r="T103" s="95"/>
      <c r="U103" s="95"/>
      <c r="V103" s="95"/>
      <c r="W103" s="95"/>
      <c r="X103" s="95"/>
      <c r="Y103" s="95"/>
      <c r="Z103" s="95"/>
    </row>
    <row r="104" spans="1:26" ht="15.75" hidden="1" customHeight="1">
      <c r="A104" s="1012" t="s">
        <v>258</v>
      </c>
      <c r="B104" s="1013">
        <v>4935</v>
      </c>
      <c r="C104" s="1013">
        <v>2.58</v>
      </c>
      <c r="D104" s="1014">
        <v>7.3300000000000004E-2</v>
      </c>
      <c r="E104" s="1013">
        <v>2.99</v>
      </c>
      <c r="F104" s="1015">
        <v>0.1187</v>
      </c>
      <c r="G104" s="95"/>
      <c r="H104" s="95"/>
      <c r="I104" s="95"/>
      <c r="J104" s="95"/>
      <c r="K104" s="95"/>
      <c r="L104" s="95"/>
      <c r="M104" s="95"/>
      <c r="N104" s="95"/>
      <c r="O104" s="95"/>
      <c r="P104" s="95"/>
      <c r="Q104" s="95"/>
      <c r="R104" s="95"/>
      <c r="S104" s="95"/>
      <c r="T104" s="95"/>
      <c r="U104" s="95"/>
      <c r="V104" s="95"/>
      <c r="W104" s="95"/>
      <c r="X104" s="95"/>
      <c r="Y104" s="95"/>
      <c r="Z104" s="95"/>
    </row>
    <row r="105" spans="1:26" ht="15.75" customHeight="1">
      <c r="A105" s="234"/>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spans="1:26" ht="15.75" customHeight="1">
      <c r="A106" s="234"/>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spans="1:26" ht="15.75" customHeight="1">
      <c r="A107" s="234"/>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spans="1:26" ht="15.75" customHeight="1">
      <c r="A108" s="234"/>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spans="1:26" ht="15.75" customHeight="1">
      <c r="A109" s="234"/>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spans="1:26" ht="15.75" customHeight="1">
      <c r="A110" s="234"/>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spans="1:26" ht="15.75" customHeight="1">
      <c r="A111" s="234"/>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spans="1:26" ht="15.75" customHeight="1">
      <c r="A112" s="234"/>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spans="1:26" ht="15.75" customHeight="1">
      <c r="A113" s="234"/>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spans="1:26" ht="15.75" customHeight="1">
      <c r="A114" s="234"/>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spans="1:26" ht="15.75" customHeight="1">
      <c r="A115" s="234"/>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spans="1:26" ht="15.75" customHeight="1">
      <c r="A116" s="234"/>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spans="1:26" ht="15.75" customHeight="1">
      <c r="A117" s="234"/>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spans="1:26" ht="15.75" customHeight="1">
      <c r="A118" s="234"/>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spans="1:26" ht="15.75" customHeight="1">
      <c r="A119" s="234"/>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spans="1:26" ht="15.75" customHeight="1">
      <c r="A120" s="234"/>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spans="1:26" ht="15.75" customHeight="1">
      <c r="A121" s="234"/>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spans="1:26" ht="15.75" customHeight="1">
      <c r="A122" s="234"/>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spans="1:26" ht="15.75" customHeight="1">
      <c r="A123" s="234"/>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spans="1:26" ht="15.75" customHeight="1">
      <c r="A124" s="234"/>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spans="1:26" ht="15.75" customHeight="1">
      <c r="A125" s="234"/>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spans="1:26" ht="15.75" customHeight="1">
      <c r="A126" s="234"/>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spans="1:26" ht="15.75" customHeight="1">
      <c r="A127" s="234"/>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spans="1:26" ht="15.75" customHeight="1">
      <c r="A128" s="234"/>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spans="1:26" ht="15.75" customHeight="1">
      <c r="A129" s="234"/>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spans="1:26" ht="15.75" customHeight="1">
      <c r="A130" s="234"/>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spans="1:26" ht="15.75" customHeight="1">
      <c r="A131" s="234"/>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spans="1:26" ht="15.75" customHeight="1">
      <c r="A132" s="234"/>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spans="1:26" ht="15.75" customHeight="1">
      <c r="A133" s="234"/>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spans="1:26" ht="15.75" customHeight="1">
      <c r="A134" s="234"/>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spans="1:26" ht="15.75" customHeight="1">
      <c r="A135" s="234"/>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spans="1:26" ht="15.75" customHeight="1">
      <c r="A136" s="234"/>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spans="1:26" ht="15.75" customHeight="1">
      <c r="A137" s="234"/>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spans="1:26" ht="15.75" customHeight="1">
      <c r="A138" s="234"/>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spans="1:26" ht="15.75" customHeight="1">
      <c r="A139" s="234"/>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spans="1:26" ht="15.75" customHeight="1">
      <c r="A140" s="234"/>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spans="1:26" ht="15.75" customHeight="1">
      <c r="A141" s="234"/>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spans="1:26" ht="15.75" customHeight="1">
      <c r="A142" s="234"/>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spans="1:26" ht="15.75" customHeight="1">
      <c r="A143" s="234"/>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spans="1:26" ht="15.75" customHeight="1">
      <c r="A144" s="234"/>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spans="1:26" ht="15.75" customHeight="1">
      <c r="A145" s="234"/>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spans="1:26" ht="15.75" customHeight="1">
      <c r="A146" s="234"/>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spans="1:26" ht="15.75" customHeight="1">
      <c r="A147" s="234"/>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spans="1:26" ht="15.75" customHeight="1">
      <c r="A148" s="234"/>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spans="1:26" ht="15.75" customHeight="1">
      <c r="A149" s="234"/>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spans="1:26" ht="15.75" customHeight="1">
      <c r="A150" s="234"/>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spans="1:26" ht="15.75" customHeight="1">
      <c r="A151" s="234"/>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spans="1:26" ht="15.75" customHeight="1">
      <c r="A152" s="234"/>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spans="1:26" ht="15.75" customHeight="1">
      <c r="A153" s="234"/>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spans="1:26" ht="15.75" customHeight="1">
      <c r="A154" s="234"/>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spans="1:26" ht="15.75" customHeight="1">
      <c r="A155" s="234"/>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spans="1:26" ht="15.75" customHeight="1">
      <c r="A156" s="234"/>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spans="1:26" ht="15.75" customHeight="1">
      <c r="A157" s="234"/>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spans="1:26" ht="15.75" customHeight="1">
      <c r="A158" s="234"/>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spans="1:26" ht="15.75" customHeight="1">
      <c r="A159" s="234"/>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spans="1:26" ht="15.75" customHeight="1">
      <c r="A160" s="234"/>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spans="1:26" ht="15.75" customHeight="1">
      <c r="A161" s="234"/>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spans="1:26" ht="15.75" customHeight="1">
      <c r="A162" s="234"/>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spans="1:26" ht="15.75" customHeight="1">
      <c r="A163" s="234"/>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spans="1:26" ht="15.75" customHeight="1">
      <c r="A164" s="234"/>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spans="1:26" ht="15.75" customHeight="1">
      <c r="A165" s="234"/>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spans="1:26" ht="15.75" customHeight="1">
      <c r="A166" s="234"/>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spans="1:26" ht="15.75" customHeight="1">
      <c r="A167" s="234"/>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spans="1:26" ht="15.75" customHeight="1">
      <c r="A168" s="234"/>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spans="1:26" ht="15.75" customHeight="1">
      <c r="A169" s="234"/>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spans="1:26" ht="15.75" customHeight="1">
      <c r="A170" s="234"/>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spans="1:26" ht="15.75" customHeight="1">
      <c r="A171" s="234"/>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spans="1:26" ht="15.75" customHeight="1">
      <c r="A172" s="234"/>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spans="1:26" ht="15.75" customHeight="1">
      <c r="A173" s="234"/>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spans="1:26" ht="15.75" customHeight="1">
      <c r="A174" s="234"/>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spans="1:26" ht="15.75" customHeight="1">
      <c r="A175" s="234"/>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spans="1:26" ht="15.75" customHeight="1">
      <c r="A176" s="234"/>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spans="1:26" ht="15.75" customHeight="1">
      <c r="A177" s="234"/>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spans="1:26" ht="15.75" customHeight="1">
      <c r="A178" s="234"/>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spans="1:26" ht="15.75" customHeight="1">
      <c r="A179" s="234"/>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spans="1:26" ht="15.75" customHeight="1">
      <c r="A180" s="234"/>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spans="1:26" ht="15.75" customHeight="1">
      <c r="A181" s="234"/>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spans="1:26" ht="15.75" customHeight="1">
      <c r="A182" s="234"/>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spans="1:26" ht="15.75" customHeight="1">
      <c r="A183" s="234"/>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spans="1:26" ht="15.75" customHeight="1">
      <c r="A184" s="234"/>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spans="1:26" ht="15.75" customHeight="1">
      <c r="A185" s="234"/>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spans="1:26" ht="15.75" customHeight="1">
      <c r="A186" s="234"/>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spans="1:26" ht="15.75" customHeight="1">
      <c r="A187" s="234"/>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spans="1:26" ht="15.75" customHeight="1">
      <c r="A188" s="234"/>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spans="1:26" ht="15.75" customHeight="1">
      <c r="A189" s="234"/>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spans="1:26" ht="15.75" customHeight="1">
      <c r="A190" s="234"/>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spans="1:26" ht="15.75" customHeight="1">
      <c r="A191" s="234"/>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spans="1:26" ht="15.75" customHeight="1">
      <c r="A192" s="234"/>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spans="1:26" ht="15.75" customHeight="1">
      <c r="A193" s="234"/>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spans="1:26" ht="15.75" customHeight="1">
      <c r="A194" s="234"/>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spans="1:26" ht="15.75" customHeight="1">
      <c r="A195" s="234"/>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spans="1:26" ht="15.75" customHeight="1">
      <c r="A196" s="234"/>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spans="1:26" ht="15.75" customHeight="1">
      <c r="A197" s="234"/>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spans="1:26" ht="15.75" customHeight="1">
      <c r="A198" s="234"/>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spans="1:26" ht="15.75" customHeight="1">
      <c r="A199" s="234"/>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spans="1:26" ht="15.75" customHeight="1">
      <c r="A200" s="234"/>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spans="1:26" ht="15.75" customHeight="1">
      <c r="A201" s="234"/>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spans="1:26" ht="15.75" customHeight="1">
      <c r="A202" s="234"/>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spans="1:26" ht="15.75" customHeight="1">
      <c r="A203" s="234"/>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spans="1:26" ht="15.75" customHeight="1">
      <c r="A204" s="234"/>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spans="1:26" ht="15.75" customHeight="1">
      <c r="A205" s="234"/>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spans="1:26" ht="15.75" customHeight="1">
      <c r="A206" s="234"/>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spans="1:26" ht="15.75" customHeight="1">
      <c r="A207" s="234"/>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spans="1:26" ht="15.75" customHeight="1">
      <c r="A208" s="234"/>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spans="1:26" ht="15.75" customHeight="1">
      <c r="A209" s="234"/>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spans="1:26" ht="15.75" customHeight="1">
      <c r="A210" s="234"/>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spans="1:26" ht="15.75" customHeight="1">
      <c r="A211" s="234"/>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spans="1:26" ht="15.75" customHeight="1">
      <c r="A212" s="234"/>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spans="1:26" ht="15.75" customHeight="1">
      <c r="A213" s="234"/>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spans="1:26" ht="15.75" customHeight="1">
      <c r="A214" s="234"/>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spans="1:26" ht="15.75" customHeight="1">
      <c r="A215" s="234"/>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spans="1:26" ht="15.75" customHeight="1">
      <c r="A216" s="234"/>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spans="1:26" ht="15.75" customHeight="1">
      <c r="A217" s="234"/>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spans="1:26" ht="15.75" customHeight="1">
      <c r="A218" s="234"/>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spans="1:26" ht="15.75" customHeight="1">
      <c r="A219" s="234"/>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spans="1:26" ht="15.75" customHeight="1">
      <c r="A220" s="234"/>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spans="1:26" ht="15.75" customHeight="1">
      <c r="A221" s="234"/>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spans="1:26" ht="15.75" customHeight="1">
      <c r="A222" s="234"/>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spans="1:26" ht="15.75" customHeight="1">
      <c r="A223" s="234"/>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spans="1:26" ht="15.75" customHeight="1">
      <c r="A224" s="234"/>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spans="1:26" ht="15.75" customHeight="1">
      <c r="A225" s="234"/>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spans="1:26" ht="15.75" customHeight="1">
      <c r="A226" s="234"/>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spans="1:26" ht="15.75" customHeight="1">
      <c r="A227" s="234"/>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spans="1:26" ht="15.75" customHeight="1">
      <c r="A228" s="234"/>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spans="1:26" ht="15.75" customHeight="1">
      <c r="A229" s="234"/>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spans="1:26" ht="15.75" customHeight="1">
      <c r="A230" s="234"/>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spans="1:26" ht="15.75" customHeight="1">
      <c r="A231" s="234"/>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spans="1:26" ht="15.75" customHeight="1">
      <c r="A232" s="234"/>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spans="1:26" ht="15.75" customHeight="1">
      <c r="A233" s="234"/>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spans="1:26" ht="15.75" customHeight="1">
      <c r="A234" s="234"/>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spans="1:26" ht="15.75" customHeight="1">
      <c r="A235" s="234"/>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spans="1:26" ht="15.75" customHeight="1">
      <c r="A236" s="234"/>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spans="1:26" ht="15.75" customHeight="1">
      <c r="A237" s="234"/>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spans="1:26" ht="15.75" customHeight="1">
      <c r="A238" s="234"/>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spans="1:26" ht="15.75" customHeight="1">
      <c r="A239" s="234"/>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spans="1:26" ht="15.75" customHeight="1">
      <c r="A240" s="234"/>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spans="1:26" ht="15.75" customHeight="1">
      <c r="A241" s="234"/>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spans="1:26" ht="15.75" customHeight="1">
      <c r="A242" s="234"/>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spans="1:26" ht="15.75" customHeight="1">
      <c r="A243" s="234"/>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spans="1:26" ht="15.75" customHeight="1">
      <c r="A244" s="234"/>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spans="1:26" ht="15.75" customHeight="1">
      <c r="A245" s="234"/>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spans="1:26" ht="15.75" customHeight="1">
      <c r="A246" s="234"/>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spans="1:26" ht="15.75" customHeight="1">
      <c r="A247" s="234"/>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spans="1:26" ht="15.75" customHeight="1">
      <c r="A248" s="234"/>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spans="1:26" ht="15.75" customHeight="1">
      <c r="A249" s="234"/>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spans="1:26" ht="15.75" customHeight="1">
      <c r="A250" s="234"/>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spans="1:26" ht="15.75" customHeight="1">
      <c r="A251" s="234"/>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spans="1:26" ht="15.75" customHeight="1">
      <c r="A252" s="234"/>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spans="1:26" ht="15.75" customHeight="1">
      <c r="A253" s="234"/>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spans="1:26" ht="15.75" customHeight="1">
      <c r="A254" s="234"/>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spans="1:26" ht="15.75" customHeight="1">
      <c r="A255" s="234"/>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spans="1:26" ht="15.75" customHeight="1">
      <c r="A256" s="234"/>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spans="1:26" ht="15.75" customHeight="1">
      <c r="A257" s="234"/>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spans="1:26" ht="15.75" customHeight="1">
      <c r="A258" s="234"/>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spans="1:26" ht="15.75" customHeight="1">
      <c r="A259" s="234"/>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spans="1:26" ht="15.75" customHeight="1">
      <c r="A260" s="234"/>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spans="1:26" ht="15.75" customHeight="1">
      <c r="A261" s="234"/>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spans="1:26" ht="15.75" customHeight="1">
      <c r="A262" s="234"/>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spans="1:26" ht="15.75" customHeight="1">
      <c r="A263" s="234"/>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spans="1:26" ht="15.75" customHeight="1">
      <c r="A264" s="234"/>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spans="1:26" ht="15.75" customHeight="1">
      <c r="A265" s="234"/>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spans="1:26" ht="15.75" customHeight="1">
      <c r="A266" s="234"/>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spans="1:26" ht="15.75" customHeight="1">
      <c r="A267" s="234"/>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spans="1:26" ht="15.75" customHeight="1">
      <c r="A268" s="234"/>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spans="1:26" ht="15.75" customHeight="1">
      <c r="A269" s="234"/>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spans="1:26" ht="15.75" customHeight="1">
      <c r="A270" s="234"/>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spans="1:26" ht="15.75" customHeight="1">
      <c r="A271" s="234"/>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spans="1:26" ht="15.75" customHeight="1">
      <c r="A272" s="234"/>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spans="1:26" ht="15.75" customHeight="1">
      <c r="A273" s="234"/>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spans="1:26" ht="15.75" customHeight="1">
      <c r="A274" s="234"/>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spans="1:26" ht="15.75" customHeight="1">
      <c r="A275" s="234"/>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spans="1:26" ht="15.75" customHeight="1">
      <c r="A276" s="234"/>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spans="1:26" ht="15.75" customHeight="1">
      <c r="A277" s="234"/>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spans="1:26" ht="15.75" customHeight="1">
      <c r="A278" s="234"/>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spans="1:26" ht="15.75" customHeight="1">
      <c r="A279" s="234"/>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spans="1:26" ht="15.75" customHeight="1">
      <c r="A280" s="234"/>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spans="1:26" ht="15.75" customHeight="1">
      <c r="A281" s="234"/>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spans="1:26" ht="15.75" customHeight="1">
      <c r="A282" s="234"/>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spans="1:26" ht="15.75" customHeight="1">
      <c r="A283" s="234"/>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spans="1:26" ht="15.75" customHeight="1">
      <c r="A284" s="234"/>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spans="1:26" ht="15.75" customHeight="1">
      <c r="A285" s="234"/>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spans="1:26" ht="15.75" customHeight="1">
      <c r="A286" s="234"/>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spans="1:26" ht="15.75" customHeight="1">
      <c r="A287" s="234"/>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spans="1:26" ht="15.75" customHeight="1">
      <c r="A288" s="234"/>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spans="1:26" ht="15.75" customHeight="1">
      <c r="A289" s="234"/>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spans="1:26" ht="15.75" customHeight="1">
      <c r="A290" s="234"/>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spans="1:26" ht="15.75" customHeight="1">
      <c r="A291" s="234"/>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spans="1:26" ht="15.75" customHeight="1">
      <c r="A292" s="234"/>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spans="1:26" ht="15.75" customHeight="1">
      <c r="A293" s="234"/>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spans="1:26" ht="15.75" customHeight="1">
      <c r="A294" s="234"/>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spans="1:26" ht="15.75" customHeight="1">
      <c r="A295" s="234"/>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spans="1:26" ht="15.75" customHeight="1">
      <c r="A296" s="234"/>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spans="1:26" ht="15.75" customHeight="1">
      <c r="A297" s="234"/>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spans="1:26" ht="15.75" customHeight="1">
      <c r="A298" s="234"/>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spans="1:26" ht="15.75" customHeight="1">
      <c r="A299" s="234"/>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spans="1:26" ht="15.75" customHeight="1">
      <c r="A300" s="234"/>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spans="1:26" ht="15.75" customHeight="1">
      <c r="A301" s="234"/>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spans="1:26" ht="15.75" customHeight="1">
      <c r="A302" s="234"/>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spans="1:26" ht="15.75" customHeight="1">
      <c r="A303" s="234"/>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spans="1:26" ht="15.75" customHeight="1">
      <c r="A304" s="234"/>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8:F104" xr:uid="{00000000-0009-0000-0000-000015000000}">
    <filterColumn colId="0">
      <filters>
        <filter val="Hospitals/Healthcare Facilities"/>
        <filter val="Real Estate (Development)"/>
        <filter val="Real Estate (General/Diversified)"/>
        <filter val="Real Estate (Operations &amp; Services)"/>
      </filters>
    </filterColumn>
  </autoFilter>
  <mergeCells count="8">
    <mergeCell ref="B5:G5"/>
    <mergeCell ref="B6:G6"/>
    <mergeCell ref="B7:G7"/>
    <mergeCell ref="B1:G1"/>
    <mergeCell ref="B2:G2"/>
    <mergeCell ref="B3:E3"/>
    <mergeCell ref="F3:G3"/>
    <mergeCell ref="B4:G4"/>
  </mergeCells>
  <hyperlinks>
    <hyperlink ref="B2" r:id="rId1" xr:uid="{00000000-0004-0000-1500-000000000000}"/>
    <hyperlink ref="B4" r:id="rId2" xr:uid="{00000000-0004-0000-1500-000001000000}"/>
    <hyperlink ref="B6" r:id="rId3" xr:uid="{00000000-0004-0000-1500-000002000000}"/>
    <hyperlink ref="B7" r:id="rId4" xr:uid="{00000000-0004-0000-1500-000003000000}"/>
  </hyperlinks>
  <printOptions gridLines="1"/>
  <pageMargins left="0.75" right="0.75" top="1" bottom="1" header="0" footer="0"/>
  <pageSetup scale="60" orientation="landscape"/>
  <headerFooter>
    <oddHeader>&amp;C000000Revenue Multiples, by sector&amp;R000000Global 2016</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filterMode="1"/>
  <dimension ref="A1:Z1000"/>
  <sheetViews>
    <sheetView workbookViewId="0"/>
  </sheetViews>
  <sheetFormatPr baseColWidth="10" defaultColWidth="14.44140625" defaultRowHeight="15" customHeight="1"/>
  <cols>
    <col min="1" max="1" width="37.88671875" customWidth="1"/>
    <col min="2" max="2" width="15" customWidth="1"/>
    <col min="3" max="3" width="21.44140625" customWidth="1"/>
    <col min="4" max="4" width="39.44140625" customWidth="1"/>
    <col min="5" max="5" width="58.44140625" customWidth="1"/>
    <col min="6" max="6" width="32.5546875" customWidth="1"/>
    <col min="7" max="11" width="11.44140625" customWidth="1"/>
    <col min="12" max="12" width="18.44140625" customWidth="1"/>
    <col min="13" max="13" width="21.33203125" customWidth="1"/>
    <col min="14" max="14" width="23.5546875" customWidth="1"/>
    <col min="15" max="15" width="24.109375" customWidth="1"/>
    <col min="16" max="19" width="11.44140625" customWidth="1"/>
    <col min="20" max="26" width="10.6640625" customWidth="1"/>
  </cols>
  <sheetData>
    <row r="1" spans="1:26" ht="15.75" customHeight="1">
      <c r="A1" s="986" t="s">
        <v>69</v>
      </c>
      <c r="B1" s="1362">
        <v>45662</v>
      </c>
      <c r="C1" s="1363"/>
      <c r="D1" s="1363"/>
      <c r="E1" s="1363"/>
      <c r="F1" s="1363"/>
      <c r="G1" s="1368"/>
      <c r="H1" s="92"/>
      <c r="I1" s="92"/>
      <c r="J1" s="92"/>
      <c r="K1" s="92"/>
      <c r="L1" s="92"/>
      <c r="M1" s="92"/>
      <c r="N1" s="92"/>
      <c r="O1" s="92"/>
      <c r="P1" s="92"/>
      <c r="Q1" s="92"/>
      <c r="R1" s="92"/>
      <c r="S1" s="92"/>
      <c r="T1" s="92"/>
      <c r="U1" s="92"/>
      <c r="V1" s="92"/>
      <c r="W1" s="92"/>
      <c r="X1" s="92"/>
      <c r="Y1" s="92"/>
      <c r="Z1" s="92"/>
    </row>
    <row r="2" spans="1:26" ht="15.75" customHeight="1">
      <c r="A2" s="200" t="s">
        <v>72</v>
      </c>
      <c r="B2" s="1369" t="s">
        <v>73</v>
      </c>
      <c r="C2" s="1339"/>
      <c r="D2" s="1339"/>
      <c r="E2" s="1339"/>
      <c r="F2" s="1339"/>
      <c r="G2" s="1387"/>
      <c r="H2" s="92"/>
      <c r="I2" s="92"/>
      <c r="J2" s="92"/>
      <c r="K2" s="92"/>
      <c r="L2" s="92"/>
      <c r="M2" s="92"/>
      <c r="N2" s="92"/>
      <c r="O2" s="92"/>
      <c r="P2" s="92"/>
      <c r="Q2" s="92"/>
      <c r="R2" s="92"/>
      <c r="S2" s="92"/>
      <c r="T2" s="92"/>
      <c r="U2" s="92"/>
      <c r="V2" s="92"/>
      <c r="W2" s="92"/>
      <c r="X2" s="92"/>
      <c r="Y2" s="92"/>
      <c r="Z2" s="92"/>
    </row>
    <row r="3" spans="1:26" ht="15.75" customHeight="1">
      <c r="A3" s="200" t="s">
        <v>75</v>
      </c>
      <c r="B3" s="1375" t="s">
        <v>692</v>
      </c>
      <c r="C3" s="1339"/>
      <c r="D3" s="1339"/>
      <c r="E3" s="1340"/>
      <c r="F3" s="1375" t="s">
        <v>245</v>
      </c>
      <c r="G3" s="1387"/>
      <c r="H3" s="84"/>
      <c r="I3" s="84"/>
      <c r="J3" s="84"/>
      <c r="K3" s="92"/>
      <c r="L3" s="92"/>
      <c r="M3" s="92"/>
      <c r="N3" s="92"/>
      <c r="O3" s="92"/>
      <c r="P3" s="92"/>
      <c r="Q3" s="92"/>
      <c r="R3" s="92"/>
      <c r="S3" s="92"/>
      <c r="T3" s="92"/>
      <c r="U3" s="92"/>
      <c r="V3" s="92"/>
      <c r="W3" s="92"/>
      <c r="X3" s="92"/>
      <c r="Y3" s="92"/>
      <c r="Z3" s="92"/>
    </row>
    <row r="4" spans="1:26" ht="15.75" customHeight="1">
      <c r="A4" s="200" t="s">
        <v>78</v>
      </c>
      <c r="B4" s="1376" t="s">
        <v>79</v>
      </c>
      <c r="C4" s="1339"/>
      <c r="D4" s="1339"/>
      <c r="E4" s="1339"/>
      <c r="F4" s="1339"/>
      <c r="G4" s="1387"/>
      <c r="H4" s="92"/>
      <c r="I4" s="92"/>
      <c r="J4" s="92"/>
      <c r="K4" s="92"/>
      <c r="L4" s="92"/>
      <c r="M4" s="92"/>
      <c r="N4" s="92"/>
      <c r="O4" s="92"/>
      <c r="P4" s="92"/>
      <c r="Q4" s="92"/>
      <c r="R4" s="92"/>
      <c r="S4" s="92"/>
      <c r="T4" s="92"/>
      <c r="U4" s="92"/>
      <c r="V4" s="92"/>
      <c r="W4" s="92"/>
      <c r="X4" s="92"/>
      <c r="Y4" s="92"/>
      <c r="Z4" s="92"/>
    </row>
    <row r="5" spans="1:26" ht="15.75" customHeight="1">
      <c r="A5" s="200" t="s">
        <v>80</v>
      </c>
      <c r="B5" s="1355" t="s">
        <v>693</v>
      </c>
      <c r="C5" s="1339"/>
      <c r="D5" s="1339"/>
      <c r="E5" s="1339"/>
      <c r="F5" s="1339"/>
      <c r="G5" s="1387"/>
      <c r="H5" s="92"/>
      <c r="I5" s="92"/>
      <c r="J5" s="92"/>
      <c r="K5" s="92"/>
      <c r="L5" s="92"/>
      <c r="M5" s="92"/>
      <c r="N5" s="92"/>
      <c r="O5" s="92"/>
      <c r="P5" s="92"/>
      <c r="Q5" s="92"/>
      <c r="R5" s="92"/>
      <c r="S5" s="92"/>
      <c r="T5" s="92"/>
      <c r="U5" s="92"/>
      <c r="V5" s="92"/>
      <c r="W5" s="92"/>
      <c r="X5" s="92"/>
      <c r="Y5" s="92"/>
      <c r="Z5" s="92"/>
    </row>
    <row r="6" spans="1:26" ht="15.75" customHeight="1">
      <c r="A6" s="200" t="s">
        <v>82</v>
      </c>
      <c r="B6" s="1369" t="s">
        <v>83</v>
      </c>
      <c r="C6" s="1339"/>
      <c r="D6" s="1339"/>
      <c r="E6" s="1339"/>
      <c r="F6" s="1339"/>
      <c r="G6" s="1387"/>
      <c r="H6" s="95"/>
      <c r="I6" s="95"/>
      <c r="J6" s="95"/>
      <c r="K6" s="95"/>
      <c r="L6" s="95"/>
      <c r="M6" s="95"/>
      <c r="N6" s="95"/>
      <c r="O6" s="95"/>
      <c r="P6" s="95"/>
      <c r="Q6" s="95"/>
      <c r="R6" s="95"/>
      <c r="S6" s="95"/>
      <c r="T6" s="95"/>
      <c r="U6" s="95"/>
      <c r="V6" s="95"/>
      <c r="W6" s="95"/>
      <c r="X6" s="95"/>
      <c r="Y6" s="95"/>
      <c r="Z6" s="95"/>
    </row>
    <row r="7" spans="1:26" ht="15.75" customHeight="1">
      <c r="A7" s="201" t="s">
        <v>84</v>
      </c>
      <c r="B7" s="1378" t="s">
        <v>85</v>
      </c>
      <c r="C7" s="1371"/>
      <c r="D7" s="1371"/>
      <c r="E7" s="1371"/>
      <c r="F7" s="1371"/>
      <c r="G7" s="1372"/>
      <c r="H7" s="92"/>
      <c r="I7" s="92"/>
      <c r="J7" s="92"/>
      <c r="K7" s="92"/>
      <c r="L7" s="92"/>
      <c r="M7" s="92"/>
      <c r="N7" s="92"/>
      <c r="O7" s="92"/>
      <c r="P7" s="92"/>
      <c r="Q7" s="92"/>
      <c r="R7" s="92"/>
      <c r="S7" s="92"/>
      <c r="T7" s="92"/>
      <c r="U7" s="92"/>
      <c r="V7" s="92"/>
      <c r="W7" s="92"/>
      <c r="X7" s="92"/>
      <c r="Y7" s="92"/>
      <c r="Z7" s="92"/>
    </row>
    <row r="8" spans="1:26" ht="15.75" customHeight="1">
      <c r="A8" s="1152"/>
      <c r="B8" s="1153"/>
      <c r="C8" s="1154" t="s">
        <v>694</v>
      </c>
      <c r="D8" s="1155" t="s">
        <v>695</v>
      </c>
      <c r="E8" s="1471" t="s">
        <v>696</v>
      </c>
      <c r="F8" s="1339"/>
      <c r="G8" s="1339"/>
      <c r="H8" s="1339"/>
      <c r="I8" s="1339"/>
      <c r="J8" s="1339"/>
      <c r="K8" s="1340"/>
      <c r="L8" s="1471" t="s">
        <v>697</v>
      </c>
      <c r="M8" s="1339"/>
      <c r="N8" s="1340"/>
      <c r="O8" s="1471" t="s">
        <v>698</v>
      </c>
      <c r="P8" s="1339"/>
      <c r="Q8" s="1339"/>
      <c r="R8" s="1339"/>
      <c r="S8" s="1340"/>
      <c r="T8" s="1018"/>
      <c r="U8" s="1018"/>
      <c r="V8" s="1018"/>
      <c r="W8" s="1018"/>
      <c r="X8" s="1018"/>
      <c r="Y8" s="1018"/>
      <c r="Z8" s="1018"/>
    </row>
    <row r="9" spans="1:26" ht="15.75" customHeight="1">
      <c r="A9" s="988" t="s">
        <v>204</v>
      </c>
      <c r="B9" s="989" t="s">
        <v>91</v>
      </c>
      <c r="C9" s="989" t="s">
        <v>699</v>
      </c>
      <c r="D9" s="989" t="s">
        <v>559</v>
      </c>
      <c r="E9" s="1156" t="s">
        <v>700</v>
      </c>
      <c r="F9" s="1156" t="s">
        <v>701</v>
      </c>
      <c r="G9" s="1156" t="s">
        <v>702</v>
      </c>
      <c r="H9" s="1156" t="s">
        <v>703</v>
      </c>
      <c r="I9" s="1156" t="s">
        <v>704</v>
      </c>
      <c r="J9" s="1156" t="s">
        <v>705</v>
      </c>
      <c r="K9" s="1156" t="s">
        <v>706</v>
      </c>
      <c r="L9" s="989" t="s">
        <v>707</v>
      </c>
      <c r="M9" s="1156" t="s">
        <v>708</v>
      </c>
      <c r="N9" s="1156" t="s">
        <v>709</v>
      </c>
      <c r="O9" s="1156" t="s">
        <v>710</v>
      </c>
      <c r="P9" s="1156" t="s">
        <v>711</v>
      </c>
      <c r="Q9" s="1156" t="s">
        <v>712</v>
      </c>
      <c r="R9" s="1156" t="s">
        <v>713</v>
      </c>
      <c r="S9" s="1156" t="s">
        <v>714</v>
      </c>
      <c r="T9" s="92"/>
      <c r="U9" s="92"/>
      <c r="V9" s="92"/>
      <c r="W9" s="92"/>
      <c r="X9" s="92"/>
      <c r="Y9" s="92"/>
      <c r="Z9" s="92"/>
    </row>
    <row r="10" spans="1:26" ht="15.75" hidden="1" customHeight="1">
      <c r="A10" s="63" t="s">
        <v>106</v>
      </c>
      <c r="B10" s="14">
        <v>54</v>
      </c>
      <c r="C10" s="103">
        <v>0.29912827645121698</v>
      </c>
      <c r="D10" s="1157">
        <v>2.9977379149532062E-2</v>
      </c>
      <c r="E10" s="1157">
        <v>0.13611636797528037</v>
      </c>
      <c r="F10" s="1157">
        <v>0.10900602210262404</v>
      </c>
      <c r="G10" s="1157">
        <v>0.1006493409567962</v>
      </c>
      <c r="H10" s="103">
        <v>0.11248214243001389</v>
      </c>
      <c r="I10" s="103">
        <v>0.10385897298711583</v>
      </c>
      <c r="J10" s="103">
        <v>0.11395905036151344</v>
      </c>
      <c r="K10" s="103">
        <v>0.10533588091861538</v>
      </c>
      <c r="L10" s="103">
        <v>0.13717550085226551</v>
      </c>
      <c r="M10" s="103">
        <v>0.27287212505502528</v>
      </c>
      <c r="N10" s="103">
        <v>0.1586666999930253</v>
      </c>
      <c r="O10" s="103">
        <v>0.70087172354878302</v>
      </c>
      <c r="P10" s="103">
        <v>2.1491199140759806E-2</v>
      </c>
      <c r="Q10" s="103">
        <v>0.1356966242027598</v>
      </c>
      <c r="R10" s="103">
        <v>2.7110345872656351E-2</v>
      </c>
      <c r="S10" s="1157">
        <v>2.9955190154427224E-2</v>
      </c>
      <c r="T10" s="92"/>
      <c r="U10" s="92"/>
      <c r="V10" s="92"/>
      <c r="W10" s="92"/>
      <c r="X10" s="92"/>
      <c r="Y10" s="92"/>
      <c r="Z10" s="92"/>
    </row>
    <row r="11" spans="1:26" ht="15.75" hidden="1" customHeight="1">
      <c r="A11" s="63" t="s">
        <v>107</v>
      </c>
      <c r="B11" s="14">
        <v>67</v>
      </c>
      <c r="C11" s="103">
        <v>0.17053224225747587</v>
      </c>
      <c r="D11" s="1157">
        <v>4.3674714432983035E-2</v>
      </c>
      <c r="E11" s="1157">
        <v>8.6169796388051695E-2</v>
      </c>
      <c r="F11" s="1157">
        <v>7.5864631373680672E-2</v>
      </c>
      <c r="G11" s="1157">
        <v>6.7501204407330623E-2</v>
      </c>
      <c r="H11" s="103">
        <v>7.6580514282039727E-2</v>
      </c>
      <c r="I11" s="103">
        <v>6.8138167345841966E-2</v>
      </c>
      <c r="J11" s="103">
        <v>7.8696975747724884E-2</v>
      </c>
      <c r="K11" s="103">
        <v>7.0254628811527123E-2</v>
      </c>
      <c r="L11" s="103">
        <v>0.11224698895177304</v>
      </c>
      <c r="M11" s="103">
        <v>0.18385028829799907</v>
      </c>
      <c r="N11" s="103">
        <v>0.15304657275353617</v>
      </c>
      <c r="O11" s="103">
        <v>0.82946775774252413</v>
      </c>
      <c r="P11" s="103">
        <v>4.0799583801763142E-2</v>
      </c>
      <c r="Q11" s="103">
        <v>7.1603299346226043E-2</v>
      </c>
      <c r="R11" s="103">
        <v>1.0305165014371027E-2</v>
      </c>
      <c r="S11" s="1157">
        <v>7.8836516800635751E-3</v>
      </c>
      <c r="T11" s="92"/>
      <c r="U11" s="92"/>
      <c r="V11" s="92"/>
      <c r="W11" s="92"/>
      <c r="X11" s="92"/>
      <c r="Y11" s="92"/>
      <c r="Z11" s="92"/>
    </row>
    <row r="12" spans="1:26" ht="15.75" hidden="1" customHeight="1">
      <c r="A12" s="63" t="s">
        <v>108</v>
      </c>
      <c r="B12" s="14">
        <v>24</v>
      </c>
      <c r="C12" s="103">
        <v>0.24959457428389223</v>
      </c>
      <c r="D12" s="1157">
        <v>2.2119116784174598E-2</v>
      </c>
      <c r="E12" s="1157">
        <v>5.8816686777321971E-2</v>
      </c>
      <c r="F12" s="1157">
        <v>5.5360161881576116E-2</v>
      </c>
      <c r="G12" s="1157">
        <v>4.9742334778350883E-2</v>
      </c>
      <c r="H12" s="103">
        <v>5.4641865714035821E-2</v>
      </c>
      <c r="I12" s="103">
        <v>4.9096929721331228E-2</v>
      </c>
      <c r="J12" s="103">
        <v>5.5046004121764421E-2</v>
      </c>
      <c r="K12" s="103">
        <v>4.9501068129059834E-2</v>
      </c>
      <c r="L12" s="103">
        <v>0.11030959087199858</v>
      </c>
      <c r="M12" s="103">
        <v>0.14773209550197811</v>
      </c>
      <c r="N12" s="103">
        <v>0.11411593502659108</v>
      </c>
      <c r="O12" s="103">
        <v>0.7504054257161078</v>
      </c>
      <c r="P12" s="103">
        <v>3.8063441545924896E-3</v>
      </c>
      <c r="Q12" s="103">
        <v>3.7422504629979501E-2</v>
      </c>
      <c r="R12" s="103">
        <v>3.4565248957458532E-3</v>
      </c>
      <c r="S12" s="1157">
        <v>7.2751430602105371E-2</v>
      </c>
      <c r="T12" s="92"/>
      <c r="U12" s="92"/>
      <c r="V12" s="92"/>
      <c r="W12" s="92"/>
      <c r="X12" s="92"/>
      <c r="Y12" s="92"/>
      <c r="Z12" s="92"/>
    </row>
    <row r="13" spans="1:26" ht="15.75" hidden="1" customHeight="1">
      <c r="A13" s="63" t="s">
        <v>109</v>
      </c>
      <c r="B13" s="14">
        <v>37</v>
      </c>
      <c r="C13" s="103">
        <v>0.54277519534785756</v>
      </c>
      <c r="D13" s="1157">
        <v>2.9802061717894582E-2</v>
      </c>
      <c r="E13" s="1157">
        <v>9.6738211769253374E-2</v>
      </c>
      <c r="F13" s="1157">
        <v>8.7262866451307625E-2</v>
      </c>
      <c r="G13" s="1157">
        <v>8.0215412379471676E-2</v>
      </c>
      <c r="H13" s="103">
        <v>9.6109272157183359E-2</v>
      </c>
      <c r="I13" s="103">
        <v>8.8347371718314818E-2</v>
      </c>
      <c r="J13" s="103">
        <v>9.6195175349290063E-2</v>
      </c>
      <c r="K13" s="103">
        <v>8.8433274910421536E-2</v>
      </c>
      <c r="L13" s="103">
        <v>0.1178901809180616</v>
      </c>
      <c r="M13" s="103">
        <v>0.57109936299057174</v>
      </c>
      <c r="N13" s="103">
        <v>0.11902553560924845</v>
      </c>
      <c r="O13" s="103">
        <v>0.45722480465214244</v>
      </c>
      <c r="P13" s="103">
        <v>1.1353546911868563E-3</v>
      </c>
      <c r="Q13" s="103">
        <v>0.45320918207251015</v>
      </c>
      <c r="R13" s="103">
        <v>9.4753453179457596E-3</v>
      </c>
      <c r="S13" s="1157">
        <v>5.9981857443990351E-2</v>
      </c>
      <c r="T13" s="92"/>
      <c r="U13" s="92"/>
      <c r="V13" s="92"/>
      <c r="W13" s="92"/>
      <c r="X13" s="92"/>
      <c r="Y13" s="92"/>
      <c r="Z13" s="92"/>
    </row>
    <row r="14" spans="1:26" ht="15.75" hidden="1" customHeight="1">
      <c r="A14" s="63" t="s">
        <v>110</v>
      </c>
      <c r="B14" s="14">
        <v>34</v>
      </c>
      <c r="C14" s="103">
        <v>0.11107095745178305</v>
      </c>
      <c r="D14" s="1157">
        <v>3.7724459023051382E-2</v>
      </c>
      <c r="E14" s="1157">
        <v>3.9367953758219019E-2</v>
      </c>
      <c r="F14" s="1157">
        <v>3.1316363706419312E-2</v>
      </c>
      <c r="G14" s="1157">
        <v>3.0656068512069486E-2</v>
      </c>
      <c r="H14" s="103">
        <v>3.2089853443916821E-2</v>
      </c>
      <c r="I14" s="103">
        <v>3.141324947370347E-2</v>
      </c>
      <c r="J14" s="103">
        <v>3.3115492706239175E-2</v>
      </c>
      <c r="K14" s="103">
        <v>3.2438888736025823E-2</v>
      </c>
      <c r="L14" s="103">
        <v>7.0368280400664007E-2</v>
      </c>
      <c r="M14" s="103">
        <v>0.13417989349482873</v>
      </c>
      <c r="N14" s="103">
        <v>0.12357125703271771</v>
      </c>
      <c r="O14" s="103">
        <v>0.88892904254821692</v>
      </c>
      <c r="P14" s="103">
        <v>5.3202976632053693E-2</v>
      </c>
      <c r="Q14" s="103">
        <v>6.3811613094164721E-2</v>
      </c>
      <c r="R14" s="103">
        <v>8.0515900517997077E-3</v>
      </c>
      <c r="S14" s="1157">
        <v>5.057294290784691E-3</v>
      </c>
      <c r="T14" s="92"/>
      <c r="U14" s="92"/>
      <c r="V14" s="92"/>
      <c r="W14" s="92"/>
      <c r="X14" s="92"/>
      <c r="Y14" s="92"/>
      <c r="Z14" s="92"/>
    </row>
    <row r="15" spans="1:26" ht="15.75" hidden="1" customHeight="1">
      <c r="A15" s="63" t="s">
        <v>111</v>
      </c>
      <c r="B15" s="14">
        <v>33</v>
      </c>
      <c r="C15" s="103">
        <v>0.15210530718115983</v>
      </c>
      <c r="D15" s="1157">
        <v>2.2724943006495062E-2</v>
      </c>
      <c r="E15" s="1157">
        <v>5.8651217611287082E-2</v>
      </c>
      <c r="F15" s="1157">
        <v>5.0968432154748743E-2</v>
      </c>
      <c r="G15" s="1157">
        <v>4.4460718669911206E-2</v>
      </c>
      <c r="H15" s="103">
        <v>5.2069559118808319E-2</v>
      </c>
      <c r="I15" s="103">
        <v>4.5421252359083064E-2</v>
      </c>
      <c r="J15" s="103">
        <v>5.4112154929540655E-2</v>
      </c>
      <c r="K15" s="103">
        <v>4.7463848169815401E-2</v>
      </c>
      <c r="L15" s="103">
        <v>8.7049263386448861E-2</v>
      </c>
      <c r="M15" s="103">
        <v>0.16864224546349998</v>
      </c>
      <c r="N15" s="103">
        <v>0.13288585136512135</v>
      </c>
      <c r="O15" s="103">
        <v>0.84789469281884022</v>
      </c>
      <c r="P15" s="103">
        <v>4.5836587978672474E-2</v>
      </c>
      <c r="Q15" s="103">
        <v>8.1592982077051124E-2</v>
      </c>
      <c r="R15" s="103">
        <v>7.6827854565383411E-3</v>
      </c>
      <c r="S15" s="1157">
        <v>8.309311037506149E-3</v>
      </c>
      <c r="T15" s="92"/>
      <c r="U15" s="92"/>
      <c r="V15" s="92"/>
      <c r="W15" s="92"/>
      <c r="X15" s="92"/>
      <c r="Y15" s="92"/>
      <c r="Z15" s="92"/>
    </row>
    <row r="16" spans="1:26" ht="15.75" hidden="1" customHeight="1">
      <c r="A16" s="63" t="s">
        <v>112</v>
      </c>
      <c r="B16" s="14">
        <v>15</v>
      </c>
      <c r="C16" s="103" t="s">
        <v>113</v>
      </c>
      <c r="D16" s="1157" t="s">
        <v>113</v>
      </c>
      <c r="E16" s="1157" t="s">
        <v>113</v>
      </c>
      <c r="F16" s="1157" t="s">
        <v>113</v>
      </c>
      <c r="G16" s="1157" t="s">
        <v>113</v>
      </c>
      <c r="H16" s="103" t="s">
        <v>113</v>
      </c>
      <c r="I16" s="103" t="s">
        <v>113</v>
      </c>
      <c r="J16" s="103" t="s">
        <v>113</v>
      </c>
      <c r="K16" s="103" t="s">
        <v>113</v>
      </c>
      <c r="L16" s="103" t="s">
        <v>113</v>
      </c>
      <c r="M16" s="103" t="s">
        <v>113</v>
      </c>
      <c r="N16" s="103" t="s">
        <v>113</v>
      </c>
      <c r="O16" s="103" t="s">
        <v>113</v>
      </c>
      <c r="P16" s="103" t="s">
        <v>113</v>
      </c>
      <c r="Q16" s="103" t="s">
        <v>113</v>
      </c>
      <c r="R16" s="103" t="s">
        <v>113</v>
      </c>
      <c r="S16" s="1157" t="s">
        <v>113</v>
      </c>
      <c r="T16" s="92"/>
      <c r="U16" s="92"/>
      <c r="V16" s="92"/>
      <c r="W16" s="92"/>
      <c r="X16" s="92"/>
      <c r="Y16" s="92"/>
      <c r="Z16" s="92"/>
    </row>
    <row r="17" spans="1:26" ht="15.75" hidden="1" customHeight="1">
      <c r="A17" s="63" t="s">
        <v>114</v>
      </c>
      <c r="B17" s="14">
        <v>591</v>
      </c>
      <c r="C17" s="103" t="s">
        <v>113</v>
      </c>
      <c r="D17" s="1157" t="s">
        <v>113</v>
      </c>
      <c r="E17" s="1157" t="s">
        <v>113</v>
      </c>
      <c r="F17" s="1157" t="s">
        <v>113</v>
      </c>
      <c r="G17" s="1157" t="s">
        <v>113</v>
      </c>
      <c r="H17" s="103" t="s">
        <v>113</v>
      </c>
      <c r="I17" s="103" t="s">
        <v>113</v>
      </c>
      <c r="J17" s="103" t="s">
        <v>113</v>
      </c>
      <c r="K17" s="103" t="s">
        <v>113</v>
      </c>
      <c r="L17" s="103" t="s">
        <v>113</v>
      </c>
      <c r="M17" s="103" t="s">
        <v>113</v>
      </c>
      <c r="N17" s="103" t="s">
        <v>113</v>
      </c>
      <c r="O17" s="103" t="s">
        <v>113</v>
      </c>
      <c r="P17" s="103" t="s">
        <v>113</v>
      </c>
      <c r="Q17" s="103" t="s">
        <v>113</v>
      </c>
      <c r="R17" s="103" t="s">
        <v>113</v>
      </c>
      <c r="S17" s="1157" t="s">
        <v>113</v>
      </c>
      <c r="T17" s="92"/>
      <c r="U17" s="92"/>
      <c r="V17" s="92"/>
      <c r="W17" s="92"/>
      <c r="X17" s="92"/>
      <c r="Y17" s="92"/>
      <c r="Z17" s="92"/>
    </row>
    <row r="18" spans="1:26" ht="15.75" hidden="1" customHeight="1">
      <c r="A18" s="63" t="s">
        <v>115</v>
      </c>
      <c r="B18" s="14">
        <v>18</v>
      </c>
      <c r="C18" s="103">
        <v>0.46528972820081549</v>
      </c>
      <c r="D18" s="1157">
        <v>9.2860275902418354E-2</v>
      </c>
      <c r="E18" s="1157">
        <v>0.23452995842865634</v>
      </c>
      <c r="F18" s="1157">
        <v>0.22851540835432294</v>
      </c>
      <c r="G18" s="1157">
        <v>0.20959667756770553</v>
      </c>
      <c r="H18" s="103">
        <v>0.22883891435576209</v>
      </c>
      <c r="I18" s="103">
        <v>0.20989340059204412</v>
      </c>
      <c r="J18" s="103">
        <v>0.22883891435576209</v>
      </c>
      <c r="K18" s="103">
        <v>0.20989340059204412</v>
      </c>
      <c r="L18" s="103">
        <v>0.2604201850249791</v>
      </c>
      <c r="M18" s="103">
        <v>0.48943228238518105</v>
      </c>
      <c r="N18" s="103">
        <v>0.2604201850249791</v>
      </c>
      <c r="O18" s="103">
        <v>0.53471027179918451</v>
      </c>
      <c r="P18" s="103">
        <v>0</v>
      </c>
      <c r="Q18" s="103">
        <v>0.22901209736020198</v>
      </c>
      <c r="R18" s="103">
        <v>6.0145500743333941E-3</v>
      </c>
      <c r="S18" s="1157">
        <v>1.5309155261722848E-2</v>
      </c>
      <c r="T18" s="92"/>
      <c r="U18" s="92"/>
      <c r="V18" s="92"/>
      <c r="W18" s="92"/>
      <c r="X18" s="92"/>
      <c r="Y18" s="92"/>
      <c r="Z18" s="92"/>
    </row>
    <row r="19" spans="1:26" ht="15.75" hidden="1" customHeight="1">
      <c r="A19" s="63" t="s">
        <v>116</v>
      </c>
      <c r="B19" s="14">
        <v>29</v>
      </c>
      <c r="C19" s="103">
        <v>0.54895938208406658</v>
      </c>
      <c r="D19" s="1157">
        <v>0.14069441895389706</v>
      </c>
      <c r="E19" s="1157">
        <v>0.205274626197503</v>
      </c>
      <c r="F19" s="1157">
        <v>0.20008555306144923</v>
      </c>
      <c r="G19" s="1157">
        <v>0.18619900581821894</v>
      </c>
      <c r="H19" s="103">
        <v>0.20129308533471948</v>
      </c>
      <c r="I19" s="103">
        <v>0.18732273167116589</v>
      </c>
      <c r="J19" s="103">
        <v>0.20137095743625985</v>
      </c>
      <c r="K19" s="103">
        <v>0.18740060377270623</v>
      </c>
      <c r="L19" s="103">
        <v>0.2219267698169605</v>
      </c>
      <c r="M19" s="103">
        <v>0.56483840728402535</v>
      </c>
      <c r="N19" s="103">
        <v>0.22688616496047903</v>
      </c>
      <c r="O19" s="103">
        <v>0.45104061791593342</v>
      </c>
      <c r="P19" s="103">
        <v>4.9593951435185713E-3</v>
      </c>
      <c r="Q19" s="103">
        <v>0.34291163746706493</v>
      </c>
      <c r="R19" s="103">
        <v>5.1890731360537401E-3</v>
      </c>
      <c r="S19" s="1157">
        <v>1.2585187968429277E-2</v>
      </c>
      <c r="T19" s="92"/>
      <c r="U19" s="92"/>
      <c r="V19" s="92"/>
      <c r="W19" s="92"/>
      <c r="X19" s="92"/>
      <c r="Y19" s="92"/>
      <c r="Z19" s="92"/>
    </row>
    <row r="20" spans="1:26" ht="15.75" hidden="1" customHeight="1">
      <c r="A20" s="63" t="s">
        <v>117</v>
      </c>
      <c r="B20" s="14">
        <v>22</v>
      </c>
      <c r="C20" s="103">
        <v>0.39843104396474527</v>
      </c>
      <c r="D20" s="1157">
        <v>-5.6440062078715589E-2</v>
      </c>
      <c r="E20" s="1157">
        <v>0.13437367010172735</v>
      </c>
      <c r="F20" s="1157">
        <v>0.12511923374824721</v>
      </c>
      <c r="G20" s="1157">
        <v>0.11168609486598505</v>
      </c>
      <c r="H20" s="103">
        <v>0.12512483273874822</v>
      </c>
      <c r="I20" s="103">
        <v>0.11169109273374299</v>
      </c>
      <c r="J20" s="103">
        <v>0.12512540860809501</v>
      </c>
      <c r="K20" s="103">
        <v>0.11169166860308977</v>
      </c>
      <c r="L20" s="103">
        <v>0.14183994575310754</v>
      </c>
      <c r="M20" s="103">
        <v>0.37186999173627489</v>
      </c>
      <c r="N20" s="103">
        <v>0.14188313595411473</v>
      </c>
      <c r="O20" s="103">
        <v>0.60156895603525473</v>
      </c>
      <c r="P20" s="103">
        <v>4.3190201007195492E-5</v>
      </c>
      <c r="Q20" s="103">
        <v>0.23003004598316737</v>
      </c>
      <c r="R20" s="103">
        <v>9.2544363534801232E-3</v>
      </c>
      <c r="S20" s="1157">
        <v>8.6266667818405366E-3</v>
      </c>
      <c r="T20" s="92"/>
      <c r="U20" s="92"/>
      <c r="V20" s="92"/>
      <c r="W20" s="92"/>
      <c r="X20" s="92"/>
      <c r="Y20" s="92"/>
      <c r="Z20" s="92"/>
    </row>
    <row r="21" spans="1:26" ht="15.75" hidden="1" customHeight="1">
      <c r="A21" s="63" t="s">
        <v>118</v>
      </c>
      <c r="B21" s="14">
        <v>30</v>
      </c>
      <c r="C21" s="103" t="s">
        <v>113</v>
      </c>
      <c r="D21" s="1157" t="s">
        <v>113</v>
      </c>
      <c r="E21" s="1157" t="s">
        <v>113</v>
      </c>
      <c r="F21" s="1157" t="s">
        <v>113</v>
      </c>
      <c r="G21" s="1157" t="s">
        <v>113</v>
      </c>
      <c r="H21" s="103" t="s">
        <v>113</v>
      </c>
      <c r="I21" s="103" t="s">
        <v>113</v>
      </c>
      <c r="J21" s="103" t="s">
        <v>113</v>
      </c>
      <c r="K21" s="103" t="s">
        <v>113</v>
      </c>
      <c r="L21" s="103" t="s">
        <v>113</v>
      </c>
      <c r="M21" s="103" t="s">
        <v>113</v>
      </c>
      <c r="N21" s="103" t="s">
        <v>113</v>
      </c>
      <c r="O21" s="103" t="s">
        <v>113</v>
      </c>
      <c r="P21" s="103" t="s">
        <v>113</v>
      </c>
      <c r="Q21" s="103" t="s">
        <v>113</v>
      </c>
      <c r="R21" s="103" t="s">
        <v>113</v>
      </c>
      <c r="S21" s="1157" t="s">
        <v>113</v>
      </c>
      <c r="T21" s="92"/>
      <c r="U21" s="92"/>
      <c r="V21" s="92"/>
      <c r="W21" s="92"/>
      <c r="X21" s="92"/>
      <c r="Y21" s="92"/>
      <c r="Z21" s="92"/>
    </row>
    <row r="22" spans="1:26" ht="15.75" hidden="1" customHeight="1">
      <c r="A22" s="63" t="s">
        <v>119</v>
      </c>
      <c r="B22" s="14">
        <v>39</v>
      </c>
      <c r="C22" s="103">
        <v>0.32045377806551162</v>
      </c>
      <c r="D22" s="1157">
        <v>0.10557675115699504</v>
      </c>
      <c r="E22" s="1157">
        <v>0.14000812084983744</v>
      </c>
      <c r="F22" s="1157">
        <v>0.13339807849794327</v>
      </c>
      <c r="G22" s="1157">
        <v>0.10791027097942676</v>
      </c>
      <c r="H22" s="103">
        <v>0.13496816628621033</v>
      </c>
      <c r="I22" s="103">
        <v>0.10918036872447034</v>
      </c>
      <c r="J22" s="103">
        <v>0.13659535563209246</v>
      </c>
      <c r="K22" s="103">
        <v>0.11080755807035247</v>
      </c>
      <c r="L22" s="103">
        <v>0.16564996820746317</v>
      </c>
      <c r="M22" s="103">
        <v>0.33581877965655621</v>
      </c>
      <c r="N22" s="103">
        <v>0.17843263444495208</v>
      </c>
      <c r="O22" s="103">
        <v>0.67954622193448833</v>
      </c>
      <c r="P22" s="103">
        <v>1.2782666237488919E-2</v>
      </c>
      <c r="Q22" s="103">
        <v>0.17016881144909307</v>
      </c>
      <c r="R22" s="103">
        <v>6.610042351894157E-3</v>
      </c>
      <c r="S22" s="1157">
        <v>9.6359387695941975E-3</v>
      </c>
      <c r="T22" s="92"/>
      <c r="U22" s="92"/>
      <c r="V22" s="92"/>
      <c r="W22" s="92"/>
      <c r="X22" s="92"/>
      <c r="Y22" s="92"/>
      <c r="Z22" s="92"/>
    </row>
    <row r="23" spans="1:26" ht="15.75" hidden="1" customHeight="1">
      <c r="A23" s="63" t="s">
        <v>120</v>
      </c>
      <c r="B23" s="14">
        <v>152</v>
      </c>
      <c r="C23" s="103">
        <v>0.33701853222923833</v>
      </c>
      <c r="D23" s="1157">
        <v>7.0921379404534801E-2</v>
      </c>
      <c r="E23" s="1157">
        <v>0.13400917608341245</v>
      </c>
      <c r="F23" s="1157">
        <v>0.12106710497438609</v>
      </c>
      <c r="G23" s="1157">
        <v>0.10595593545089405</v>
      </c>
      <c r="H23" s="103">
        <v>0.12236236680088544</v>
      </c>
      <c r="I23" s="103">
        <v>0.10708952725941716</v>
      </c>
      <c r="J23" s="103">
        <v>0.12434265853816712</v>
      </c>
      <c r="K23" s="103">
        <v>0.10906981899669883</v>
      </c>
      <c r="L23" s="103">
        <v>0.15411705245159654</v>
      </c>
      <c r="M23" s="103">
        <v>0.33650227609272748</v>
      </c>
      <c r="N23" s="103">
        <v>0.16565306826479601</v>
      </c>
      <c r="O23" s="103">
        <v>0.66298146777076172</v>
      </c>
      <c r="P23" s="103">
        <v>1.1536015813199444E-2</v>
      </c>
      <c r="Q23" s="103">
        <v>0.18238522364113091</v>
      </c>
      <c r="R23" s="103">
        <v>1.294207110902635E-2</v>
      </c>
      <c r="S23" s="1157">
        <v>1.4295973606566639E-2</v>
      </c>
      <c r="T23" s="92"/>
      <c r="U23" s="92"/>
      <c r="V23" s="92"/>
      <c r="W23" s="92"/>
      <c r="X23" s="92"/>
      <c r="Y23" s="92"/>
      <c r="Z23" s="92"/>
    </row>
    <row r="24" spans="1:26" ht="15.75" hidden="1" customHeight="1">
      <c r="A24" s="63" t="s">
        <v>121</v>
      </c>
      <c r="B24" s="14">
        <v>9</v>
      </c>
      <c r="C24" s="103">
        <v>0.5788981721149169</v>
      </c>
      <c r="D24" s="1157">
        <v>7.582565475265933E-2</v>
      </c>
      <c r="E24" s="1157">
        <v>0.19446007494579962</v>
      </c>
      <c r="F24" s="1157">
        <v>0.18459797782132617</v>
      </c>
      <c r="G24" s="1157">
        <v>0.1652755145540632</v>
      </c>
      <c r="H24" s="103">
        <v>0.18170066068191562</v>
      </c>
      <c r="I24" s="103">
        <v>0.16268146890581739</v>
      </c>
      <c r="J24" s="103">
        <v>0.18156021868957392</v>
      </c>
      <c r="K24" s="103">
        <v>0.16254102691347569</v>
      </c>
      <c r="L24" s="103">
        <v>0.3160437769781162</v>
      </c>
      <c r="M24" s="103">
        <v>0.56718986734277244</v>
      </c>
      <c r="N24" s="103">
        <v>0.31797369177354057</v>
      </c>
      <c r="O24" s="103">
        <v>0.4211018278850831</v>
      </c>
      <c r="P24" s="103">
        <v>1.9299147954243813E-3</v>
      </c>
      <c r="Q24" s="103">
        <v>0.25114609036465624</v>
      </c>
      <c r="R24" s="103">
        <v>9.8620971244734578E-3</v>
      </c>
      <c r="S24" s="1157">
        <v>1.272767181589636E-2</v>
      </c>
      <c r="T24" s="92"/>
      <c r="U24" s="92"/>
      <c r="V24" s="92"/>
      <c r="W24" s="92"/>
      <c r="X24" s="92"/>
      <c r="Y24" s="92"/>
      <c r="Z24" s="92"/>
    </row>
    <row r="25" spans="1:26" ht="15.75" hidden="1" customHeight="1">
      <c r="A25" s="63" t="s">
        <v>122</v>
      </c>
      <c r="B25" s="14">
        <v>31</v>
      </c>
      <c r="C25" s="103">
        <v>0.12540818650746866</v>
      </c>
      <c r="D25" s="1157">
        <v>2.7590834844637473E-2</v>
      </c>
      <c r="E25" s="1157">
        <v>6.4860104681268474E-2</v>
      </c>
      <c r="F25" s="1157">
        <v>6.0486893798069312E-2</v>
      </c>
      <c r="G25" s="1157">
        <v>5.5664992884229603E-2</v>
      </c>
      <c r="H25" s="103">
        <v>6.2480750010349598E-2</v>
      </c>
      <c r="I25" s="103">
        <v>5.7499902645661287E-2</v>
      </c>
      <c r="J25" s="103">
        <v>6.2465659093970088E-2</v>
      </c>
      <c r="K25" s="103">
        <v>5.7484811729281785E-2</v>
      </c>
      <c r="L25" s="103">
        <v>0.12672653571461701</v>
      </c>
      <c r="M25" s="103">
        <v>0.17857664141822624</v>
      </c>
      <c r="N25" s="103">
        <v>0.13647847500717752</v>
      </c>
      <c r="O25" s="103">
        <v>0.87459181349253134</v>
      </c>
      <c r="P25" s="103">
        <v>9.7519392925605221E-3</v>
      </c>
      <c r="Q25" s="103">
        <v>5.185010570360922E-2</v>
      </c>
      <c r="R25" s="103">
        <v>4.3732108831991585E-3</v>
      </c>
      <c r="S25" s="1157">
        <v>2.1434476824249725E-2</v>
      </c>
      <c r="T25" s="92"/>
      <c r="U25" s="92"/>
      <c r="V25" s="92"/>
      <c r="W25" s="92"/>
      <c r="X25" s="92"/>
      <c r="Y25" s="92"/>
      <c r="Z25" s="92"/>
    </row>
    <row r="26" spans="1:26" ht="15.75" hidden="1" customHeight="1">
      <c r="A26" s="63" t="s">
        <v>123</v>
      </c>
      <c r="B26" s="14">
        <v>4</v>
      </c>
      <c r="C26" s="103">
        <v>0.16469104933212309</v>
      </c>
      <c r="D26" s="1157">
        <v>-5.0040817191989231E-3</v>
      </c>
      <c r="E26" s="1157">
        <v>4.7985359635752435E-2</v>
      </c>
      <c r="F26" s="1157">
        <v>4.3609560927712385E-2</v>
      </c>
      <c r="G26" s="1157">
        <v>4.3609560927712385E-2</v>
      </c>
      <c r="H26" s="103">
        <v>4.4811685215858113E-2</v>
      </c>
      <c r="I26" s="103">
        <v>4.4811685215858113E-2</v>
      </c>
      <c r="J26" s="103">
        <v>4.3824308778591406E-2</v>
      </c>
      <c r="K26" s="103">
        <v>4.3824308778591406E-2</v>
      </c>
      <c r="L26" s="103">
        <v>0.1200025444483318</v>
      </c>
      <c r="M26" s="103">
        <v>0.22287328565754824</v>
      </c>
      <c r="N26" s="103">
        <v>0.13782917780882223</v>
      </c>
      <c r="O26" s="103">
        <v>0.83530895066787691</v>
      </c>
      <c r="P26" s="103">
        <v>1.7826633360490427E-2</v>
      </c>
      <c r="Q26" s="103">
        <v>0.10287074120921645</v>
      </c>
      <c r="R26" s="103">
        <v>4.3757987080400487E-3</v>
      </c>
      <c r="S26" s="1157">
        <v>1.3532550589259982E-2</v>
      </c>
      <c r="T26" s="92"/>
      <c r="U26" s="92"/>
      <c r="V26" s="92"/>
      <c r="W26" s="92"/>
      <c r="X26" s="92"/>
      <c r="Y26" s="92"/>
      <c r="Z26" s="92"/>
    </row>
    <row r="27" spans="1:26" ht="15.75" hidden="1" customHeight="1">
      <c r="A27" s="63" t="s">
        <v>124</v>
      </c>
      <c r="B27" s="14">
        <v>60</v>
      </c>
      <c r="C27" s="103">
        <v>0.33765783825827039</v>
      </c>
      <c r="D27" s="1157">
        <v>6.4570177085481614E-2</v>
      </c>
      <c r="E27" s="1157">
        <v>0.12766752212021634</v>
      </c>
      <c r="F27" s="1157">
        <v>0.1193494453676533</v>
      </c>
      <c r="G27" s="1157">
        <v>0.10743166721966353</v>
      </c>
      <c r="H27" s="103">
        <v>0.1217100203630271</v>
      </c>
      <c r="I27" s="103">
        <v>0.10955652424408327</v>
      </c>
      <c r="J27" s="103">
        <v>0.12123369916544284</v>
      </c>
      <c r="K27" s="103">
        <v>0.10908020304649901</v>
      </c>
      <c r="L27" s="103">
        <v>0.19094716124552252</v>
      </c>
      <c r="M27" s="103">
        <v>0.36829403635220936</v>
      </c>
      <c r="N27" s="103">
        <v>0.21825948002221351</v>
      </c>
      <c r="O27" s="103">
        <v>0.66234216174172955</v>
      </c>
      <c r="P27" s="103">
        <v>2.7312318776690988E-2</v>
      </c>
      <c r="Q27" s="103">
        <v>0.17734687510668692</v>
      </c>
      <c r="R27" s="103">
        <v>8.3180767525630507E-3</v>
      </c>
      <c r="S27" s="1157">
        <v>1.6036039124709085E-2</v>
      </c>
      <c r="T27" s="92"/>
      <c r="U27" s="92"/>
      <c r="V27" s="92"/>
      <c r="W27" s="92"/>
      <c r="X27" s="92"/>
      <c r="Y27" s="92"/>
      <c r="Z27" s="92"/>
    </row>
    <row r="28" spans="1:26" ht="15.75" hidden="1" customHeight="1">
      <c r="A28" s="63" t="s">
        <v>125</v>
      </c>
      <c r="B28" s="14">
        <v>16</v>
      </c>
      <c r="C28" s="103">
        <v>0.25073405256306147</v>
      </c>
      <c r="D28" s="1157">
        <v>0.10055875642859904</v>
      </c>
      <c r="E28" s="1157">
        <v>0.11617235734632586</v>
      </c>
      <c r="F28" s="1157">
        <v>0.10974053594215227</v>
      </c>
      <c r="G28" s="1157">
        <v>0.10669945636154828</v>
      </c>
      <c r="H28" s="103">
        <v>0.11107209301006664</v>
      </c>
      <c r="I28" s="103">
        <v>0.10799411392851818</v>
      </c>
      <c r="J28" s="103">
        <v>0.11036162808862766</v>
      </c>
      <c r="K28" s="103">
        <v>0.10728364900707921</v>
      </c>
      <c r="L28" s="103">
        <v>0.31732853846847892</v>
      </c>
      <c r="M28" s="103">
        <v>0.36322519108567597</v>
      </c>
      <c r="N28" s="103">
        <v>0.32076614722297409</v>
      </c>
      <c r="O28" s="103">
        <v>0.74926594743693853</v>
      </c>
      <c r="P28" s="103">
        <v>3.4376087544951859E-3</v>
      </c>
      <c r="Q28" s="103">
        <v>4.589665261719706E-2</v>
      </c>
      <c r="R28" s="103">
        <v>6.4318214041735947E-3</v>
      </c>
      <c r="S28" s="1157">
        <v>1.2154080146423829E-2</v>
      </c>
      <c r="T28" s="92"/>
      <c r="U28" s="92"/>
      <c r="V28" s="92"/>
      <c r="W28" s="92"/>
      <c r="X28" s="92"/>
      <c r="Y28" s="92"/>
      <c r="Z28" s="92"/>
    </row>
    <row r="29" spans="1:26" ht="15.75" hidden="1" customHeight="1">
      <c r="A29" s="63" t="s">
        <v>126</v>
      </c>
      <c r="B29" s="14">
        <v>63</v>
      </c>
      <c r="C29" s="103">
        <v>0.24140784641476654</v>
      </c>
      <c r="D29" s="1157">
        <v>4.1466105480194575E-2</v>
      </c>
      <c r="E29" s="1157">
        <v>6.8149003482938328E-2</v>
      </c>
      <c r="F29" s="1157">
        <v>6.0552452674760858E-2</v>
      </c>
      <c r="G29" s="1157">
        <v>5.4024014513374845E-2</v>
      </c>
      <c r="H29" s="103">
        <v>6.3077281227413406E-2</v>
      </c>
      <c r="I29" s="103">
        <v>5.6276629698178725E-2</v>
      </c>
      <c r="J29" s="103">
        <v>6.4474279549048094E-2</v>
      </c>
      <c r="K29" s="103">
        <v>5.7673628019813419E-2</v>
      </c>
      <c r="L29" s="103">
        <v>9.6616065620727096E-2</v>
      </c>
      <c r="M29" s="103">
        <v>0.24928993043083914</v>
      </c>
      <c r="N29" s="103">
        <v>0.12030673489072552</v>
      </c>
      <c r="O29" s="103">
        <v>0.75859215358523346</v>
      </c>
      <c r="P29" s="103">
        <v>2.3690669269998417E-2</v>
      </c>
      <c r="Q29" s="103">
        <v>0.15267386481011205</v>
      </c>
      <c r="R29" s="103">
        <v>7.5965508081774699E-3</v>
      </c>
      <c r="S29" s="1157">
        <v>1.0423224165422941E-2</v>
      </c>
      <c r="T29" s="92"/>
      <c r="U29" s="92"/>
      <c r="V29" s="92"/>
      <c r="W29" s="92"/>
      <c r="X29" s="92"/>
      <c r="Y29" s="92"/>
      <c r="Z29" s="92"/>
    </row>
    <row r="30" spans="1:26" ht="15.75" hidden="1" customHeight="1">
      <c r="A30" s="63" t="s">
        <v>127</v>
      </c>
      <c r="B30" s="14">
        <v>35</v>
      </c>
      <c r="C30" s="103">
        <v>0.38724508938044822</v>
      </c>
      <c r="D30" s="1157">
        <v>0.16782526861573174</v>
      </c>
      <c r="E30" s="1157">
        <v>0.2504797792533463</v>
      </c>
      <c r="F30" s="1157">
        <v>0.22650656923300075</v>
      </c>
      <c r="G30" s="1157">
        <v>0.20613761377700798</v>
      </c>
      <c r="H30" s="103">
        <v>0.22673235840482162</v>
      </c>
      <c r="I30" s="103">
        <v>0.20634309850645072</v>
      </c>
      <c r="J30" s="103">
        <v>0.22950815299948338</v>
      </c>
      <c r="K30" s="103">
        <v>0.20911889310111248</v>
      </c>
      <c r="L30" s="103">
        <v>0.25460125883983842</v>
      </c>
      <c r="M30" s="103">
        <v>0.34526072043147782</v>
      </c>
      <c r="N30" s="103">
        <v>0.32468073035329137</v>
      </c>
      <c r="O30" s="103">
        <v>0.61275491061955178</v>
      </c>
      <c r="P30" s="103">
        <v>7.0079471513452951E-2</v>
      </c>
      <c r="Q30" s="103">
        <v>9.0659461591639387E-2</v>
      </c>
      <c r="R30" s="103">
        <v>2.3973210020345588E-2</v>
      </c>
      <c r="S30" s="1157">
        <v>2.7681656440536519E-2</v>
      </c>
      <c r="T30" s="92"/>
      <c r="U30" s="92"/>
      <c r="V30" s="92"/>
      <c r="W30" s="92"/>
      <c r="X30" s="92"/>
      <c r="Y30" s="92"/>
      <c r="Z30" s="92"/>
    </row>
    <row r="31" spans="1:26" ht="15.75" hidden="1" customHeight="1">
      <c r="A31" s="63" t="s">
        <v>128</v>
      </c>
      <c r="B31" s="14">
        <v>46</v>
      </c>
      <c r="C31" s="103">
        <v>0.25981996997519113</v>
      </c>
      <c r="D31" s="1157">
        <v>0.11234137023365905</v>
      </c>
      <c r="E31" s="1157">
        <v>0.15546382569080322</v>
      </c>
      <c r="F31" s="1157">
        <v>0.15132789353180212</v>
      </c>
      <c r="G31" s="1157">
        <v>0.13081902141263274</v>
      </c>
      <c r="H31" s="103">
        <v>0.15188476883348118</v>
      </c>
      <c r="I31" s="103">
        <v>0.13130042560266209</v>
      </c>
      <c r="J31" s="103">
        <v>0.15206830137916255</v>
      </c>
      <c r="K31" s="103">
        <v>0.13148395814834346</v>
      </c>
      <c r="L31" s="103">
        <v>0.18402556141578263</v>
      </c>
      <c r="M31" s="103">
        <v>0.26592054064655324</v>
      </c>
      <c r="N31" s="103">
        <v>0.20888079053735958</v>
      </c>
      <c r="O31" s="103">
        <v>0.74018003002480892</v>
      </c>
      <c r="P31" s="103">
        <v>2.4855229121576939E-2</v>
      </c>
      <c r="Q31" s="103">
        <v>8.1894979230770604E-2</v>
      </c>
      <c r="R31" s="103">
        <v>4.1359321590011145E-3</v>
      </c>
      <c r="S31" s="1157">
        <v>6.26693994201152E-3</v>
      </c>
      <c r="T31" s="92"/>
      <c r="U31" s="92"/>
      <c r="V31" s="92"/>
      <c r="W31" s="92"/>
      <c r="X31" s="92"/>
      <c r="Y31" s="92"/>
      <c r="Z31" s="92"/>
    </row>
    <row r="32" spans="1:26" ht="15.75" hidden="1" customHeight="1">
      <c r="A32" s="63" t="s">
        <v>129</v>
      </c>
      <c r="B32" s="14">
        <v>21</v>
      </c>
      <c r="C32" s="103">
        <v>0.36461085411452049</v>
      </c>
      <c r="D32" s="1157">
        <v>0.25150091437931654</v>
      </c>
      <c r="E32" s="1157">
        <v>0.32965546882766644</v>
      </c>
      <c r="F32" s="1157">
        <v>0.32847328764204248</v>
      </c>
      <c r="G32" s="1157">
        <v>0.31200307169714248</v>
      </c>
      <c r="H32" s="103">
        <v>0.32967589164935684</v>
      </c>
      <c r="I32" s="103">
        <v>0.31314537506984857</v>
      </c>
      <c r="J32" s="103">
        <v>0.33000088530976718</v>
      </c>
      <c r="K32" s="103">
        <v>0.31347036873025891</v>
      </c>
      <c r="L32" s="103">
        <v>0.33427944130797277</v>
      </c>
      <c r="M32" s="103">
        <v>0.36287337299943079</v>
      </c>
      <c r="N32" s="103">
        <v>0.34138199282534903</v>
      </c>
      <c r="O32" s="103">
        <v>0.63538914588547946</v>
      </c>
      <c r="P32" s="103">
        <v>7.1025515173762854E-3</v>
      </c>
      <c r="Q32" s="103">
        <v>2.8593931691458012E-2</v>
      </c>
      <c r="R32" s="103">
        <v>1.1821811856240088E-3</v>
      </c>
      <c r="S32" s="1157">
        <v>5.8466429309424126E-3</v>
      </c>
      <c r="T32" s="92"/>
      <c r="U32" s="92"/>
      <c r="V32" s="92"/>
      <c r="W32" s="92"/>
      <c r="X32" s="92"/>
      <c r="Y32" s="92"/>
      <c r="Z32" s="92"/>
    </row>
    <row r="33" spans="1:26" ht="15.75" hidden="1" customHeight="1">
      <c r="A33" s="63" t="s">
        <v>130</v>
      </c>
      <c r="B33" s="14">
        <v>535</v>
      </c>
      <c r="C33" s="103">
        <v>0.56022157528840555</v>
      </c>
      <c r="D33" s="1157">
        <v>-0.13204348479437353</v>
      </c>
      <c r="E33" s="1157">
        <v>8.7705443322606852E-2</v>
      </c>
      <c r="F33" s="1157">
        <v>1.4221272716606562E-2</v>
      </c>
      <c r="G33" s="1157">
        <v>1.4071313420430123E-2</v>
      </c>
      <c r="H33" s="103">
        <v>1.3020143112568949E-2</v>
      </c>
      <c r="I33" s="103">
        <v>1.2882849388147408E-2</v>
      </c>
      <c r="J33" s="103">
        <v>7.488265801874916E-2</v>
      </c>
      <c r="K33" s="103">
        <v>7.4745364294327626E-2</v>
      </c>
      <c r="L33" s="103">
        <v>0.10909679272051491</v>
      </c>
      <c r="M33" s="103">
        <v>0.43484798355137</v>
      </c>
      <c r="N33" s="103">
        <v>0.59123454763746719</v>
      </c>
      <c r="O33" s="103">
        <v>0.43977842471159445</v>
      </c>
      <c r="P33" s="103">
        <v>0.48213775491695221</v>
      </c>
      <c r="Q33" s="103">
        <v>0.32575119083085513</v>
      </c>
      <c r="R33" s="103">
        <v>7.3484170606000279E-2</v>
      </c>
      <c r="S33" s="1157">
        <v>1.5105665887123976E-2</v>
      </c>
      <c r="T33" s="92"/>
      <c r="U33" s="92"/>
      <c r="V33" s="92"/>
      <c r="W33" s="92"/>
      <c r="X33" s="92"/>
      <c r="Y33" s="92"/>
      <c r="Z33" s="92"/>
    </row>
    <row r="34" spans="1:26" ht="15.75" hidden="1" customHeight="1">
      <c r="A34" s="63" t="s">
        <v>131</v>
      </c>
      <c r="B34" s="14">
        <v>231</v>
      </c>
      <c r="C34" s="103">
        <v>0.70295258672165373</v>
      </c>
      <c r="D34" s="1157">
        <v>8.8994892899814673E-2</v>
      </c>
      <c r="E34" s="1157">
        <v>0.24463965914610258</v>
      </c>
      <c r="F34" s="1157">
        <v>0.22807562351451666</v>
      </c>
      <c r="G34" s="1157">
        <v>0.22219998377628225</v>
      </c>
      <c r="H34" s="103">
        <v>0.22800349031972197</v>
      </c>
      <c r="I34" s="103">
        <v>0.22212970886278591</v>
      </c>
      <c r="J34" s="103">
        <v>0.25591611557226929</v>
      </c>
      <c r="K34" s="103">
        <v>0.25004233411533322</v>
      </c>
      <c r="L34" s="103">
        <v>0.28923387382595295</v>
      </c>
      <c r="M34" s="103">
        <v>0.51760795532501191</v>
      </c>
      <c r="N34" s="103">
        <v>0.56121638220787395</v>
      </c>
      <c r="O34" s="103">
        <v>0.29704741327834627</v>
      </c>
      <c r="P34" s="103">
        <v>0.27198250838192101</v>
      </c>
      <c r="Q34" s="103">
        <v>0.22837408149905891</v>
      </c>
      <c r="R34" s="103">
        <v>1.6564035631585934E-2</v>
      </c>
      <c r="S34" s="1157">
        <v>9.0907087894559844E-3</v>
      </c>
      <c r="T34" s="92"/>
      <c r="U34" s="92"/>
      <c r="V34" s="92"/>
      <c r="W34" s="92"/>
      <c r="X34" s="92"/>
      <c r="Y34" s="92"/>
      <c r="Z34" s="92"/>
    </row>
    <row r="35" spans="1:26" ht="15.75" hidden="1" customHeight="1">
      <c r="A35" s="63" t="s">
        <v>132</v>
      </c>
      <c r="B35" s="14">
        <v>29</v>
      </c>
      <c r="C35" s="103">
        <v>0.41145405943042579</v>
      </c>
      <c r="D35" s="1157">
        <v>2.6545568793594758E-2</v>
      </c>
      <c r="E35" s="1157">
        <v>0.12142265985444835</v>
      </c>
      <c r="F35" s="1157">
        <v>9.2405384076573532E-2</v>
      </c>
      <c r="G35" s="1157">
        <v>8.1418926237068076E-2</v>
      </c>
      <c r="H35" s="103">
        <v>8.4140452069348226E-2</v>
      </c>
      <c r="I35" s="103">
        <v>7.4136646138615925E-2</v>
      </c>
      <c r="J35" s="103">
        <v>8.5465634223736653E-2</v>
      </c>
      <c r="K35" s="103">
        <v>7.5461828293004338E-2</v>
      </c>
      <c r="L35" s="103">
        <v>0.10873991683519772</v>
      </c>
      <c r="M35" s="103">
        <v>0.3839713252476904</v>
      </c>
      <c r="N35" s="103">
        <v>0.14225244422307826</v>
      </c>
      <c r="O35" s="103">
        <v>0.58854594056957421</v>
      </c>
      <c r="P35" s="103">
        <v>3.3512527387880527E-2</v>
      </c>
      <c r="Q35" s="103">
        <v>0.27523140841249266</v>
      </c>
      <c r="R35" s="103">
        <v>2.9017275777874833E-2</v>
      </c>
      <c r="S35" s="1157">
        <v>4.3979978609209755E-2</v>
      </c>
      <c r="T35" s="92"/>
      <c r="U35" s="92"/>
      <c r="V35" s="92"/>
      <c r="W35" s="92"/>
      <c r="X35" s="92"/>
      <c r="Y35" s="92"/>
      <c r="Z35" s="92"/>
    </row>
    <row r="36" spans="1:26" ht="15.75" hidden="1" customHeight="1">
      <c r="A36" s="63" t="s">
        <v>133</v>
      </c>
      <c r="B36" s="14">
        <v>101</v>
      </c>
      <c r="C36" s="103">
        <v>0.30093851702107471</v>
      </c>
      <c r="D36" s="1157">
        <v>2.5925221804496468E-2</v>
      </c>
      <c r="E36" s="1157">
        <v>8.5369507826049212E-2</v>
      </c>
      <c r="F36" s="1157">
        <v>7.1521814337808423E-2</v>
      </c>
      <c r="G36" s="1157">
        <v>6.7849090855175265E-2</v>
      </c>
      <c r="H36" s="103">
        <v>7.3845230171308979E-2</v>
      </c>
      <c r="I36" s="103">
        <v>7.0053196741485232E-2</v>
      </c>
      <c r="J36" s="103">
        <v>7.6432655460022147E-2</v>
      </c>
      <c r="K36" s="103">
        <v>7.2640622030198387E-2</v>
      </c>
      <c r="L36" s="103">
        <v>0.1087989192165465</v>
      </c>
      <c r="M36" s="103">
        <v>0.30115125962359263</v>
      </c>
      <c r="N36" s="103">
        <v>0.1485150287259128</v>
      </c>
      <c r="O36" s="103">
        <v>0.69906148297892523</v>
      </c>
      <c r="P36" s="103">
        <v>3.9716109509366278E-2</v>
      </c>
      <c r="Q36" s="103">
        <v>0.19235234040704613</v>
      </c>
      <c r="R36" s="103">
        <v>1.3847693488240779E-2</v>
      </c>
      <c r="S36" s="1157">
        <v>1.127011113313137E-2</v>
      </c>
      <c r="T36" s="92"/>
      <c r="U36" s="92"/>
      <c r="V36" s="92"/>
      <c r="W36" s="92"/>
      <c r="X36" s="92"/>
      <c r="Y36" s="92"/>
      <c r="Z36" s="92"/>
    </row>
    <row r="37" spans="1:26" ht="15.75" hidden="1" customHeight="1">
      <c r="A37" s="63" t="s">
        <v>134</v>
      </c>
      <c r="B37" s="14">
        <v>11</v>
      </c>
      <c r="C37" s="103">
        <v>0.37476823790032537</v>
      </c>
      <c r="D37" s="1157">
        <v>-0.15367405844645113</v>
      </c>
      <c r="E37" s="1157">
        <v>-1.3886202749969042E-2</v>
      </c>
      <c r="F37" s="1157">
        <v>-5.2972320329844981E-2</v>
      </c>
      <c r="G37" s="1157">
        <v>-5.2972320329844981E-2</v>
      </c>
      <c r="H37" s="103">
        <v>-5.2021152779650442E-2</v>
      </c>
      <c r="I37" s="103">
        <v>-5.2021152779650442E-2</v>
      </c>
      <c r="J37" s="103">
        <v>-4.8685425816909919E-2</v>
      </c>
      <c r="K37" s="103">
        <v>-4.8685425816909919E-2</v>
      </c>
      <c r="L37" s="103">
        <v>-2.6034837984641318E-2</v>
      </c>
      <c r="M37" s="103">
        <v>0.2404346847272818</v>
      </c>
      <c r="N37" s="103">
        <v>0.13301756541654949</v>
      </c>
      <c r="O37" s="103">
        <v>0.62523176209967457</v>
      </c>
      <c r="P37" s="103">
        <v>0.15905240340119081</v>
      </c>
      <c r="Q37" s="103">
        <v>0.26646952271192309</v>
      </c>
      <c r="R37" s="103">
        <v>3.9086117579875936E-2</v>
      </c>
      <c r="S37" s="1157">
        <v>1.1504673678353556E-2</v>
      </c>
      <c r="T37" s="92"/>
      <c r="U37" s="92"/>
      <c r="V37" s="92"/>
      <c r="W37" s="92"/>
      <c r="X37" s="92"/>
      <c r="Y37" s="92"/>
      <c r="Z37" s="92"/>
    </row>
    <row r="38" spans="1:26" ht="15.75" hidden="1" customHeight="1">
      <c r="A38" s="63" t="s">
        <v>135</v>
      </c>
      <c r="B38" s="14">
        <v>122</v>
      </c>
      <c r="C38" s="103">
        <v>0.25189925573134037</v>
      </c>
      <c r="D38" s="1157">
        <v>5.6211411199694618E-2</v>
      </c>
      <c r="E38" s="1157">
        <v>9.5137797820762704E-2</v>
      </c>
      <c r="F38" s="1157">
        <v>8.1549816833311639E-2</v>
      </c>
      <c r="G38" s="1157">
        <v>7.6177086887045192E-2</v>
      </c>
      <c r="H38" s="103">
        <v>8.2741175893930513E-2</v>
      </c>
      <c r="I38" s="103">
        <v>7.7289955881710559E-2</v>
      </c>
      <c r="J38" s="103">
        <v>8.3700233399532128E-2</v>
      </c>
      <c r="K38" s="103">
        <v>7.8249013387312188E-2</v>
      </c>
      <c r="L38" s="103">
        <v>0.12531166294049464</v>
      </c>
      <c r="M38" s="103">
        <v>0.24730545273191568</v>
      </c>
      <c r="N38" s="103">
        <v>0.17127425294930373</v>
      </c>
      <c r="O38" s="103">
        <v>0.74810074426865958</v>
      </c>
      <c r="P38" s="103">
        <v>4.5962590008809069E-2</v>
      </c>
      <c r="Q38" s="103">
        <v>0.12199378979142103</v>
      </c>
      <c r="R38" s="103">
        <v>1.3587980987451068E-2</v>
      </c>
      <c r="S38" s="1157">
        <v>9.0881945567562929E-3</v>
      </c>
      <c r="T38" s="92"/>
      <c r="U38" s="92"/>
      <c r="V38" s="92"/>
      <c r="W38" s="92"/>
      <c r="X38" s="92"/>
      <c r="Y38" s="92"/>
      <c r="Z38" s="92"/>
    </row>
    <row r="39" spans="1:26" ht="15.75" customHeight="1">
      <c r="A39" s="63" t="s">
        <v>136</v>
      </c>
      <c r="B39" s="14">
        <v>42</v>
      </c>
      <c r="C39" s="103">
        <v>0.14449610749358521</v>
      </c>
      <c r="D39" s="1157">
        <v>2.9462687677120056E-2</v>
      </c>
      <c r="E39" s="1157">
        <v>6.0445902978457006E-2</v>
      </c>
      <c r="F39" s="1157">
        <v>5.5676521867050688E-2</v>
      </c>
      <c r="G39" s="1157">
        <v>4.7484756756532208E-2</v>
      </c>
      <c r="H39" s="103">
        <v>5.8369705718335892E-2</v>
      </c>
      <c r="I39" s="103">
        <v>4.9781688673081775E-2</v>
      </c>
      <c r="J39" s="103">
        <v>5.8394090088025367E-2</v>
      </c>
      <c r="K39" s="103">
        <v>4.9806073042771251E-2</v>
      </c>
      <c r="L39" s="103">
        <v>7.2096084984310957E-2</v>
      </c>
      <c r="M39" s="103">
        <v>0.15053747801953588</v>
      </c>
      <c r="N39" s="103">
        <v>7.2468665363497928E-2</v>
      </c>
      <c r="O39" s="103">
        <v>0.85550389250641479</v>
      </c>
      <c r="P39" s="103">
        <v>3.7258037918697448E-4</v>
      </c>
      <c r="Q39" s="103">
        <v>7.8441393035224904E-2</v>
      </c>
      <c r="R39" s="103">
        <v>4.769381111406323E-3</v>
      </c>
      <c r="S39" s="1157">
        <v>2.6770787663305453E-2</v>
      </c>
      <c r="T39" s="92"/>
      <c r="U39" s="92"/>
      <c r="V39" s="92"/>
      <c r="W39" s="92"/>
      <c r="X39" s="92"/>
      <c r="Y39" s="92"/>
      <c r="Z39" s="92"/>
    </row>
    <row r="40" spans="1:26" ht="15.75" hidden="1" customHeight="1">
      <c r="A40" s="63" t="s">
        <v>137</v>
      </c>
      <c r="B40" s="14">
        <v>96</v>
      </c>
      <c r="C40" s="103">
        <v>0.39675188885795887</v>
      </c>
      <c r="D40" s="1157">
        <v>-3.1554326044432382E-2</v>
      </c>
      <c r="E40" s="1157">
        <v>0.10559808651073695</v>
      </c>
      <c r="F40" s="1157">
        <v>8.3399915315478731E-2</v>
      </c>
      <c r="G40" s="1157">
        <v>8.1679124112175233E-2</v>
      </c>
      <c r="H40" s="103">
        <v>8.1348558400648835E-2</v>
      </c>
      <c r="I40" s="103">
        <v>7.9670092863031228E-2</v>
      </c>
      <c r="J40" s="103">
        <v>8.2564197257796915E-2</v>
      </c>
      <c r="K40" s="103">
        <v>8.0885731720179294E-2</v>
      </c>
      <c r="L40" s="103">
        <v>0.16148781314637872</v>
      </c>
      <c r="M40" s="103">
        <v>0.37566960482184353</v>
      </c>
      <c r="N40" s="103">
        <v>0.19628258502308704</v>
      </c>
      <c r="O40" s="103">
        <v>0.60324811114204113</v>
      </c>
      <c r="P40" s="103">
        <v>3.4794771876708312E-2</v>
      </c>
      <c r="Q40" s="103">
        <v>0.21418179167546481</v>
      </c>
      <c r="R40" s="103">
        <v>2.2198171195258212E-2</v>
      </c>
      <c r="S40" s="1157">
        <v>2.0989032450751826E-2</v>
      </c>
      <c r="T40" s="92"/>
      <c r="U40" s="92"/>
      <c r="V40" s="92"/>
      <c r="W40" s="92"/>
      <c r="X40" s="92"/>
      <c r="Y40" s="92"/>
      <c r="Z40" s="92"/>
    </row>
    <row r="41" spans="1:26" ht="15.75" hidden="1" customHeight="1">
      <c r="A41" s="63" t="s">
        <v>138</v>
      </c>
      <c r="B41" s="14">
        <v>50</v>
      </c>
      <c r="C41" s="103">
        <v>0.3578716257308559</v>
      </c>
      <c r="D41" s="1157">
        <v>8.8059849077858396E-2</v>
      </c>
      <c r="E41" s="1157">
        <v>0.15588429623361183</v>
      </c>
      <c r="F41" s="1157">
        <v>0.14893092624522616</v>
      </c>
      <c r="G41" s="1157">
        <v>0.13874908892542573</v>
      </c>
      <c r="H41" s="103">
        <v>0.15084572534217022</v>
      </c>
      <c r="I41" s="103">
        <v>0.14053298053796268</v>
      </c>
      <c r="J41" s="103">
        <v>0.15120143810164249</v>
      </c>
      <c r="K41" s="103">
        <v>0.14088869329743495</v>
      </c>
      <c r="L41" s="103">
        <v>0.20531735216041805</v>
      </c>
      <c r="M41" s="103">
        <v>0.34312611605973131</v>
      </c>
      <c r="N41" s="103">
        <v>0.2098190328928343</v>
      </c>
      <c r="O41" s="103">
        <v>0.64212837426914415</v>
      </c>
      <c r="P41" s="103">
        <v>4.5016807324162519E-3</v>
      </c>
      <c r="Q41" s="103">
        <v>0.13780876389931332</v>
      </c>
      <c r="R41" s="103">
        <v>6.9533699883856511E-3</v>
      </c>
      <c r="S41" s="1157">
        <v>1.6768234997282132E-2</v>
      </c>
      <c r="T41" s="92"/>
      <c r="U41" s="92"/>
      <c r="V41" s="92"/>
      <c r="W41" s="92"/>
      <c r="X41" s="92"/>
      <c r="Y41" s="92"/>
      <c r="Z41" s="92"/>
    </row>
    <row r="42" spans="1:26" ht="15.75" hidden="1" customHeight="1">
      <c r="A42" s="63" t="s">
        <v>139</v>
      </c>
      <c r="B42" s="14">
        <v>35</v>
      </c>
      <c r="C42" s="103">
        <v>0.14701788048318265</v>
      </c>
      <c r="D42" s="1157">
        <v>4.9047400664491911E-2</v>
      </c>
      <c r="E42" s="1157">
        <v>7.4915903875502038E-2</v>
      </c>
      <c r="F42" s="1157">
        <v>7.2528629181504101E-2</v>
      </c>
      <c r="G42" s="1157">
        <v>6.6079560662125836E-2</v>
      </c>
      <c r="H42" s="103">
        <v>7.423811315646664E-2</v>
      </c>
      <c r="I42" s="103">
        <v>6.763704149830406E-2</v>
      </c>
      <c r="J42" s="103">
        <v>7.4664801377411744E-2</v>
      </c>
      <c r="K42" s="103">
        <v>6.8063729719249164E-2</v>
      </c>
      <c r="L42" s="103">
        <v>0.10960081405505839</v>
      </c>
      <c r="M42" s="103">
        <v>0.16825019730464461</v>
      </c>
      <c r="N42" s="103">
        <v>0.12466230981749811</v>
      </c>
      <c r="O42" s="103">
        <v>0.85298211951681735</v>
      </c>
      <c r="P42" s="103">
        <v>1.5061495762439724E-2</v>
      </c>
      <c r="Q42" s="103">
        <v>5.8649383249586219E-2</v>
      </c>
      <c r="R42" s="103">
        <v>2.3872746939979346E-3</v>
      </c>
      <c r="S42" s="1157">
        <v>1.0588516676232123E-2</v>
      </c>
      <c r="T42" s="92"/>
      <c r="U42" s="92"/>
      <c r="V42" s="92"/>
      <c r="W42" s="92"/>
      <c r="X42" s="92"/>
      <c r="Y42" s="92"/>
      <c r="Z42" s="92"/>
    </row>
    <row r="43" spans="1:26" ht="15.75" hidden="1" customHeight="1">
      <c r="A43" s="63" t="s">
        <v>254</v>
      </c>
      <c r="B43" s="14">
        <v>166</v>
      </c>
      <c r="C43" s="103">
        <v>0.6836635077627583</v>
      </c>
      <c r="D43" s="1157">
        <v>0.22278218716556081</v>
      </c>
      <c r="E43" s="1157">
        <v>0.18685559123698081</v>
      </c>
      <c r="F43" s="1157">
        <v>0.16330571937089891</v>
      </c>
      <c r="G43" s="1157">
        <v>0.14402628755733005</v>
      </c>
      <c r="H43" s="103">
        <v>0.16407288680238349</v>
      </c>
      <c r="I43" s="103">
        <v>0.14470288527550715</v>
      </c>
      <c r="J43" s="103">
        <v>0.16436086630800309</v>
      </c>
      <c r="K43" s="103">
        <v>0.14499086478112672</v>
      </c>
      <c r="L43" s="103">
        <v>0.18172897801001534</v>
      </c>
      <c r="M43" s="103">
        <v>0.46283095354164405</v>
      </c>
      <c r="N43" s="103">
        <v>0.20238204800048862</v>
      </c>
      <c r="O43" s="103">
        <v>0.3163364922372417</v>
      </c>
      <c r="P43" s="103">
        <v>2.0653069990473272E-2</v>
      </c>
      <c r="Q43" s="103">
        <v>0.28110197553162869</v>
      </c>
      <c r="R43" s="103">
        <v>2.3549871866081883E-2</v>
      </c>
      <c r="S43" s="1157">
        <v>6.9723052223676788E-3</v>
      </c>
      <c r="T43" s="92"/>
      <c r="U43" s="92"/>
      <c r="V43" s="92"/>
      <c r="W43" s="92"/>
      <c r="X43" s="92"/>
      <c r="Y43" s="92"/>
      <c r="Z43" s="92"/>
    </row>
    <row r="44" spans="1:26" ht="15.75" hidden="1" customHeight="1">
      <c r="A44" s="63" t="s">
        <v>141</v>
      </c>
      <c r="B44" s="14">
        <v>77</v>
      </c>
      <c r="C44" s="103">
        <v>0.25907194435563163</v>
      </c>
      <c r="D44" s="1157">
        <v>6.0059791809404427E-2</v>
      </c>
      <c r="E44" s="1157">
        <v>0.12456268047978275</v>
      </c>
      <c r="F44" s="1157">
        <v>0.1196989866600123</v>
      </c>
      <c r="G44" s="1157">
        <v>0.10757963303625726</v>
      </c>
      <c r="H44" s="103">
        <v>0.12096755383049325</v>
      </c>
      <c r="I44" s="103">
        <v>0.1087197595694067</v>
      </c>
      <c r="J44" s="103">
        <v>0.12132968898848751</v>
      </c>
      <c r="K44" s="103">
        <v>0.10908189472740096</v>
      </c>
      <c r="L44" s="103">
        <v>0.14592010695359417</v>
      </c>
      <c r="M44" s="103">
        <v>0.2809476394169963</v>
      </c>
      <c r="N44" s="103">
        <v>0.15274893132762288</v>
      </c>
      <c r="O44" s="103">
        <v>0.74092805564436837</v>
      </c>
      <c r="P44" s="103">
        <v>6.8288243740287054E-3</v>
      </c>
      <c r="Q44" s="103">
        <v>0.13502753246340216</v>
      </c>
      <c r="R44" s="103">
        <v>4.8636938197704465E-3</v>
      </c>
      <c r="S44" s="1157">
        <v>1.7978768452350479E-2</v>
      </c>
      <c r="T44" s="92"/>
      <c r="U44" s="92"/>
      <c r="V44" s="92"/>
      <c r="W44" s="92"/>
      <c r="X44" s="92"/>
      <c r="Y44" s="92"/>
      <c r="Z44" s="92"/>
    </row>
    <row r="45" spans="1:26" ht="15.75" hidden="1" customHeight="1">
      <c r="A45" s="63" t="s">
        <v>142</v>
      </c>
      <c r="B45" s="14">
        <v>14</v>
      </c>
      <c r="C45" s="103">
        <v>0.15361419164789467</v>
      </c>
      <c r="D45" s="1157">
        <v>1.3357667648587765E-2</v>
      </c>
      <c r="E45" s="1157">
        <v>2.7972305492982154E-2</v>
      </c>
      <c r="F45" s="1157">
        <v>2.6683235141223359E-2</v>
      </c>
      <c r="G45" s="1157">
        <v>2.2538295068628471E-2</v>
      </c>
      <c r="H45" s="103">
        <v>2.6340675628140704E-2</v>
      </c>
      <c r="I45" s="103">
        <v>2.2248948317997969E-2</v>
      </c>
      <c r="J45" s="103">
        <v>2.6340675628140704E-2</v>
      </c>
      <c r="K45" s="103">
        <v>2.2248948317997969E-2</v>
      </c>
      <c r="L45" s="103">
        <v>3.692381736267545E-2</v>
      </c>
      <c r="M45" s="103">
        <v>0.16061251516201697</v>
      </c>
      <c r="N45" s="103">
        <v>3.692381736267545E-2</v>
      </c>
      <c r="O45" s="103">
        <v>0.84638580835210531</v>
      </c>
      <c r="P45" s="103">
        <v>0</v>
      </c>
      <c r="Q45" s="103">
        <v>0.12368869779934154</v>
      </c>
      <c r="R45" s="103">
        <v>1.289070351758794E-3</v>
      </c>
      <c r="S45" s="1157">
        <v>5.0745494714954089E-3</v>
      </c>
      <c r="T45" s="92"/>
      <c r="U45" s="92"/>
      <c r="V45" s="92"/>
      <c r="W45" s="92"/>
      <c r="X45" s="92"/>
      <c r="Y45" s="92"/>
      <c r="Z45" s="92"/>
    </row>
    <row r="46" spans="1:26" ht="15.75" hidden="1" customHeight="1">
      <c r="A46" s="63" t="s">
        <v>143</v>
      </c>
      <c r="B46" s="14">
        <v>28</v>
      </c>
      <c r="C46" s="103">
        <v>0.2849828361324182</v>
      </c>
      <c r="D46" s="1157">
        <v>2.1065168786530589E-2</v>
      </c>
      <c r="E46" s="1157">
        <v>7.2126381724123612E-2</v>
      </c>
      <c r="F46" s="1157">
        <v>6.50643353627397E-2</v>
      </c>
      <c r="G46" s="1157">
        <v>5.7513309928043439E-2</v>
      </c>
      <c r="H46" s="103">
        <v>6.7887623310659437E-2</v>
      </c>
      <c r="I46" s="103">
        <v>6.0008941887696197E-2</v>
      </c>
      <c r="J46" s="103">
        <v>6.858572865571802E-2</v>
      </c>
      <c r="K46" s="103">
        <v>6.0707047232754781E-2</v>
      </c>
      <c r="L46" s="103">
        <v>9.6134705762790401E-2</v>
      </c>
      <c r="M46" s="103">
        <v>0.30314052880156717</v>
      </c>
      <c r="N46" s="103">
        <v>0.1162773713055977</v>
      </c>
      <c r="O46" s="103">
        <v>0.71501716386758174</v>
      </c>
      <c r="P46" s="103">
        <v>2.014266554280731E-2</v>
      </c>
      <c r="Q46" s="103">
        <v>0.20700582303877679</v>
      </c>
      <c r="R46" s="103">
        <v>7.0620463613839208E-3</v>
      </c>
      <c r="S46" s="1157">
        <v>2.6241757737400111E-2</v>
      </c>
      <c r="T46" s="92"/>
      <c r="U46" s="92"/>
      <c r="V46" s="92"/>
      <c r="W46" s="92"/>
      <c r="X46" s="92"/>
      <c r="Y46" s="92"/>
      <c r="Z46" s="92"/>
    </row>
    <row r="47" spans="1:26" ht="15.75" hidden="1" customHeight="1">
      <c r="A47" s="63" t="s">
        <v>144</v>
      </c>
      <c r="B47" s="14">
        <v>18</v>
      </c>
      <c r="C47" s="103">
        <v>0.58551231091387335</v>
      </c>
      <c r="D47" s="1157">
        <v>-0.18830243749053546</v>
      </c>
      <c r="E47" s="1157">
        <v>0.22508374623708605</v>
      </c>
      <c r="F47" s="1157">
        <v>0.21598234119080256</v>
      </c>
      <c r="G47" s="1157">
        <v>0.21333958817542681</v>
      </c>
      <c r="H47" s="103">
        <v>0.19775719631680533</v>
      </c>
      <c r="I47" s="103">
        <v>0.19533744559090316</v>
      </c>
      <c r="J47" s="103">
        <v>0.19738797017736939</v>
      </c>
      <c r="K47" s="103">
        <v>0.19496821945146725</v>
      </c>
      <c r="L47" s="103">
        <v>0.54581423141065033</v>
      </c>
      <c r="M47" s="103">
        <v>0.64608304887423651</v>
      </c>
      <c r="N47" s="103">
        <v>0.54687160903697385</v>
      </c>
      <c r="O47" s="103">
        <v>0.41448768908612665</v>
      </c>
      <c r="P47" s="103">
        <v>1.0573776263234703E-3</v>
      </c>
      <c r="Q47" s="103">
        <v>0.10026881746358619</v>
      </c>
      <c r="R47" s="103">
        <v>9.1014050462834804E-3</v>
      </c>
      <c r="S47" s="1157">
        <v>1.0026520043635818E-2</v>
      </c>
      <c r="T47" s="92"/>
      <c r="U47" s="92"/>
      <c r="V47" s="92"/>
      <c r="W47" s="92"/>
      <c r="X47" s="92"/>
      <c r="Y47" s="92"/>
      <c r="Z47" s="92"/>
    </row>
    <row r="48" spans="1:26" ht="15.75" hidden="1" customHeight="1">
      <c r="A48" s="1158" t="s">
        <v>145</v>
      </c>
      <c r="B48" s="1159">
        <v>218</v>
      </c>
      <c r="C48" s="1160">
        <v>0.56043528132431608</v>
      </c>
      <c r="D48" s="1161">
        <v>8.7320840391705082E-2</v>
      </c>
      <c r="E48" s="1161">
        <v>0.17017269419104938</v>
      </c>
      <c r="F48" s="1161">
        <v>0.14812121552106344</v>
      </c>
      <c r="G48" s="1161">
        <v>0.1420528660297756</v>
      </c>
      <c r="H48" s="1160">
        <v>0.14986584890862115</v>
      </c>
      <c r="I48" s="1160">
        <v>0.14372602386879268</v>
      </c>
      <c r="J48" s="1160">
        <v>0.15146903608253789</v>
      </c>
      <c r="K48" s="1160">
        <v>0.14532921104270941</v>
      </c>
      <c r="L48" s="1160">
        <v>0.20857440265510815</v>
      </c>
      <c r="M48" s="1160">
        <v>0.52266500388785131</v>
      </c>
      <c r="N48" s="1160">
        <v>0.28875653317940442</v>
      </c>
      <c r="O48" s="1160">
        <v>0.43956471867568392</v>
      </c>
      <c r="P48" s="1160">
        <v>8.0182130524296263E-2</v>
      </c>
      <c r="Q48" s="1160">
        <v>0.31409060123274324</v>
      </c>
      <c r="R48" s="1160">
        <v>2.2051478669985913E-2</v>
      </c>
      <c r="S48" s="1161">
        <v>9.7492638193752076E-3</v>
      </c>
      <c r="T48" s="996"/>
      <c r="U48" s="996"/>
      <c r="V48" s="996"/>
      <c r="W48" s="996"/>
      <c r="X48" s="996"/>
      <c r="Y48" s="996"/>
      <c r="Z48" s="996"/>
    </row>
    <row r="49" spans="1:26" ht="15.75" hidden="1" customHeight="1">
      <c r="A49" s="1158" t="s">
        <v>146</v>
      </c>
      <c r="B49" s="1159">
        <v>113</v>
      </c>
      <c r="C49" s="1160">
        <v>0.13157358009062298</v>
      </c>
      <c r="D49" s="1161">
        <v>1.5783222020161827E-2</v>
      </c>
      <c r="E49" s="1161">
        <v>3.6514258952449453E-2</v>
      </c>
      <c r="F49" s="1161">
        <v>3.4369370202265159E-2</v>
      </c>
      <c r="G49" s="1161">
        <v>3.1345856527778125E-2</v>
      </c>
      <c r="H49" s="1160">
        <v>3.4299512319815803E-2</v>
      </c>
      <c r="I49" s="1160">
        <v>3.1282144124911711E-2</v>
      </c>
      <c r="J49" s="1160">
        <v>3.427553986135274E-2</v>
      </c>
      <c r="K49" s="1160">
        <v>3.1258171666448641E-2</v>
      </c>
      <c r="L49" s="1160">
        <v>4.5061359397291292E-2</v>
      </c>
      <c r="M49" s="1160">
        <v>0.13495781775295074</v>
      </c>
      <c r="N49" s="1160">
        <v>4.5658920221893072E-2</v>
      </c>
      <c r="O49" s="1160">
        <v>0.86842641990937697</v>
      </c>
      <c r="P49" s="1160">
        <v>5.9756082460178314E-4</v>
      </c>
      <c r="Q49" s="1160">
        <v>8.9896458355659431E-2</v>
      </c>
      <c r="R49" s="1160">
        <v>2.1448887501842955E-3</v>
      </c>
      <c r="S49" s="1161">
        <v>3.7357519308539875E-3</v>
      </c>
      <c r="T49" s="996"/>
      <c r="U49" s="996"/>
      <c r="V49" s="996"/>
      <c r="W49" s="996"/>
      <c r="X49" s="996"/>
      <c r="Y49" s="996"/>
      <c r="Z49" s="996"/>
    </row>
    <row r="50" spans="1:26" ht="15.75" hidden="1" customHeight="1">
      <c r="A50" s="63" t="s">
        <v>255</v>
      </c>
      <c r="B50" s="14">
        <v>116</v>
      </c>
      <c r="C50" s="103">
        <v>0.47758645511794806</v>
      </c>
      <c r="D50" s="1157">
        <v>4.6867934397215469E-2</v>
      </c>
      <c r="E50" s="1157">
        <v>0.16237080677045693</v>
      </c>
      <c r="F50" s="1157">
        <v>0.1335229870447581</v>
      </c>
      <c r="G50" s="1157">
        <v>0.12841814621828693</v>
      </c>
      <c r="H50" s="103">
        <v>0.134045007442579</v>
      </c>
      <c r="I50" s="103">
        <v>0.12892020877140989</v>
      </c>
      <c r="J50" s="103">
        <v>0.13495449256441597</v>
      </c>
      <c r="K50" s="103">
        <v>0.12982969389324683</v>
      </c>
      <c r="L50" s="103">
        <v>0.208679523766437</v>
      </c>
      <c r="M50" s="103">
        <v>0.46146636838901611</v>
      </c>
      <c r="N50" s="103">
        <v>0.27565023426716251</v>
      </c>
      <c r="O50" s="103">
        <v>0.52241354488205194</v>
      </c>
      <c r="P50" s="103">
        <v>6.6970710500725478E-2</v>
      </c>
      <c r="Q50" s="103">
        <v>0.25278684462257911</v>
      </c>
      <c r="R50" s="103">
        <v>2.8847819725698824E-2</v>
      </c>
      <c r="S50" s="1157">
        <v>1.2996673061066277E-2</v>
      </c>
      <c r="T50" s="92"/>
      <c r="U50" s="92"/>
      <c r="V50" s="92"/>
      <c r="W50" s="92"/>
      <c r="X50" s="92"/>
      <c r="Y50" s="92"/>
      <c r="Z50" s="92"/>
    </row>
    <row r="51" spans="1:26" ht="15.75" hidden="1" customHeight="1">
      <c r="A51" s="63" t="s">
        <v>148</v>
      </c>
      <c r="B51" s="14">
        <v>30</v>
      </c>
      <c r="C51" s="103">
        <v>0.24965703399731798</v>
      </c>
      <c r="D51" s="1157">
        <v>0.1200019568457948</v>
      </c>
      <c r="E51" s="1157">
        <v>0.15860410131856875</v>
      </c>
      <c r="F51" s="1157">
        <v>0.15524693667301681</v>
      </c>
      <c r="G51" s="1157">
        <v>0.12772463398960571</v>
      </c>
      <c r="H51" s="103">
        <v>0.15587402563467992</v>
      </c>
      <c r="I51" s="103">
        <v>0.12824055211220309</v>
      </c>
      <c r="J51" s="103">
        <v>0.15587402563467992</v>
      </c>
      <c r="K51" s="103">
        <v>0.12824055211220309</v>
      </c>
      <c r="L51" s="103">
        <v>0.15507202919153493</v>
      </c>
      <c r="M51" s="103">
        <v>0.24950670219684717</v>
      </c>
      <c r="N51" s="103">
        <v>0.15507202919153493</v>
      </c>
      <c r="O51" s="103">
        <v>0.75034296600268202</v>
      </c>
      <c r="P51" s="103">
        <v>0</v>
      </c>
      <c r="Q51" s="103">
        <v>9.4434673005312261E-2</v>
      </c>
      <c r="R51" s="103">
        <v>3.3571646455519168E-3</v>
      </c>
      <c r="S51" s="1157">
        <v>2.7799757120904292E-3</v>
      </c>
      <c r="T51" s="92"/>
      <c r="U51" s="92"/>
      <c r="V51" s="92"/>
      <c r="W51" s="92"/>
      <c r="X51" s="92"/>
      <c r="Y51" s="92"/>
      <c r="Z51" s="92"/>
    </row>
    <row r="52" spans="1:26" ht="15.75" hidden="1" customHeight="1">
      <c r="A52" s="63" t="s">
        <v>149</v>
      </c>
      <c r="B52" s="14">
        <v>33</v>
      </c>
      <c r="C52" s="103">
        <v>0.38248599747567891</v>
      </c>
      <c r="D52" s="1157">
        <v>6.9712614491959174E-2</v>
      </c>
      <c r="E52" s="1157">
        <v>0.12999314024031239</v>
      </c>
      <c r="F52" s="1157">
        <v>0.12448735406100417</v>
      </c>
      <c r="G52" s="1157">
        <v>0.11322056109931417</v>
      </c>
      <c r="H52" s="103">
        <v>0.12144789894636833</v>
      </c>
      <c r="I52" s="103">
        <v>0.11045619345642403</v>
      </c>
      <c r="J52" s="103">
        <v>0.12143678731352776</v>
      </c>
      <c r="K52" s="103">
        <v>0.11044508182358345</v>
      </c>
      <c r="L52" s="103">
        <v>0.15322646906826151</v>
      </c>
      <c r="M52" s="103">
        <v>0.19701472113215318</v>
      </c>
      <c r="N52" s="103">
        <v>0.15374242970090266</v>
      </c>
      <c r="O52" s="103">
        <v>0.61751400252432109</v>
      </c>
      <c r="P52" s="103">
        <v>5.159606326411454E-4</v>
      </c>
      <c r="Q52" s="103">
        <v>4.3788252063891663E-2</v>
      </c>
      <c r="R52" s="103">
        <v>5.5057861793082197E-3</v>
      </c>
      <c r="S52" s="1157">
        <v>2.2654139403687837E-2</v>
      </c>
      <c r="T52" s="92"/>
      <c r="U52" s="92"/>
      <c r="V52" s="92"/>
      <c r="W52" s="92"/>
      <c r="X52" s="92"/>
      <c r="Y52" s="92"/>
      <c r="Z52" s="92"/>
    </row>
    <row r="53" spans="1:26" ht="15.75" hidden="1" customHeight="1">
      <c r="A53" s="63" t="s">
        <v>150</v>
      </c>
      <c r="B53" s="14">
        <v>65</v>
      </c>
      <c r="C53" s="103">
        <v>0.61367356844805665</v>
      </c>
      <c r="D53" s="1157">
        <v>9.8026789361445946E-2</v>
      </c>
      <c r="E53" s="1157">
        <v>0.20274308461485618</v>
      </c>
      <c r="F53" s="1157">
        <v>0.18146969754607978</v>
      </c>
      <c r="G53" s="1157">
        <v>0.16214305081361885</v>
      </c>
      <c r="H53" s="103">
        <v>0.14846301336319512</v>
      </c>
      <c r="I53" s="103">
        <v>0.13265160103977672</v>
      </c>
      <c r="J53" s="103">
        <v>0.1490485912543498</v>
      </c>
      <c r="K53" s="103">
        <v>0.1332371789309314</v>
      </c>
      <c r="L53" s="103">
        <v>0.23254376776951868</v>
      </c>
      <c r="M53" s="103">
        <v>0.51094431072549495</v>
      </c>
      <c r="N53" s="103">
        <v>0.2562524837622886</v>
      </c>
      <c r="O53" s="103">
        <v>0.38632643155194335</v>
      </c>
      <c r="P53" s="103">
        <v>2.3708715992769941E-2</v>
      </c>
      <c r="Q53" s="103">
        <v>0.27840054295597627</v>
      </c>
      <c r="R53" s="103">
        <v>2.1273387068776396E-2</v>
      </c>
      <c r="S53" s="1157">
        <v>2.8169705412865925E-2</v>
      </c>
      <c r="T53" s="92"/>
      <c r="U53" s="92"/>
      <c r="V53" s="92"/>
      <c r="W53" s="92"/>
      <c r="X53" s="92"/>
      <c r="Y53" s="92"/>
      <c r="Z53" s="92"/>
    </row>
    <row r="54" spans="1:26" ht="15.75" hidden="1" customHeight="1">
      <c r="A54" s="63" t="s">
        <v>151</v>
      </c>
      <c r="B54" s="14">
        <v>101</v>
      </c>
      <c r="C54" s="103">
        <v>0.51318726336199572</v>
      </c>
      <c r="D54" s="1157">
        <v>0.10379739108933109</v>
      </c>
      <c r="E54" s="1157">
        <v>0.19382142119788093</v>
      </c>
      <c r="F54" s="1157">
        <v>0.18381524828445367</v>
      </c>
      <c r="G54" s="1157">
        <v>0.16911062710796101</v>
      </c>
      <c r="H54" s="103">
        <v>0.1853194939040114</v>
      </c>
      <c r="I54" s="103">
        <v>0.17049453797728212</v>
      </c>
      <c r="J54" s="103">
        <v>0.18562429495005234</v>
      </c>
      <c r="K54" s="103">
        <v>0.17079933902332306</v>
      </c>
      <c r="L54" s="103">
        <v>0.21472132703318286</v>
      </c>
      <c r="M54" s="103">
        <v>0.5381519187076319</v>
      </c>
      <c r="N54" s="103">
        <v>0.23421520703875182</v>
      </c>
      <c r="O54" s="103">
        <v>0.48681273663800428</v>
      </c>
      <c r="P54" s="103">
        <v>1.9493880005568984E-2</v>
      </c>
      <c r="Q54" s="103">
        <v>0.3234305916744491</v>
      </c>
      <c r="R54" s="103">
        <v>1.0006172913427246E-2</v>
      </c>
      <c r="S54" s="1157">
        <v>1.2213365477995737E-2</v>
      </c>
      <c r="T54" s="92"/>
      <c r="U54" s="92"/>
      <c r="V54" s="92"/>
      <c r="W54" s="92"/>
      <c r="X54" s="92"/>
      <c r="Y54" s="92"/>
      <c r="Z54" s="92"/>
    </row>
    <row r="55" spans="1:26" ht="15.75" hidden="1" customHeight="1">
      <c r="A55" s="63" t="s">
        <v>152</v>
      </c>
      <c r="B55" s="14">
        <v>16</v>
      </c>
      <c r="C55" s="103">
        <v>0.33819067441463518</v>
      </c>
      <c r="D55" s="1157">
        <v>6.2252090907006535E-2</v>
      </c>
      <c r="E55" s="1157">
        <v>0.13073463887112674</v>
      </c>
      <c r="F55" s="1157">
        <v>0.11538316523706287</v>
      </c>
      <c r="G55" s="1157">
        <v>9.7649535307465354E-2</v>
      </c>
      <c r="H55" s="103">
        <v>0.12148244832918506</v>
      </c>
      <c r="I55" s="103">
        <v>0.10281139889849032</v>
      </c>
      <c r="J55" s="103">
        <v>0.12244160335564143</v>
      </c>
      <c r="K55" s="103">
        <v>0.10377055392494669</v>
      </c>
      <c r="L55" s="103">
        <v>0.16979718902614557</v>
      </c>
      <c r="M55" s="103">
        <v>0.35145325361179824</v>
      </c>
      <c r="N55" s="103">
        <v>0.1891789989631445</v>
      </c>
      <c r="O55" s="103">
        <v>0.66180932558536476</v>
      </c>
      <c r="P55" s="103">
        <v>1.9381809936998926E-2</v>
      </c>
      <c r="Q55" s="103">
        <v>0.18165606458565267</v>
      </c>
      <c r="R55" s="103">
        <v>1.5351473634063887E-2</v>
      </c>
      <c r="S55" s="1157">
        <v>1.9723182509496017E-2</v>
      </c>
      <c r="T55" s="92"/>
      <c r="U55" s="92"/>
      <c r="V55" s="92"/>
      <c r="W55" s="92"/>
      <c r="X55" s="92"/>
      <c r="Y55" s="92"/>
      <c r="Z55" s="92"/>
    </row>
    <row r="56" spans="1:26" ht="15.75" hidden="1" customHeight="1">
      <c r="A56" s="63" t="s">
        <v>153</v>
      </c>
      <c r="B56" s="14">
        <v>22</v>
      </c>
      <c r="C56" s="103">
        <v>0.36831615708312943</v>
      </c>
      <c r="D56" s="1157">
        <v>4.1570455667119158E-2</v>
      </c>
      <c r="E56" s="1157">
        <v>0.1764349533648373</v>
      </c>
      <c r="F56" s="1157">
        <v>0.16431072926981199</v>
      </c>
      <c r="G56" s="1157">
        <v>0.14988053398175175</v>
      </c>
      <c r="H56" s="103">
        <v>0.16493265817818711</v>
      </c>
      <c r="I56" s="103">
        <v>0.15044784347700013</v>
      </c>
      <c r="J56" s="103">
        <v>0.16494256638950247</v>
      </c>
      <c r="K56" s="103">
        <v>0.15045775168831549</v>
      </c>
      <c r="L56" s="103">
        <v>0.21606140252943196</v>
      </c>
      <c r="M56" s="103">
        <v>0.35277812847911666</v>
      </c>
      <c r="N56" s="103">
        <v>0.21718090728581163</v>
      </c>
      <c r="O56" s="103">
        <v>0.63168384291687052</v>
      </c>
      <c r="P56" s="103">
        <v>1.1195047563796632E-3</v>
      </c>
      <c r="Q56" s="103">
        <v>0.13671672594968473</v>
      </c>
      <c r="R56" s="103">
        <v>1.2124224095025339E-2</v>
      </c>
      <c r="S56" s="1157">
        <v>1.0589390409193685E-2</v>
      </c>
      <c r="T56" s="92"/>
      <c r="U56" s="92"/>
      <c r="V56" s="92"/>
      <c r="W56" s="92"/>
      <c r="X56" s="92"/>
      <c r="Y56" s="92"/>
      <c r="Z56" s="92"/>
    </row>
    <row r="57" spans="1:26" ht="15.75" hidden="1" customHeight="1">
      <c r="A57" s="63" t="s">
        <v>154</v>
      </c>
      <c r="B57" s="14">
        <v>19</v>
      </c>
      <c r="C57" s="103">
        <v>0.26037812908362862</v>
      </c>
      <c r="D57" s="1157">
        <v>5.9544502751444475E-2</v>
      </c>
      <c r="E57" s="1157">
        <v>8.6502676513623838E-2</v>
      </c>
      <c r="F57" s="1157">
        <v>8.2066576475170308E-2</v>
      </c>
      <c r="G57" s="1157">
        <v>7.0161244617777729E-2</v>
      </c>
      <c r="H57" s="103">
        <v>8.2514509207025716E-2</v>
      </c>
      <c r="I57" s="103">
        <v>7.0544196110600449E-2</v>
      </c>
      <c r="J57" s="103">
        <v>8.2514509207025716E-2</v>
      </c>
      <c r="K57" s="103">
        <v>7.0544196110600449E-2</v>
      </c>
      <c r="L57" s="103">
        <v>6.2257164336536698E-2</v>
      </c>
      <c r="M57" s="103">
        <v>0.16686767622954529</v>
      </c>
      <c r="N57" s="103">
        <v>6.2257164336536698E-2</v>
      </c>
      <c r="O57" s="103">
        <v>0.73962187091637133</v>
      </c>
      <c r="P57" s="103">
        <v>0</v>
      </c>
      <c r="Q57" s="103">
        <v>0.10461051189300861</v>
      </c>
      <c r="R57" s="103">
        <v>4.4361000384535261E-3</v>
      </c>
      <c r="S57" s="1157">
        <v>2.8504355458795032E-3</v>
      </c>
      <c r="T57" s="92"/>
      <c r="U57" s="92"/>
      <c r="V57" s="92"/>
      <c r="W57" s="92"/>
      <c r="X57" s="92"/>
      <c r="Y57" s="92"/>
      <c r="Z57" s="92"/>
    </row>
    <row r="58" spans="1:26" ht="15.75" hidden="1" customHeight="1">
      <c r="A58" s="63" t="s">
        <v>155</v>
      </c>
      <c r="B58" s="14">
        <v>53</v>
      </c>
      <c r="C58" s="103">
        <v>0.28236951253562043</v>
      </c>
      <c r="D58" s="1157">
        <v>9.8847011720373495E-2</v>
      </c>
      <c r="E58" s="1157">
        <v>0.13999436254084227</v>
      </c>
      <c r="F58" s="1157">
        <v>0.13631717261708118</v>
      </c>
      <c r="G58" s="1157">
        <v>0.11443824023914252</v>
      </c>
      <c r="H58" s="103">
        <v>0.13702141254052255</v>
      </c>
      <c r="I58" s="103">
        <v>0.11502944951965748</v>
      </c>
      <c r="J58" s="103">
        <v>0.13702141254052255</v>
      </c>
      <c r="K58" s="103">
        <v>0.11502944951965748</v>
      </c>
      <c r="L58" s="103">
        <v>9.4361341949729644E-2</v>
      </c>
      <c r="M58" s="103">
        <v>0.1904903816847584</v>
      </c>
      <c r="N58" s="103">
        <v>9.4361341949729644E-2</v>
      </c>
      <c r="O58" s="103">
        <v>0.71763048746437952</v>
      </c>
      <c r="P58" s="103">
        <v>0</v>
      </c>
      <c r="Q58" s="103">
        <v>9.612903973502876E-2</v>
      </c>
      <c r="R58" s="103">
        <v>3.677189923761091E-3</v>
      </c>
      <c r="S58" s="1157">
        <v>3.1774888476351444E-3</v>
      </c>
      <c r="T58" s="92"/>
      <c r="U58" s="92"/>
      <c r="V58" s="92"/>
      <c r="W58" s="92"/>
      <c r="X58" s="92"/>
      <c r="Y58" s="92"/>
      <c r="Z58" s="92"/>
    </row>
    <row r="59" spans="1:26" ht="15.75" hidden="1" customHeight="1">
      <c r="A59" s="63" t="s">
        <v>156</v>
      </c>
      <c r="B59" s="14">
        <v>231</v>
      </c>
      <c r="C59" s="103">
        <v>0.63894563523337655</v>
      </c>
      <c r="D59" s="1157">
        <v>0.17594837620096715</v>
      </c>
      <c r="E59" s="1157">
        <v>0.18521653379746703</v>
      </c>
      <c r="F59" s="1157">
        <v>0.1448782157009349</v>
      </c>
      <c r="G59" s="1157">
        <v>0.13591507381264875</v>
      </c>
      <c r="H59" s="103">
        <v>0.14082787646193015</v>
      </c>
      <c r="I59" s="103">
        <v>0.13211531582990294</v>
      </c>
      <c r="J59" s="103">
        <v>0.14125835342517715</v>
      </c>
      <c r="K59" s="103">
        <v>0.13254579279314993</v>
      </c>
      <c r="L59" s="103">
        <v>0.12069999010815707</v>
      </c>
      <c r="M59" s="103">
        <v>0.4387622906674255</v>
      </c>
      <c r="N59" s="103">
        <v>0.12555337063114996</v>
      </c>
      <c r="O59" s="103">
        <v>0.36105436476662345</v>
      </c>
      <c r="P59" s="103">
        <v>4.8533805229928756E-3</v>
      </c>
      <c r="Q59" s="103">
        <v>0.31806230055926848</v>
      </c>
      <c r="R59" s="103">
        <v>4.0338318096532107E-2</v>
      </c>
      <c r="S59" s="1157">
        <v>1.5698328977676222E-2</v>
      </c>
      <c r="T59" s="92"/>
      <c r="U59" s="92"/>
      <c r="V59" s="92"/>
      <c r="W59" s="92"/>
      <c r="X59" s="92"/>
      <c r="Y59" s="92"/>
      <c r="Z59" s="92"/>
    </row>
    <row r="60" spans="1:26" ht="15.75" hidden="1" customHeight="1">
      <c r="A60" s="63" t="s">
        <v>157</v>
      </c>
      <c r="B60" s="14">
        <v>109</v>
      </c>
      <c r="C60" s="103">
        <v>0.37078191818128692</v>
      </c>
      <c r="D60" s="1157">
        <v>0.10039199981920675</v>
      </c>
      <c r="E60" s="1157">
        <v>0.16772261750910678</v>
      </c>
      <c r="F60" s="1157">
        <v>0.1578997061601933</v>
      </c>
      <c r="G60" s="1157">
        <v>0.14018241094128414</v>
      </c>
      <c r="H60" s="103">
        <v>0.15982304018033089</v>
      </c>
      <c r="I60" s="103">
        <v>0.14188993533474148</v>
      </c>
      <c r="J60" s="103">
        <v>0.15989798855104875</v>
      </c>
      <c r="K60" s="103">
        <v>0.14196488370545934</v>
      </c>
      <c r="L60" s="103">
        <v>0.18672118404626481</v>
      </c>
      <c r="M60" s="103">
        <v>0.37920559783973218</v>
      </c>
      <c r="N60" s="103">
        <v>0.20835750711008341</v>
      </c>
      <c r="O60" s="103">
        <v>0.62921808181871308</v>
      </c>
      <c r="P60" s="103">
        <v>2.1636323063818616E-2</v>
      </c>
      <c r="Q60" s="103">
        <v>0.19248441379346734</v>
      </c>
      <c r="R60" s="103">
        <v>9.8229113489134677E-3</v>
      </c>
      <c r="S60" s="1157">
        <v>8.9214055221815049E-3</v>
      </c>
      <c r="T60" s="92"/>
      <c r="U60" s="92"/>
      <c r="V60" s="92"/>
      <c r="W60" s="92"/>
      <c r="X60" s="92"/>
      <c r="Y60" s="92"/>
      <c r="Z60" s="92"/>
    </row>
    <row r="61" spans="1:26" ht="15.75" hidden="1" customHeight="1">
      <c r="A61" s="63" t="s">
        <v>158</v>
      </c>
      <c r="B61" s="14">
        <v>64</v>
      </c>
      <c r="C61" s="103">
        <v>0.34206394981002547</v>
      </c>
      <c r="D61" s="1157">
        <v>7.3899683903141208E-2</v>
      </c>
      <c r="E61" s="1157">
        <v>0.23084905422701552</v>
      </c>
      <c r="F61" s="1157">
        <v>0.22622928199945197</v>
      </c>
      <c r="G61" s="1157">
        <v>0.22215626787844711</v>
      </c>
      <c r="H61" s="103">
        <v>0.22620910140112405</v>
      </c>
      <c r="I61" s="103">
        <v>0.22213645061001719</v>
      </c>
      <c r="J61" s="103">
        <v>0.22647118253788354</v>
      </c>
      <c r="K61" s="103">
        <v>0.22239853174677671</v>
      </c>
      <c r="L61" s="103">
        <v>0.25631452259318127</v>
      </c>
      <c r="M61" s="103">
        <v>0.29623398020503083</v>
      </c>
      <c r="N61" s="103">
        <v>0.25835951233200122</v>
      </c>
      <c r="O61" s="103">
        <v>0.65793605018997448</v>
      </c>
      <c r="P61" s="103">
        <v>2.0449897388199519E-3</v>
      </c>
      <c r="Q61" s="103">
        <v>3.9919457611849556E-2</v>
      </c>
      <c r="R61" s="103">
        <v>4.6197722275635169E-3</v>
      </c>
      <c r="S61" s="1157">
        <v>8.1210320688053436E-3</v>
      </c>
      <c r="T61" s="92"/>
      <c r="U61" s="92"/>
      <c r="V61" s="92"/>
      <c r="W61" s="92"/>
      <c r="X61" s="92"/>
      <c r="Y61" s="92"/>
      <c r="Z61" s="92"/>
    </row>
    <row r="62" spans="1:26" ht="15.75" hidden="1" customHeight="1">
      <c r="A62" s="63" t="s">
        <v>159</v>
      </c>
      <c r="B62" s="14">
        <v>14</v>
      </c>
      <c r="C62" s="103">
        <v>0.37293311427689319</v>
      </c>
      <c r="D62" s="1157">
        <v>1.0639306664314381E-2</v>
      </c>
      <c r="E62" s="1157">
        <v>8.8882040312265695E-2</v>
      </c>
      <c r="F62" s="1157">
        <v>8.166045516693865E-2</v>
      </c>
      <c r="G62" s="1157">
        <v>7.0679852222792536E-2</v>
      </c>
      <c r="H62" s="103">
        <v>8.4605116658580684E-2</v>
      </c>
      <c r="I62" s="103">
        <v>7.3228555124949149E-2</v>
      </c>
      <c r="J62" s="103">
        <v>8.4755857628015699E-2</v>
      </c>
      <c r="K62" s="103">
        <v>7.3379296094384164E-2</v>
      </c>
      <c r="L62" s="103">
        <v>0.11208044811008688</v>
      </c>
      <c r="M62" s="103">
        <v>0.3832838067304723</v>
      </c>
      <c r="N62" s="103">
        <v>0.13196461650421204</v>
      </c>
      <c r="O62" s="103">
        <v>0.62706688572310676</v>
      </c>
      <c r="P62" s="103">
        <v>1.9884168394125167E-2</v>
      </c>
      <c r="Q62" s="103">
        <v>0.27120335862038542</v>
      </c>
      <c r="R62" s="103">
        <v>7.2215851453270403E-3</v>
      </c>
      <c r="S62" s="1157">
        <v>2.1263176465399374E-2</v>
      </c>
      <c r="T62" s="92"/>
      <c r="U62" s="92"/>
      <c r="V62" s="92"/>
      <c r="W62" s="92"/>
      <c r="X62" s="92"/>
      <c r="Y62" s="92"/>
      <c r="Z62" s="92"/>
    </row>
    <row r="63" spans="1:26" ht="15.75" hidden="1" customHeight="1">
      <c r="A63" s="63" t="s">
        <v>160</v>
      </c>
      <c r="B63" s="14">
        <v>4</v>
      </c>
      <c r="C63" s="103">
        <v>0.35596307881220746</v>
      </c>
      <c r="D63" s="1157">
        <v>9.7506414591817345E-2</v>
      </c>
      <c r="E63" s="1157">
        <v>0.13597575610285587</v>
      </c>
      <c r="F63" s="1157">
        <v>0.13434037495005738</v>
      </c>
      <c r="G63" s="1157">
        <v>0.10044035755009686</v>
      </c>
      <c r="H63" s="103">
        <v>0.13710593976190641</v>
      </c>
      <c r="I63" s="103">
        <v>0.10250804806110926</v>
      </c>
      <c r="J63" s="103">
        <v>0.13718197508137822</v>
      </c>
      <c r="K63" s="103">
        <v>0.10258408338058107</v>
      </c>
      <c r="L63" s="103">
        <v>0.22436779207822113</v>
      </c>
      <c r="M63" s="103">
        <v>0.30159302876924221</v>
      </c>
      <c r="N63" s="103">
        <v>0.22649784693912536</v>
      </c>
      <c r="O63" s="103">
        <v>0.64403692118779254</v>
      </c>
      <c r="P63" s="103">
        <v>2.1300548609042196E-3</v>
      </c>
      <c r="Q63" s="103">
        <v>7.7225236691021062E-2</v>
      </c>
      <c r="R63" s="103">
        <v>1.6353811527984815E-3</v>
      </c>
      <c r="S63" s="1157">
        <v>7.8295060742094042E-3</v>
      </c>
      <c r="T63" s="92"/>
      <c r="U63" s="92"/>
      <c r="V63" s="92"/>
      <c r="W63" s="92"/>
      <c r="X63" s="92"/>
      <c r="Y63" s="92"/>
      <c r="Z63" s="92"/>
    </row>
    <row r="64" spans="1:26" ht="15.75" hidden="1" customHeight="1">
      <c r="A64" s="63" t="s">
        <v>256</v>
      </c>
      <c r="B64" s="14">
        <v>147</v>
      </c>
      <c r="C64" s="103">
        <v>0.58780567387084615</v>
      </c>
      <c r="D64" s="1157">
        <v>0.19523622922988743</v>
      </c>
      <c r="E64" s="1157">
        <v>0.30582367908433467</v>
      </c>
      <c r="F64" s="1157">
        <v>0.29540457886334792</v>
      </c>
      <c r="G64" s="1157">
        <v>0.27441778624709962</v>
      </c>
      <c r="H64" s="103">
        <v>0.3005859123879438</v>
      </c>
      <c r="I64" s="103">
        <v>0.27923101588997939</v>
      </c>
      <c r="J64" s="103">
        <v>0.30063890334636889</v>
      </c>
      <c r="K64" s="103">
        <v>0.27928400684840449</v>
      </c>
      <c r="L64" s="103">
        <v>0.53270431169088461</v>
      </c>
      <c r="M64" s="103">
        <v>0.5956882035120149</v>
      </c>
      <c r="N64" s="103">
        <v>0.53326199816691711</v>
      </c>
      <c r="O64" s="103">
        <v>0.41219432612915385</v>
      </c>
      <c r="P64" s="103">
        <v>5.5768647603255392E-4</v>
      </c>
      <c r="Q64" s="103">
        <v>6.2983891821130331E-2</v>
      </c>
      <c r="R64" s="103">
        <v>1.0419100220986752E-2</v>
      </c>
      <c r="S64" s="1157">
        <v>2.8180507024918103E-2</v>
      </c>
      <c r="T64" s="92"/>
      <c r="U64" s="92"/>
      <c r="V64" s="92"/>
      <c r="W64" s="92"/>
      <c r="X64" s="92"/>
      <c r="Y64" s="92"/>
      <c r="Z64" s="92"/>
    </row>
    <row r="65" spans="1:26" ht="15.75" hidden="1" customHeight="1">
      <c r="A65" s="63" t="s">
        <v>162</v>
      </c>
      <c r="B65" s="14">
        <v>24</v>
      </c>
      <c r="C65" s="103">
        <v>0.46677621445392403</v>
      </c>
      <c r="D65" s="1157">
        <v>0.16244047839343015</v>
      </c>
      <c r="E65" s="1157">
        <v>0.28906641255510751</v>
      </c>
      <c r="F65" s="1157">
        <v>0.28061578928224551</v>
      </c>
      <c r="G65" s="1157">
        <v>0.2455826974772454</v>
      </c>
      <c r="H65" s="103">
        <v>0.28450062433861201</v>
      </c>
      <c r="I65" s="103">
        <v>0.24898253565041772</v>
      </c>
      <c r="J65" s="103">
        <v>0.2845553222334854</v>
      </c>
      <c r="K65" s="103">
        <v>0.24903723354529111</v>
      </c>
      <c r="L65" s="103">
        <v>0.47190939661689602</v>
      </c>
      <c r="M65" s="103">
        <v>0.54781274698490845</v>
      </c>
      <c r="N65" s="103">
        <v>0.47202624735431548</v>
      </c>
      <c r="O65" s="103">
        <v>0.53322378554607597</v>
      </c>
      <c r="P65" s="103">
        <v>1.1685073741945767E-4</v>
      </c>
      <c r="Q65" s="103">
        <v>7.590335036801249E-2</v>
      </c>
      <c r="R65" s="103">
        <v>8.4506232728620082E-3</v>
      </c>
      <c r="S65" s="1157">
        <v>1.1404468663185783E-2</v>
      </c>
      <c r="T65" s="92"/>
      <c r="U65" s="92"/>
      <c r="V65" s="92"/>
      <c r="W65" s="92"/>
      <c r="X65" s="92"/>
      <c r="Y65" s="92"/>
      <c r="Z65" s="92"/>
    </row>
    <row r="66" spans="1:26" ht="15.75" hidden="1" customHeight="1">
      <c r="A66" s="63" t="s">
        <v>163</v>
      </c>
      <c r="B66" s="14">
        <v>97</v>
      </c>
      <c r="C66" s="103">
        <v>0.10705605036642217</v>
      </c>
      <c r="D66" s="1157">
        <v>3.3115427441467671E-2</v>
      </c>
      <c r="E66" s="1157">
        <v>5.3060880128206367E-2</v>
      </c>
      <c r="F66" s="1157">
        <v>4.9926820918323088E-2</v>
      </c>
      <c r="G66" s="1157">
        <v>4.5391346784513217E-2</v>
      </c>
      <c r="H66" s="103">
        <v>5.1698924646815969E-2</v>
      </c>
      <c r="I66" s="103">
        <v>4.7002468289920912E-2</v>
      </c>
      <c r="J66" s="103">
        <v>5.1850059441040409E-2</v>
      </c>
      <c r="K66" s="103">
        <v>4.715360308414536E-2</v>
      </c>
      <c r="L66" s="103">
        <v>0.10753343372963757</v>
      </c>
      <c r="M66" s="103">
        <v>0.14437931793222947</v>
      </c>
      <c r="N66" s="103">
        <v>0.11054217527155008</v>
      </c>
      <c r="O66" s="103">
        <v>0.89294394963357782</v>
      </c>
      <c r="P66" s="103">
        <v>3.0087415419125085E-3</v>
      </c>
      <c r="Q66" s="103">
        <v>3.6845884202591897E-2</v>
      </c>
      <c r="R66" s="103">
        <v>3.1340592098832716E-3</v>
      </c>
      <c r="S66" s="1157">
        <v>1.1544765359273597E-2</v>
      </c>
      <c r="T66" s="92"/>
      <c r="U66" s="92"/>
      <c r="V66" s="92"/>
      <c r="W66" s="92"/>
      <c r="X66" s="92"/>
      <c r="Y66" s="92"/>
      <c r="Z66" s="92"/>
    </row>
    <row r="67" spans="1:26" ht="15.75" hidden="1" customHeight="1">
      <c r="A67" s="63" t="s">
        <v>164</v>
      </c>
      <c r="B67" s="14">
        <v>22</v>
      </c>
      <c r="C67" s="103">
        <v>0.2264081576757366</v>
      </c>
      <c r="D67" s="1157">
        <v>6.8183841040713025E-2</v>
      </c>
      <c r="E67" s="1157">
        <v>0.10228680220115925</v>
      </c>
      <c r="F67" s="1157">
        <v>9.7903437143711455E-2</v>
      </c>
      <c r="G67" s="1157">
        <v>8.3917402958688894E-2</v>
      </c>
      <c r="H67" s="103">
        <v>9.985624762474303E-2</v>
      </c>
      <c r="I67" s="103">
        <v>8.5591243927092567E-2</v>
      </c>
      <c r="J67" s="103">
        <v>9.9785230986397119E-2</v>
      </c>
      <c r="K67" s="103">
        <v>8.5520227288746656E-2</v>
      </c>
      <c r="L67" s="103">
        <v>0.16122251690939868</v>
      </c>
      <c r="M67" s="103">
        <v>0.26275274557422268</v>
      </c>
      <c r="N67" s="103">
        <v>0.16674291798647894</v>
      </c>
      <c r="O67" s="103">
        <v>0.77359184232426337</v>
      </c>
      <c r="P67" s="103">
        <v>5.5204010770802791E-3</v>
      </c>
      <c r="Q67" s="103">
        <v>0.10153022866482399</v>
      </c>
      <c r="R67" s="103">
        <v>4.3833650574477932E-3</v>
      </c>
      <c r="S67" s="1157">
        <v>1.2531308824327817E-2</v>
      </c>
      <c r="T67" s="92"/>
      <c r="U67" s="92"/>
      <c r="V67" s="92"/>
      <c r="W67" s="92"/>
      <c r="X67" s="92"/>
      <c r="Y67" s="92"/>
      <c r="Z67" s="92"/>
    </row>
    <row r="68" spans="1:26" ht="15.75" hidden="1" customHeight="1">
      <c r="A68" s="63" t="s">
        <v>165</v>
      </c>
      <c r="B68" s="14">
        <v>6</v>
      </c>
      <c r="C68" s="103">
        <v>0.19980312293978994</v>
      </c>
      <c r="D68" s="1157">
        <v>6.5276485834785833E-2</v>
      </c>
      <c r="E68" s="1157">
        <v>0.10625942616658691</v>
      </c>
      <c r="F68" s="1157">
        <v>0.10131943754571975</v>
      </c>
      <c r="G68" s="1157">
        <v>7.731538484450326E-2</v>
      </c>
      <c r="H68" s="103">
        <v>0.10309392390430691</v>
      </c>
      <c r="I68" s="103">
        <v>7.8669469500308606E-2</v>
      </c>
      <c r="J68" s="103">
        <v>0.10331066929169413</v>
      </c>
      <c r="K68" s="103">
        <v>7.888621488769583E-2</v>
      </c>
      <c r="L68" s="103">
        <v>0.14258234066956263</v>
      </c>
      <c r="M68" s="103">
        <v>0.22001463031364862</v>
      </c>
      <c r="N68" s="103">
        <v>0.1433048252941867</v>
      </c>
      <c r="O68" s="103">
        <v>0.80019687706021003</v>
      </c>
      <c r="P68" s="103">
        <v>7.2248462462408229E-4</v>
      </c>
      <c r="Q68" s="103">
        <v>7.7432289644086008E-2</v>
      </c>
      <c r="R68" s="103">
        <v>4.9399886208671626E-3</v>
      </c>
      <c r="S68" s="1157">
        <v>9.7896666636563146E-3</v>
      </c>
      <c r="T68" s="92"/>
      <c r="U68" s="92"/>
      <c r="V68" s="92"/>
      <c r="W68" s="92"/>
      <c r="X68" s="92"/>
      <c r="Y68" s="92"/>
      <c r="Z68" s="92"/>
    </row>
    <row r="69" spans="1:26" ht="15.75" hidden="1" customHeight="1">
      <c r="A69" s="63" t="s">
        <v>166</v>
      </c>
      <c r="B69" s="14">
        <v>48</v>
      </c>
      <c r="C69" s="103">
        <v>0.41629529210503791</v>
      </c>
      <c r="D69" s="1157">
        <v>0.11297261408987284</v>
      </c>
      <c r="E69" s="1157">
        <v>0.20140614733559037</v>
      </c>
      <c r="F69" s="1157">
        <v>0.19751182991756608</v>
      </c>
      <c r="G69" s="1157">
        <v>0.17358428120601566</v>
      </c>
      <c r="H69" s="103">
        <v>0.1967312326895192</v>
      </c>
      <c r="I69" s="103">
        <v>0.17289824934251424</v>
      </c>
      <c r="J69" s="103">
        <v>0.1967316783998681</v>
      </c>
      <c r="K69" s="103">
        <v>0.17289869505286315</v>
      </c>
      <c r="L69" s="103">
        <v>0.32816581060195116</v>
      </c>
      <c r="M69" s="103">
        <v>0.35438137375393319</v>
      </c>
      <c r="N69" s="103">
        <v>0.32913551645826489</v>
      </c>
      <c r="O69" s="103">
        <v>0.58370470789496209</v>
      </c>
      <c r="P69" s="103">
        <v>9.697058563137293E-4</v>
      </c>
      <c r="Q69" s="103">
        <v>2.621556315198207E-2</v>
      </c>
      <c r="R69" s="103">
        <v>3.8943174180242992E-3</v>
      </c>
      <c r="S69" s="1157">
        <v>1.5824101628311712E-2</v>
      </c>
      <c r="T69" s="92"/>
      <c r="U69" s="92"/>
      <c r="V69" s="92"/>
      <c r="W69" s="92"/>
      <c r="X69" s="92"/>
      <c r="Y69" s="92"/>
      <c r="Z69" s="92"/>
    </row>
    <row r="70" spans="1:26" ht="15.75" hidden="1" customHeight="1">
      <c r="A70" s="63" t="s">
        <v>167</v>
      </c>
      <c r="B70" s="14">
        <v>60</v>
      </c>
      <c r="C70" s="103">
        <v>0.37756417618745536</v>
      </c>
      <c r="D70" s="1157">
        <v>-4.8392495592477013E-2</v>
      </c>
      <c r="E70" s="1157">
        <v>0.19447566938874306</v>
      </c>
      <c r="F70" s="1157">
        <v>0.18829183593579835</v>
      </c>
      <c r="G70" s="1157">
        <v>0.18455225971456482</v>
      </c>
      <c r="H70" s="103">
        <v>0.18890713057243</v>
      </c>
      <c r="I70" s="103">
        <v>0.18515533427176095</v>
      </c>
      <c r="J70" s="103">
        <v>0.18924617224540177</v>
      </c>
      <c r="K70" s="103">
        <v>0.18549437594473273</v>
      </c>
      <c r="L70" s="103">
        <v>0.20120633698753668</v>
      </c>
      <c r="M70" s="103">
        <v>0.26271546040159477</v>
      </c>
      <c r="N70" s="103">
        <v>0.20968275402395301</v>
      </c>
      <c r="O70" s="103">
        <v>0.6224358238125447</v>
      </c>
      <c r="P70" s="103">
        <v>8.4764170364163248E-3</v>
      </c>
      <c r="Q70" s="103">
        <v>6.1509123414058092E-2</v>
      </c>
      <c r="R70" s="103">
        <v>6.183833452944704E-3</v>
      </c>
      <c r="S70" s="1157">
        <v>4.5423704723669217E-2</v>
      </c>
      <c r="T70" s="92"/>
      <c r="U70" s="92"/>
      <c r="V70" s="92"/>
      <c r="W70" s="92"/>
      <c r="X70" s="92"/>
      <c r="Y70" s="92"/>
      <c r="Z70" s="92"/>
    </row>
    <row r="71" spans="1:26" ht="15.75" hidden="1" customHeight="1">
      <c r="A71" s="63" t="s">
        <v>168</v>
      </c>
      <c r="B71" s="14">
        <v>19</v>
      </c>
      <c r="C71" s="103">
        <v>0.47906925745611656</v>
      </c>
      <c r="D71" s="1157">
        <v>2.2564085884614133E-2</v>
      </c>
      <c r="E71" s="1157">
        <v>9.2570578198044901E-2</v>
      </c>
      <c r="F71" s="1157">
        <v>8.3015685932117556E-2</v>
      </c>
      <c r="G71" s="1157">
        <v>7.4915990152061421E-2</v>
      </c>
      <c r="H71" s="103">
        <v>8.2318127125779003E-2</v>
      </c>
      <c r="I71" s="103">
        <v>7.4286490942612318E-2</v>
      </c>
      <c r="J71" s="103">
        <v>8.2827708564752009E-2</v>
      </c>
      <c r="K71" s="103">
        <v>7.4796072381585324E-2</v>
      </c>
      <c r="L71" s="103">
        <v>0.12346952274633741</v>
      </c>
      <c r="M71" s="103">
        <v>0.44901999976240609</v>
      </c>
      <c r="N71" s="103">
        <v>0.13645695613880396</v>
      </c>
      <c r="O71" s="103">
        <v>0.52093074254388338</v>
      </c>
      <c r="P71" s="103">
        <v>1.2987433392466557E-2</v>
      </c>
      <c r="Q71" s="103">
        <v>0.32555047701606865</v>
      </c>
      <c r="R71" s="103">
        <v>9.5548922659273432E-3</v>
      </c>
      <c r="S71" s="1157">
        <v>1.5936328501601975E-2</v>
      </c>
      <c r="T71" s="92"/>
      <c r="U71" s="92"/>
      <c r="V71" s="92"/>
      <c r="W71" s="92"/>
      <c r="X71" s="92"/>
      <c r="Y71" s="92"/>
      <c r="Z71" s="92"/>
    </row>
    <row r="72" spans="1:26" ht="15.75" hidden="1" customHeight="1">
      <c r="A72" s="63" t="s">
        <v>169</v>
      </c>
      <c r="B72" s="14">
        <v>192</v>
      </c>
      <c r="C72" s="103">
        <v>0.57658188598081117</v>
      </c>
      <c r="D72" s="1157">
        <v>0.12529413336075512</v>
      </c>
      <c r="E72" s="1157">
        <v>0.26214688608873127</v>
      </c>
      <c r="F72" s="1157">
        <v>0.2448459776072924</v>
      </c>
      <c r="G72" s="1157">
        <v>0.24044697340736507</v>
      </c>
      <c r="H72" s="103">
        <v>0.22226795732792973</v>
      </c>
      <c r="I72" s="103">
        <v>0.2182745991876418</v>
      </c>
      <c r="J72" s="103">
        <v>0.22229031072473096</v>
      </c>
      <c r="K72" s="103">
        <v>0.21829695258444307</v>
      </c>
      <c r="L72" s="103">
        <v>0.44602160419382958</v>
      </c>
      <c r="M72" s="103">
        <v>0.54795860758219006</v>
      </c>
      <c r="N72" s="103">
        <v>0.44612957551155941</v>
      </c>
      <c r="O72" s="103">
        <v>0.42341811401918883</v>
      </c>
      <c r="P72" s="103">
        <v>1.0797131772976645E-4</v>
      </c>
      <c r="Q72" s="103">
        <v>0.10193700338836051</v>
      </c>
      <c r="R72" s="103">
        <v>1.7300908481438861E-2</v>
      </c>
      <c r="S72" s="1157">
        <v>3.1088666230773717E-2</v>
      </c>
      <c r="T72" s="92"/>
      <c r="U72" s="92"/>
      <c r="V72" s="92"/>
      <c r="W72" s="92"/>
      <c r="X72" s="92"/>
      <c r="Y72" s="92"/>
      <c r="Z72" s="92"/>
    </row>
    <row r="73" spans="1:26" ht="15.75" hidden="1" customHeight="1">
      <c r="A73" s="1158" t="s">
        <v>170</v>
      </c>
      <c r="B73" s="1159">
        <v>15</v>
      </c>
      <c r="C73" s="1160">
        <v>0.35129509246528345</v>
      </c>
      <c r="D73" s="1161">
        <v>0.11123144438495047</v>
      </c>
      <c r="E73" s="1161">
        <v>0.15834427543972468</v>
      </c>
      <c r="F73" s="1161">
        <v>0.14741909792198638</v>
      </c>
      <c r="G73" s="1161">
        <v>0.14374422757287036</v>
      </c>
      <c r="H73" s="1160">
        <v>0.13484155926361419</v>
      </c>
      <c r="I73" s="1160">
        <v>0.13148022240189597</v>
      </c>
      <c r="J73" s="1160">
        <v>0.13484155926361419</v>
      </c>
      <c r="K73" s="1160">
        <v>0.13148022240189597</v>
      </c>
      <c r="L73" s="1160">
        <v>0.18227351857781318</v>
      </c>
      <c r="M73" s="1160">
        <v>0.28151932044137945</v>
      </c>
      <c r="N73" s="1160">
        <v>0.18227351857781318</v>
      </c>
      <c r="O73" s="1160">
        <v>0.64870490753471655</v>
      </c>
      <c r="P73" s="1160">
        <v>0</v>
      </c>
      <c r="Q73" s="1160">
        <v>9.9245801863566269E-2</v>
      </c>
      <c r="R73" s="1160">
        <v>1.0925177517738319E-2</v>
      </c>
      <c r="S73" s="1161">
        <v>5.0080316854700484E-3</v>
      </c>
      <c r="T73" s="996"/>
      <c r="U73" s="996"/>
      <c r="V73" s="996"/>
      <c r="W73" s="996"/>
      <c r="X73" s="996"/>
      <c r="Y73" s="996"/>
      <c r="Z73" s="996"/>
    </row>
    <row r="74" spans="1:26" ht="15.75" hidden="1" customHeight="1">
      <c r="A74" s="1158" t="s">
        <v>171</v>
      </c>
      <c r="B74" s="1159">
        <v>11</v>
      </c>
      <c r="C74" s="1160">
        <v>0.45512884872824633</v>
      </c>
      <c r="D74" s="1161">
        <v>8.6405622489959838E-2</v>
      </c>
      <c r="E74" s="1161">
        <v>0.13487449799196785</v>
      </c>
      <c r="F74" s="1161">
        <v>0.11065093708165998</v>
      </c>
      <c r="G74" s="1161">
        <v>0.10462543620879351</v>
      </c>
      <c r="H74" s="1160">
        <v>0.11242361746987951</v>
      </c>
      <c r="I74" s="1160">
        <v>0.10630158522088337</v>
      </c>
      <c r="J74" s="1160">
        <v>0.11242361746987951</v>
      </c>
      <c r="K74" s="1160">
        <v>0.10630158522088337</v>
      </c>
      <c r="L74" s="1160">
        <v>0.19138972556894243</v>
      </c>
      <c r="M74" s="1160">
        <v>0.57009621820615797</v>
      </c>
      <c r="N74" s="1160">
        <v>0.19138972556894243</v>
      </c>
      <c r="O74" s="1160">
        <v>0.54487115127175367</v>
      </c>
      <c r="P74" s="1160">
        <v>0</v>
      </c>
      <c r="Q74" s="1160">
        <v>0.37870649263721551</v>
      </c>
      <c r="R74" s="1160">
        <v>2.42235609103079E-2</v>
      </c>
      <c r="S74" s="1161">
        <v>4.4185073627844712E-2</v>
      </c>
      <c r="T74" s="996"/>
      <c r="U74" s="996"/>
      <c r="V74" s="996"/>
      <c r="W74" s="996"/>
      <c r="X74" s="996"/>
      <c r="Y74" s="996"/>
      <c r="Z74" s="996"/>
    </row>
    <row r="75" spans="1:26" ht="15.75" hidden="1" customHeight="1">
      <c r="A75" s="1158" t="s">
        <v>257</v>
      </c>
      <c r="B75" s="1159">
        <v>60</v>
      </c>
      <c r="C75" s="1160">
        <v>0.33608597137351964</v>
      </c>
      <c r="D75" s="1161">
        <v>-7.866949317272413E-3</v>
      </c>
      <c r="E75" s="1161">
        <v>3.3095533748843393E-2</v>
      </c>
      <c r="F75" s="1161">
        <v>1.3934073665485479E-2</v>
      </c>
      <c r="G75" s="1161">
        <v>1.3340777195279738E-2</v>
      </c>
      <c r="H75" s="1160">
        <v>1.3564167841894443E-2</v>
      </c>
      <c r="I75" s="1160">
        <v>1.298662152664796E-2</v>
      </c>
      <c r="J75" s="1160">
        <v>1.4608008482760783E-2</v>
      </c>
      <c r="K75" s="1160">
        <v>1.4030462167514302E-2</v>
      </c>
      <c r="L75" s="1160">
        <v>3.202668774890334E-2</v>
      </c>
      <c r="M75" s="1160">
        <v>0.319237687758193</v>
      </c>
      <c r="N75" s="1160">
        <v>5.0539526827531774E-2</v>
      </c>
      <c r="O75" s="1160">
        <v>0.66391402862648041</v>
      </c>
      <c r="P75" s="1160">
        <v>1.8512839078628433E-2</v>
      </c>
      <c r="Q75" s="1160">
        <v>0.28721100000928962</v>
      </c>
      <c r="R75" s="1160">
        <v>1.9161460083357916E-2</v>
      </c>
      <c r="S75" s="1161">
        <v>1.3259719904923108E-2</v>
      </c>
      <c r="T75" s="996"/>
      <c r="U75" s="996"/>
      <c r="V75" s="996"/>
      <c r="W75" s="996"/>
      <c r="X75" s="996"/>
      <c r="Y75" s="996"/>
      <c r="Z75" s="996"/>
    </row>
    <row r="76" spans="1:26" ht="15.75" hidden="1" customHeight="1">
      <c r="A76" s="63" t="s">
        <v>173</v>
      </c>
      <c r="B76" s="14">
        <v>50</v>
      </c>
      <c r="C76" s="103">
        <v>0.38810013897797357</v>
      </c>
      <c r="D76" s="1157">
        <v>6.4652115575170067E-3</v>
      </c>
      <c r="E76" s="1157">
        <v>0.10673698992136113</v>
      </c>
      <c r="F76" s="1157">
        <v>9.0361575714402204E-2</v>
      </c>
      <c r="G76" s="1157">
        <v>8.3735285011733607E-2</v>
      </c>
      <c r="H76" s="103">
        <v>7.4767551467211327E-2</v>
      </c>
      <c r="I76" s="103">
        <v>6.9284783739539738E-2</v>
      </c>
      <c r="J76" s="103">
        <v>7.3969400647340131E-2</v>
      </c>
      <c r="K76" s="103">
        <v>6.8486632919668528E-2</v>
      </c>
      <c r="L76" s="103">
        <v>0.14632153156056696</v>
      </c>
      <c r="M76" s="103">
        <v>0.38920357890344714</v>
      </c>
      <c r="N76" s="103">
        <v>0.17563712946414228</v>
      </c>
      <c r="O76" s="103">
        <v>0.61189986102202643</v>
      </c>
      <c r="P76" s="103">
        <v>2.9315597903575338E-2</v>
      </c>
      <c r="Q76" s="103">
        <v>0.24288204734288021</v>
      </c>
      <c r="R76" s="103">
        <v>1.6375414206958924E-2</v>
      </c>
      <c r="S76" s="1157">
        <v>3.0584067553814695E-2</v>
      </c>
      <c r="T76" s="92"/>
      <c r="U76" s="92"/>
      <c r="V76" s="92"/>
      <c r="W76" s="92"/>
      <c r="X76" s="92"/>
      <c r="Y76" s="92"/>
      <c r="Z76" s="92"/>
    </row>
    <row r="77" spans="1:26" ht="15.75" hidden="1" customHeight="1">
      <c r="A77" s="63" t="s">
        <v>174</v>
      </c>
      <c r="B77" s="14">
        <v>1</v>
      </c>
      <c r="C77" s="103">
        <v>0.10876422987244548</v>
      </c>
      <c r="D77" s="1157">
        <v>3.3237324555387922E-2</v>
      </c>
      <c r="E77" s="1157">
        <v>5.7330955973117541E-2</v>
      </c>
      <c r="F77" s="1157">
        <v>5.5136469620079551E-2</v>
      </c>
      <c r="G77" s="1157">
        <v>4.403718031353724E-2</v>
      </c>
      <c r="H77" s="103">
        <v>5.5325048827321352E-2</v>
      </c>
      <c r="I77" s="103">
        <v>4.4187797438824977E-2</v>
      </c>
      <c r="J77" s="103">
        <v>5.5325048827321352E-2</v>
      </c>
      <c r="K77" s="103">
        <v>4.4187797438824977E-2</v>
      </c>
      <c r="L77" s="103">
        <v>6.6657522973529004E-2</v>
      </c>
      <c r="M77" s="103">
        <v>6.8760572395190414E-2</v>
      </c>
      <c r="N77" s="103">
        <v>6.6657522973529004E-2</v>
      </c>
      <c r="O77" s="103">
        <v>0.89123577012755451</v>
      </c>
      <c r="P77" s="103">
        <v>0</v>
      </c>
      <c r="Q77" s="103">
        <v>2.103049421661409E-3</v>
      </c>
      <c r="R77" s="103">
        <v>2.1944863530379919E-3</v>
      </c>
      <c r="S77" s="1157">
        <v>0</v>
      </c>
      <c r="T77" s="92"/>
      <c r="U77" s="92"/>
      <c r="V77" s="92"/>
      <c r="W77" s="92"/>
      <c r="X77" s="92"/>
      <c r="Y77" s="92"/>
      <c r="Z77" s="92"/>
    </row>
    <row r="78" spans="1:26" ht="15.75" hidden="1" customHeight="1">
      <c r="A78" s="63" t="s">
        <v>175</v>
      </c>
      <c r="B78" s="14">
        <v>62</v>
      </c>
      <c r="C78" s="103">
        <v>0.328957975394087</v>
      </c>
      <c r="D78" s="1157">
        <v>0.10622666860629064</v>
      </c>
      <c r="E78" s="1157">
        <v>0.17371479091666628</v>
      </c>
      <c r="F78" s="1157">
        <v>0.15960254602877869</v>
      </c>
      <c r="G78" s="1157">
        <v>0.14550126144236084</v>
      </c>
      <c r="H78" s="103">
        <v>0.13895679585124376</v>
      </c>
      <c r="I78" s="103">
        <v>0.12667961498996957</v>
      </c>
      <c r="J78" s="103">
        <v>0.13959270726915785</v>
      </c>
      <c r="K78" s="103">
        <v>0.12731552640788366</v>
      </c>
      <c r="L78" s="103">
        <v>0.19555625814666741</v>
      </c>
      <c r="M78" s="103">
        <v>0.30608369169820526</v>
      </c>
      <c r="N78" s="103">
        <v>0.20268357948050189</v>
      </c>
      <c r="O78" s="103">
        <v>0.671042024605913</v>
      </c>
      <c r="P78" s="103">
        <v>7.1273213338345154E-3</v>
      </c>
      <c r="Q78" s="103">
        <v>0.11052743355153785</v>
      </c>
      <c r="R78" s="103">
        <v>1.4112244887887598E-2</v>
      </c>
      <c r="S78" s="1157">
        <v>5.4349936743611021E-2</v>
      </c>
      <c r="T78" s="92"/>
      <c r="U78" s="92"/>
      <c r="V78" s="92"/>
      <c r="W78" s="92"/>
      <c r="X78" s="92"/>
      <c r="Y78" s="92"/>
      <c r="Z78" s="92"/>
    </row>
    <row r="79" spans="1:26" ht="15.75" hidden="1" customHeight="1">
      <c r="A79" s="63" t="s">
        <v>176</v>
      </c>
      <c r="B79" s="14">
        <v>29</v>
      </c>
      <c r="C79" s="103">
        <v>0.22312169133202225</v>
      </c>
      <c r="D79" s="1157">
        <v>3.3261502557455934E-2</v>
      </c>
      <c r="E79" s="1157">
        <v>6.2935719263349857E-2</v>
      </c>
      <c r="F79" s="1157">
        <v>6.0132517954049038E-2</v>
      </c>
      <c r="G79" s="1157">
        <v>5.2845485645400488E-2</v>
      </c>
      <c r="H79" s="103">
        <v>5.6006942898071954E-2</v>
      </c>
      <c r="I79" s="103">
        <v>4.9219859697618613E-2</v>
      </c>
      <c r="J79" s="103">
        <v>5.586664024484593E-2</v>
      </c>
      <c r="K79" s="103">
        <v>4.907955704439259E-2</v>
      </c>
      <c r="L79" s="103">
        <v>7.3912384354057586E-2</v>
      </c>
      <c r="M79" s="103">
        <v>0.22500482011444733</v>
      </c>
      <c r="N79" s="103">
        <v>7.3763193113134118E-2</v>
      </c>
      <c r="O79" s="103">
        <v>0.7768783086679778</v>
      </c>
      <c r="P79" s="103">
        <v>-1.4919124092346961E-4</v>
      </c>
      <c r="Q79" s="103">
        <v>0.15109243576038975</v>
      </c>
      <c r="R79" s="103">
        <v>2.8032013093008193E-3</v>
      </c>
      <c r="S79" s="1157">
        <v>1.333247415257029E-2</v>
      </c>
      <c r="T79" s="92"/>
      <c r="U79" s="92"/>
      <c r="V79" s="92"/>
      <c r="W79" s="92"/>
      <c r="X79" s="92"/>
      <c r="Y79" s="92"/>
      <c r="Z79" s="92"/>
    </row>
    <row r="80" spans="1:26" ht="15.75" hidden="1" customHeight="1">
      <c r="A80" s="63" t="s">
        <v>177</v>
      </c>
      <c r="B80" s="14">
        <v>13</v>
      </c>
      <c r="C80" s="103">
        <v>0.34150132537067091</v>
      </c>
      <c r="D80" s="1157">
        <v>8.0831179644369616E-2</v>
      </c>
      <c r="E80" s="1157">
        <v>0.12605485321450741</v>
      </c>
      <c r="F80" s="1157">
        <v>0.12124630894860067</v>
      </c>
      <c r="G80" s="1157">
        <v>0.10468772320855003</v>
      </c>
      <c r="H80" s="103">
        <v>0.11972950965890355</v>
      </c>
      <c r="I80" s="103">
        <v>0.10337807291420541</v>
      </c>
      <c r="J80" s="103">
        <v>0.11977489830842546</v>
      </c>
      <c r="K80" s="103">
        <v>0.10342346156372731</v>
      </c>
      <c r="L80" s="103">
        <v>0.14970812372091138</v>
      </c>
      <c r="M80" s="103">
        <v>0.35247970497377812</v>
      </c>
      <c r="N80" s="103">
        <v>0.15136156738206599</v>
      </c>
      <c r="O80" s="103">
        <v>0.65849867462932909</v>
      </c>
      <c r="P80" s="103">
        <v>1.6534436611545739E-3</v>
      </c>
      <c r="Q80" s="103">
        <v>0.20277158125286673</v>
      </c>
      <c r="R80" s="103">
        <v>4.8085442659067511E-3</v>
      </c>
      <c r="S80" s="1157">
        <v>1.520836595335506E-2</v>
      </c>
      <c r="T80" s="92"/>
      <c r="U80" s="92"/>
      <c r="V80" s="92"/>
      <c r="W80" s="92"/>
      <c r="X80" s="92"/>
      <c r="Y80" s="92"/>
      <c r="Z80" s="92"/>
    </row>
    <row r="81" spans="1:26" ht="15.75" hidden="1" customHeight="1">
      <c r="A81" s="63" t="s">
        <v>178</v>
      </c>
      <c r="B81" s="14">
        <v>66</v>
      </c>
      <c r="C81" s="103">
        <v>0.30816322547507491</v>
      </c>
      <c r="D81" s="1157">
        <v>6.4500157397889293E-2</v>
      </c>
      <c r="E81" s="1157">
        <v>0.10908601681650588</v>
      </c>
      <c r="F81" s="1157">
        <v>0.10559724307801825</v>
      </c>
      <c r="G81" s="1157">
        <v>9.1338351674091225E-2</v>
      </c>
      <c r="H81" s="103">
        <v>0.10788026179227631</v>
      </c>
      <c r="I81" s="103">
        <v>9.3313092302948056E-2</v>
      </c>
      <c r="J81" s="103">
        <v>0.10791543860104447</v>
      </c>
      <c r="K81" s="103">
        <v>9.3348269111716217E-2</v>
      </c>
      <c r="L81" s="103">
        <v>0.12133582806505701</v>
      </c>
      <c r="M81" s="103">
        <v>0.30814893229282914</v>
      </c>
      <c r="N81" s="103">
        <v>0.12154041511842084</v>
      </c>
      <c r="O81" s="103">
        <v>0.69183677452492509</v>
      </c>
      <c r="P81" s="103">
        <v>2.0458705336383128E-4</v>
      </c>
      <c r="Q81" s="103">
        <v>0.18681310422777209</v>
      </c>
      <c r="R81" s="103">
        <v>3.4887737384876301E-3</v>
      </c>
      <c r="S81" s="1157">
        <v>1.465695227403967E-2</v>
      </c>
      <c r="T81" s="92"/>
      <c r="U81" s="92"/>
      <c r="V81" s="92"/>
      <c r="W81" s="92"/>
      <c r="X81" s="92"/>
      <c r="Y81" s="92"/>
      <c r="Z81" s="92"/>
    </row>
    <row r="82" spans="1:26" ht="15.75" hidden="1" customHeight="1">
      <c r="A82" s="63" t="s">
        <v>179</v>
      </c>
      <c r="B82" s="14">
        <v>24</v>
      </c>
      <c r="C82" s="103">
        <v>0.3221509631199182</v>
      </c>
      <c r="D82" s="1157">
        <v>4.5962615533257686E-2</v>
      </c>
      <c r="E82" s="1157">
        <v>7.712176968322873E-2</v>
      </c>
      <c r="F82" s="1157">
        <v>6.201301531080719E-2</v>
      </c>
      <c r="G82" s="1157">
        <v>5.1628572810807884E-2</v>
      </c>
      <c r="H82" s="103">
        <v>5.9162094578364792E-2</v>
      </c>
      <c r="I82" s="103">
        <v>4.9255055447153848E-2</v>
      </c>
      <c r="J82" s="103">
        <v>5.9976342513351315E-2</v>
      </c>
      <c r="K82" s="103">
        <v>5.006930338214037E-2</v>
      </c>
      <c r="L82" s="103">
        <v>8.6186910209330114E-2</v>
      </c>
      <c r="M82" s="103">
        <v>0.29685388785574618</v>
      </c>
      <c r="N82" s="103">
        <v>0.13296607092880156</v>
      </c>
      <c r="O82" s="103">
        <v>0.6778490368800818</v>
      </c>
      <c r="P82" s="103">
        <v>4.6779160719471434E-2</v>
      </c>
      <c r="Q82" s="103">
        <v>0.21066697764641612</v>
      </c>
      <c r="R82" s="103">
        <v>1.510875437242154E-2</v>
      </c>
      <c r="S82" s="1157">
        <v>1.2871743240909917E-2</v>
      </c>
      <c r="T82" s="92"/>
      <c r="U82" s="92"/>
      <c r="V82" s="92"/>
      <c r="W82" s="92"/>
      <c r="X82" s="92"/>
      <c r="Y82" s="92"/>
      <c r="Z82" s="92"/>
    </row>
    <row r="83" spans="1:26" ht="15.75" hidden="1" customHeight="1">
      <c r="A83" s="63" t="s">
        <v>180</v>
      </c>
      <c r="B83" s="14">
        <v>17</v>
      </c>
      <c r="C83" s="103">
        <v>0.26094166508627481</v>
      </c>
      <c r="D83" s="1157">
        <v>1.9709295591017237E-2</v>
      </c>
      <c r="E83" s="1157">
        <v>3.6133111749601612E-2</v>
      </c>
      <c r="F83" s="1157">
        <v>3.3325604942954244E-2</v>
      </c>
      <c r="G83" s="1157">
        <v>2.889833485114579E-2</v>
      </c>
      <c r="H83" s="103">
        <v>2.9308204291138513E-2</v>
      </c>
      <c r="I83" s="103">
        <v>2.5414641472852665E-2</v>
      </c>
      <c r="J83" s="103">
        <v>2.4582375791246495E-2</v>
      </c>
      <c r="K83" s="103">
        <v>2.0688812972960647E-2</v>
      </c>
      <c r="L83" s="103">
        <v>4.6018782729185151E-2</v>
      </c>
      <c r="M83" s="103">
        <v>0.25097869193247396</v>
      </c>
      <c r="N83" s="103">
        <v>4.8421343804480134E-2</v>
      </c>
      <c r="O83" s="103">
        <v>0.73905833491372519</v>
      </c>
      <c r="P83" s="103">
        <v>2.4025610752949852E-3</v>
      </c>
      <c r="Q83" s="103">
        <v>0.20495990920328885</v>
      </c>
      <c r="R83" s="103">
        <v>2.8075068066473661E-3</v>
      </c>
      <c r="S83" s="1157">
        <v>9.3600125408206999E-3</v>
      </c>
      <c r="T83" s="92"/>
      <c r="U83" s="92"/>
      <c r="V83" s="92"/>
      <c r="W83" s="92"/>
      <c r="X83" s="92"/>
      <c r="Y83" s="92"/>
      <c r="Z83" s="92"/>
    </row>
    <row r="84" spans="1:26" ht="15.75" hidden="1" customHeight="1">
      <c r="A84" s="63" t="s">
        <v>181</v>
      </c>
      <c r="B84" s="14">
        <v>28</v>
      </c>
      <c r="C84" s="103">
        <v>0.77475285470018274</v>
      </c>
      <c r="D84" s="1157">
        <v>0.25472357068453844</v>
      </c>
      <c r="E84" s="1157">
        <v>0.4017108547394902</v>
      </c>
      <c r="F84" s="1157">
        <v>0.38879345924804937</v>
      </c>
      <c r="G84" s="1157">
        <v>0.38415740089420808</v>
      </c>
      <c r="H84" s="103">
        <v>0.37277460808553287</v>
      </c>
      <c r="I84" s="103">
        <v>0.36832956202108186</v>
      </c>
      <c r="J84" s="103">
        <v>0.37279033104695275</v>
      </c>
      <c r="K84" s="103">
        <v>0.36834528498250169</v>
      </c>
      <c r="L84" s="103">
        <v>0.64431123602130458</v>
      </c>
      <c r="M84" s="103">
        <v>0.71014209626383129</v>
      </c>
      <c r="N84" s="103">
        <v>0.64448811933727712</v>
      </c>
      <c r="O84" s="103">
        <v>0.22524714529981726</v>
      </c>
      <c r="P84" s="103">
        <v>1.7688331597256343E-4</v>
      </c>
      <c r="Q84" s="103">
        <v>6.5830860242526684E-2</v>
      </c>
      <c r="R84" s="103">
        <v>1.2917395491440813E-2</v>
      </c>
      <c r="S84" s="1157">
        <v>7.4718657259094752E-3</v>
      </c>
      <c r="T84" s="92"/>
      <c r="U84" s="92"/>
      <c r="V84" s="92"/>
      <c r="W84" s="92"/>
      <c r="X84" s="92"/>
      <c r="Y84" s="92"/>
      <c r="Z84" s="92"/>
    </row>
    <row r="85" spans="1:26" ht="15.75" hidden="1" customHeight="1">
      <c r="A85" s="63" t="s">
        <v>182</v>
      </c>
      <c r="B85" s="14">
        <v>98</v>
      </c>
      <c r="C85" s="103">
        <v>0.30390122523741409</v>
      </c>
      <c r="D85" s="1157">
        <v>1.4878205625652501E-2</v>
      </c>
      <c r="E85" s="1157">
        <v>5.6115282167782665E-2</v>
      </c>
      <c r="F85" s="1157">
        <v>5.0976112018076461E-2</v>
      </c>
      <c r="G85" s="1157">
        <v>4.677866585476341E-2</v>
      </c>
      <c r="H85" s="103">
        <v>5.3034990570446E-2</v>
      </c>
      <c r="I85" s="103">
        <v>4.8668013394698992E-2</v>
      </c>
      <c r="J85" s="103">
        <v>5.3157658105189375E-2</v>
      </c>
      <c r="K85" s="103">
        <v>4.8790680929442366E-2</v>
      </c>
      <c r="L85" s="103">
        <v>6.8194180790973613E-2</v>
      </c>
      <c r="M85" s="103">
        <v>0.31605792632290447</v>
      </c>
      <c r="N85" s="103">
        <v>6.9604013539393494E-2</v>
      </c>
      <c r="O85" s="103">
        <v>0.69609877476258597</v>
      </c>
      <c r="P85" s="103">
        <v>1.4098327484198721E-3</v>
      </c>
      <c r="Q85" s="103">
        <v>0.24786374553193083</v>
      </c>
      <c r="R85" s="103">
        <v>5.1391701497062042E-3</v>
      </c>
      <c r="S85" s="1157">
        <v>4.8179238972335482E-2</v>
      </c>
      <c r="T85" s="92"/>
      <c r="U85" s="92"/>
      <c r="V85" s="92"/>
      <c r="W85" s="92"/>
      <c r="X85" s="92"/>
      <c r="Y85" s="92"/>
      <c r="Z85" s="92"/>
    </row>
    <row r="86" spans="1:26" ht="15.75" hidden="1" customHeight="1">
      <c r="A86" s="63" t="s">
        <v>183</v>
      </c>
      <c r="B86" s="14">
        <v>3</v>
      </c>
      <c r="C86" s="103">
        <v>0.19716208278263789</v>
      </c>
      <c r="D86" s="1157">
        <v>-1.6966664568779238E-2</v>
      </c>
      <c r="E86" s="1157">
        <v>4.1223487947636729E-2</v>
      </c>
      <c r="F86" s="1157">
        <v>4.0436780162376486E-2</v>
      </c>
      <c r="G86" s="1157">
        <v>4.0436780162376486E-2</v>
      </c>
      <c r="H86" s="103">
        <v>4.3401001620618045E-2</v>
      </c>
      <c r="I86" s="103">
        <v>4.3401001620618045E-2</v>
      </c>
      <c r="J86" s="103">
        <v>4.256184664967378E-2</v>
      </c>
      <c r="K86" s="103">
        <v>4.256184664967378E-2</v>
      </c>
      <c r="L86" s="103">
        <v>7.8071412088027356E-2</v>
      </c>
      <c r="M86" s="103">
        <v>0.23466297438479453</v>
      </c>
      <c r="N86" s="103">
        <v>0.10224956468835882</v>
      </c>
      <c r="O86" s="103">
        <v>0.80283791721736208</v>
      </c>
      <c r="P86" s="103">
        <v>2.4178152600331466E-2</v>
      </c>
      <c r="Q86" s="103">
        <v>0.15659156229676716</v>
      </c>
      <c r="R86" s="103">
        <v>7.8670778526024299E-4</v>
      </c>
      <c r="S86" s="1157">
        <v>1.6288942035370381E-2</v>
      </c>
      <c r="T86" s="92"/>
      <c r="U86" s="92"/>
      <c r="V86" s="92"/>
      <c r="W86" s="92"/>
      <c r="X86" s="92"/>
      <c r="Y86" s="92"/>
      <c r="Z86" s="92"/>
    </row>
    <row r="87" spans="1:26" ht="15.75" hidden="1" customHeight="1">
      <c r="A87" s="63" t="s">
        <v>184</v>
      </c>
      <c r="B87" s="14">
        <v>63</v>
      </c>
      <c r="C87" s="103">
        <v>0.58587946110133637</v>
      </c>
      <c r="D87" s="1157">
        <v>0.19959515224888419</v>
      </c>
      <c r="E87" s="1157">
        <v>0.35468639365962101</v>
      </c>
      <c r="F87" s="1157">
        <v>0.29711161343465048</v>
      </c>
      <c r="G87" s="1157">
        <v>0.28466406385881798</v>
      </c>
      <c r="H87" s="103">
        <v>0.2972581686711035</v>
      </c>
      <c r="I87" s="103">
        <v>0.28480447913476836</v>
      </c>
      <c r="J87" s="103">
        <v>0.31440194195582832</v>
      </c>
      <c r="K87" s="103">
        <v>0.30194825241949319</v>
      </c>
      <c r="L87" s="103">
        <v>0.31319888355550485</v>
      </c>
      <c r="M87" s="103">
        <v>0.39049157175548965</v>
      </c>
      <c r="N87" s="103">
        <v>0.49529912331568976</v>
      </c>
      <c r="O87" s="103">
        <v>0.41412053889866363</v>
      </c>
      <c r="P87" s="103">
        <v>0.18210023976018491</v>
      </c>
      <c r="Q87" s="103">
        <v>7.7292688199984805E-2</v>
      </c>
      <c r="R87" s="103">
        <v>5.7574780224970507E-2</v>
      </c>
      <c r="S87" s="1157">
        <v>5.1541696055996409E-3</v>
      </c>
      <c r="T87" s="92"/>
      <c r="U87" s="92"/>
      <c r="V87" s="92"/>
      <c r="W87" s="92"/>
      <c r="X87" s="92"/>
      <c r="Y87" s="92"/>
      <c r="Z87" s="92"/>
    </row>
    <row r="88" spans="1:26" ht="15.75" hidden="1" customHeight="1">
      <c r="A88" s="63" t="s">
        <v>185</v>
      </c>
      <c r="B88" s="14">
        <v>30</v>
      </c>
      <c r="C88" s="103">
        <v>0.45351425519663108</v>
      </c>
      <c r="D88" s="1157">
        <v>0.20141013954656983</v>
      </c>
      <c r="E88" s="1157">
        <v>0.26320070318263472</v>
      </c>
      <c r="F88" s="1157">
        <v>0.2406234259235884</v>
      </c>
      <c r="G88" s="1157">
        <v>0.21668728406191742</v>
      </c>
      <c r="H88" s="103">
        <v>0.24189967430518239</v>
      </c>
      <c r="I88" s="103">
        <v>0.21783657696444567</v>
      </c>
      <c r="J88" s="103">
        <v>0.24840614231914826</v>
      </c>
      <c r="K88" s="103">
        <v>0.22434304497841154</v>
      </c>
      <c r="L88" s="103">
        <v>0.27810759499757765</v>
      </c>
      <c r="M88" s="103">
        <v>0.37310429607403051</v>
      </c>
      <c r="N88" s="103">
        <v>0.39232598553963499</v>
      </c>
      <c r="O88" s="103">
        <v>0.54648574480336887</v>
      </c>
      <c r="P88" s="103">
        <v>0.11421839054205732</v>
      </c>
      <c r="Q88" s="103">
        <v>9.4996701076452889E-2</v>
      </c>
      <c r="R88" s="103">
        <v>2.2577277259046343E-2</v>
      </c>
      <c r="S88" s="1157">
        <v>7.8415803416614881E-3</v>
      </c>
      <c r="T88" s="92"/>
      <c r="U88" s="92"/>
      <c r="V88" s="92"/>
      <c r="W88" s="92"/>
      <c r="X88" s="92"/>
      <c r="Y88" s="92"/>
      <c r="Z88" s="92"/>
    </row>
    <row r="89" spans="1:26" ht="15.75" hidden="1" customHeight="1">
      <c r="A89" s="63" t="s">
        <v>186</v>
      </c>
      <c r="B89" s="14">
        <v>8</v>
      </c>
      <c r="C89" s="103">
        <v>0.27714503590321948</v>
      </c>
      <c r="D89" s="1157">
        <v>0.10522831346077817</v>
      </c>
      <c r="E89" s="1157">
        <v>0.1443994847890315</v>
      </c>
      <c r="F89" s="1157">
        <v>0.13739293792172794</v>
      </c>
      <c r="G89" s="1157">
        <v>0.12944791567617053</v>
      </c>
      <c r="H89" s="103">
        <v>0.14979423553901591</v>
      </c>
      <c r="I89" s="103">
        <v>0.14113208338173583</v>
      </c>
      <c r="J89" s="103">
        <v>0.14979423553901591</v>
      </c>
      <c r="K89" s="103">
        <v>0.14113208338173583</v>
      </c>
      <c r="L89" s="103">
        <v>0.15823425455495554</v>
      </c>
      <c r="M89" s="103">
        <v>0.24915728715614349</v>
      </c>
      <c r="N89" s="103">
        <v>0.15823425455495554</v>
      </c>
      <c r="O89" s="103">
        <v>0.72285496409678052</v>
      </c>
      <c r="P89" s="103">
        <v>0</v>
      </c>
      <c r="Q89" s="103">
        <v>9.0923032601187947E-2</v>
      </c>
      <c r="R89" s="103">
        <v>7.0065468673035872E-3</v>
      </c>
      <c r="S89" s="1157">
        <v>3.2236086140251669E-2</v>
      </c>
      <c r="T89" s="92"/>
      <c r="U89" s="92"/>
      <c r="V89" s="92"/>
      <c r="W89" s="92"/>
      <c r="X89" s="92"/>
      <c r="Y89" s="92"/>
      <c r="Z89" s="92"/>
    </row>
    <row r="90" spans="1:26" ht="15.75" hidden="1" customHeight="1">
      <c r="A90" s="63" t="s">
        <v>187</v>
      </c>
      <c r="B90" s="14">
        <v>12</v>
      </c>
      <c r="C90" s="103">
        <v>0.47102861749068226</v>
      </c>
      <c r="D90" s="1157">
        <v>0.10148129007614293</v>
      </c>
      <c r="E90" s="1157">
        <v>0.14246519361534205</v>
      </c>
      <c r="F90" s="1157">
        <v>0.12820574035012822</v>
      </c>
      <c r="G90" s="1157">
        <v>0.1140231160937743</v>
      </c>
      <c r="H90" s="103">
        <v>0.13006859134200838</v>
      </c>
      <c r="I90" s="103">
        <v>0.11567989116743692</v>
      </c>
      <c r="J90" s="103">
        <v>0.13015594083265691</v>
      </c>
      <c r="K90" s="103">
        <v>0.11576724065808545</v>
      </c>
      <c r="L90" s="103">
        <v>0.15348653666291243</v>
      </c>
      <c r="M90" s="103">
        <v>0.49485312084844163</v>
      </c>
      <c r="N90" s="103">
        <v>0.15456927713381324</v>
      </c>
      <c r="O90" s="103">
        <v>0.52897138250931774</v>
      </c>
      <c r="P90" s="103">
        <v>1.0827404709008231E-3</v>
      </c>
      <c r="Q90" s="103">
        <v>0.34136658418552918</v>
      </c>
      <c r="R90" s="103">
        <v>1.4259453265213839E-2</v>
      </c>
      <c r="S90" s="1157">
        <v>2.5322996508829038E-2</v>
      </c>
      <c r="T90" s="92"/>
      <c r="U90" s="92"/>
      <c r="V90" s="92"/>
      <c r="W90" s="92"/>
      <c r="X90" s="92"/>
      <c r="Y90" s="92"/>
      <c r="Z90" s="92"/>
    </row>
    <row r="91" spans="1:26" ht="15.75" hidden="1" customHeight="1">
      <c r="A91" s="63" t="s">
        <v>188</v>
      </c>
      <c r="B91" s="14">
        <v>81</v>
      </c>
      <c r="C91" s="103">
        <v>0.65376282043363265</v>
      </c>
      <c r="D91" s="1157">
        <v>0.27428968850561486</v>
      </c>
      <c r="E91" s="1157">
        <v>0.40376528885685919</v>
      </c>
      <c r="F91" s="1157">
        <v>0.32367209422672144</v>
      </c>
      <c r="G91" s="1157">
        <v>0.30188141360468151</v>
      </c>
      <c r="H91" s="103">
        <v>0.32164247716151906</v>
      </c>
      <c r="I91" s="103">
        <v>0.29998843710269646</v>
      </c>
      <c r="J91" s="103">
        <v>0.33505217703126305</v>
      </c>
      <c r="K91" s="103">
        <v>0.31339813697244046</v>
      </c>
      <c r="L91" s="103">
        <v>0.30326572318393058</v>
      </c>
      <c r="M91" s="103">
        <v>0.45536005147187386</v>
      </c>
      <c r="N91" s="103">
        <v>0.48427823271351483</v>
      </c>
      <c r="O91" s="103">
        <v>0.34623717956636735</v>
      </c>
      <c r="P91" s="103">
        <v>0.18101250952958428</v>
      </c>
      <c r="Q91" s="103">
        <v>0.15209432828794325</v>
      </c>
      <c r="R91" s="103">
        <v>8.009319463013774E-2</v>
      </c>
      <c r="S91" s="1157">
        <v>1.4491626896198604E-2</v>
      </c>
      <c r="T91" s="92"/>
      <c r="U91" s="92"/>
      <c r="V91" s="92"/>
      <c r="W91" s="92"/>
      <c r="X91" s="92"/>
      <c r="Y91" s="92"/>
      <c r="Z91" s="92"/>
    </row>
    <row r="92" spans="1:26" ht="15.75" hidden="1" customHeight="1">
      <c r="A92" s="63" t="s">
        <v>189</v>
      </c>
      <c r="B92" s="14">
        <v>29</v>
      </c>
      <c r="C92" s="103">
        <v>0.60821278927214739</v>
      </c>
      <c r="D92" s="1157">
        <v>-2.6041058910618135E-2</v>
      </c>
      <c r="E92" s="1157">
        <v>0.16893008845198504</v>
      </c>
      <c r="F92" s="1157">
        <v>1.311510803818907E-2</v>
      </c>
      <c r="G92" s="1157">
        <v>1.2828973680163046E-2</v>
      </c>
      <c r="H92" s="103">
        <v>2.0519905460102295E-2</v>
      </c>
      <c r="I92" s="103">
        <v>2.0072219481573991E-2</v>
      </c>
      <c r="J92" s="103">
        <v>4.2337843902451065E-2</v>
      </c>
      <c r="K92" s="103">
        <v>4.1890157923922762E-2</v>
      </c>
      <c r="L92" s="103">
        <v>7.7461426795293095E-2</v>
      </c>
      <c r="M92" s="103">
        <v>0.45217080024986622</v>
      </c>
      <c r="N92" s="103">
        <v>0.29203812077158114</v>
      </c>
      <c r="O92" s="103">
        <v>0.39178721072785261</v>
      </c>
      <c r="P92" s="103">
        <v>0.21457669397628804</v>
      </c>
      <c r="Q92" s="103">
        <v>0.37470937345457311</v>
      </c>
      <c r="R92" s="103">
        <v>0.15581498041379596</v>
      </c>
      <c r="S92" s="1157">
        <v>2.7060346571811507E-2</v>
      </c>
      <c r="T92" s="92"/>
      <c r="U92" s="92"/>
      <c r="V92" s="92"/>
      <c r="W92" s="92"/>
      <c r="X92" s="92"/>
      <c r="Y92" s="92"/>
      <c r="Z92" s="92"/>
    </row>
    <row r="93" spans="1:26" ht="15.75" hidden="1" customHeight="1">
      <c r="A93" s="63" t="s">
        <v>190</v>
      </c>
      <c r="B93" s="14">
        <v>333</v>
      </c>
      <c r="C93" s="103">
        <v>0.72383194716854493</v>
      </c>
      <c r="D93" s="1157">
        <v>0.22940481360702406</v>
      </c>
      <c r="E93" s="1157">
        <v>0.36738100587315842</v>
      </c>
      <c r="F93" s="1157">
        <v>0.28631658213930083</v>
      </c>
      <c r="G93" s="1157">
        <v>0.27360909548923201</v>
      </c>
      <c r="H93" s="103">
        <v>0.28766010292177496</v>
      </c>
      <c r="I93" s="103">
        <v>0.27489298726845457</v>
      </c>
      <c r="J93" s="103">
        <v>0.30049989034140007</v>
      </c>
      <c r="K93" s="103">
        <v>0.28773277468807967</v>
      </c>
      <c r="L93" s="103">
        <v>0.33837233976783226</v>
      </c>
      <c r="M93" s="103">
        <v>0.60230292177639</v>
      </c>
      <c r="N93" s="103">
        <v>0.50701417864516607</v>
      </c>
      <c r="O93" s="103">
        <v>0.27616805283145507</v>
      </c>
      <c r="P93" s="103">
        <v>0.16864183887733381</v>
      </c>
      <c r="Q93" s="103">
        <v>0.26393058200855768</v>
      </c>
      <c r="R93" s="103">
        <v>8.1064423733857555E-2</v>
      </c>
      <c r="S93" s="1157">
        <v>1.5327990330487798E-2</v>
      </c>
      <c r="T93" s="92"/>
      <c r="U93" s="92"/>
      <c r="V93" s="92"/>
      <c r="W93" s="92"/>
      <c r="X93" s="92"/>
      <c r="Y93" s="92"/>
      <c r="Z93" s="92"/>
    </row>
    <row r="94" spans="1:26" ht="15.75" hidden="1" customHeight="1">
      <c r="A94" s="63" t="s">
        <v>191</v>
      </c>
      <c r="B94" s="14">
        <v>27</v>
      </c>
      <c r="C94" s="103">
        <v>0.15607465041493809</v>
      </c>
      <c r="D94" s="1157">
        <v>5.2491064328563937E-2</v>
      </c>
      <c r="E94" s="1157">
        <v>8.031287814678556E-2</v>
      </c>
      <c r="F94" s="1157">
        <v>7.6058228876925316E-2</v>
      </c>
      <c r="G94" s="1157">
        <v>6.7113422850682669E-2</v>
      </c>
      <c r="H94" s="103">
        <v>7.6456613813124505E-2</v>
      </c>
      <c r="I94" s="103">
        <v>6.7464955841593385E-2</v>
      </c>
      <c r="J94" s="103">
        <v>7.6474906662489572E-2</v>
      </c>
      <c r="K94" s="103">
        <v>6.7483248690958453E-2</v>
      </c>
      <c r="L94" s="103">
        <v>0.15992783382897172</v>
      </c>
      <c r="M94" s="103">
        <v>0.22487163751847219</v>
      </c>
      <c r="N94" s="103">
        <v>0.16027115841023298</v>
      </c>
      <c r="O94" s="103">
        <v>0.84392534958506193</v>
      </c>
      <c r="P94" s="103">
        <v>3.433245812612518E-4</v>
      </c>
      <c r="Q94" s="103">
        <v>6.4943803689500465E-2</v>
      </c>
      <c r="R94" s="103">
        <v>4.254649269860241E-3</v>
      </c>
      <c r="S94" s="1157">
        <v>5.5241167912675358E-3</v>
      </c>
      <c r="T94" s="92"/>
      <c r="U94" s="92"/>
      <c r="V94" s="92"/>
      <c r="W94" s="92"/>
      <c r="X94" s="92"/>
      <c r="Y94" s="92"/>
      <c r="Z94" s="92"/>
    </row>
    <row r="95" spans="1:26" ht="15.75" hidden="1" customHeight="1">
      <c r="A95" s="63" t="s">
        <v>192</v>
      </c>
      <c r="B95" s="14">
        <v>11</v>
      </c>
      <c r="C95" s="103">
        <v>0.62346005660074799</v>
      </c>
      <c r="D95" s="1157">
        <v>0.10810472005166009</v>
      </c>
      <c r="E95" s="1157">
        <v>0.21076152059253095</v>
      </c>
      <c r="F95" s="1157">
        <v>0.20147395975539462</v>
      </c>
      <c r="G95" s="1157">
        <v>0.17146218232719823</v>
      </c>
      <c r="H95" s="103">
        <v>0.18896361159145181</v>
      </c>
      <c r="I95" s="103">
        <v>0.16081538906187029</v>
      </c>
      <c r="J95" s="103">
        <v>0.18900872750163605</v>
      </c>
      <c r="K95" s="103">
        <v>0.16086050497205454</v>
      </c>
      <c r="L95" s="103">
        <v>0.33311761340735635</v>
      </c>
      <c r="M95" s="103">
        <v>0.59409354292078931</v>
      </c>
      <c r="N95" s="103">
        <v>0.3336863295758411</v>
      </c>
      <c r="O95" s="103">
        <v>0.37653994339925201</v>
      </c>
      <c r="P95" s="103">
        <v>5.6871616848473813E-4</v>
      </c>
      <c r="Q95" s="103">
        <v>0.2609759295134329</v>
      </c>
      <c r="R95" s="103">
        <v>9.287560837136331E-3</v>
      </c>
      <c r="S95" s="1157">
        <v>6.3451865527717463E-2</v>
      </c>
      <c r="T95" s="92"/>
      <c r="U95" s="92"/>
      <c r="V95" s="92"/>
      <c r="W95" s="92"/>
      <c r="X95" s="92"/>
      <c r="Y95" s="92"/>
      <c r="Z95" s="92"/>
    </row>
    <row r="96" spans="1:26" ht="15.75" hidden="1" customHeight="1">
      <c r="A96" s="63" t="s">
        <v>193</v>
      </c>
      <c r="B96" s="14">
        <v>61</v>
      </c>
      <c r="C96" s="103">
        <v>0.56956519640774617</v>
      </c>
      <c r="D96" s="1157">
        <v>0.10476122030988377</v>
      </c>
      <c r="E96" s="1157">
        <v>0.22386681612795242</v>
      </c>
      <c r="F96" s="1157">
        <v>0.17490719670287783</v>
      </c>
      <c r="G96" s="1157">
        <v>0.16729872315187086</v>
      </c>
      <c r="H96" s="103">
        <v>0.17796357433264573</v>
      </c>
      <c r="I96" s="103">
        <v>0.17022214817136119</v>
      </c>
      <c r="J96" s="103">
        <v>0.18414536479657151</v>
      </c>
      <c r="K96" s="103">
        <v>0.17640393863528697</v>
      </c>
      <c r="L96" s="103">
        <v>0.22885875972346856</v>
      </c>
      <c r="M96" s="103">
        <v>0.45951143609067147</v>
      </c>
      <c r="N96" s="103">
        <v>0.37735958418053495</v>
      </c>
      <c r="O96" s="103">
        <v>0.43043480359225383</v>
      </c>
      <c r="P96" s="103">
        <v>0.14850082445706639</v>
      </c>
      <c r="Q96" s="103">
        <v>0.23065267636720288</v>
      </c>
      <c r="R96" s="103">
        <v>4.8959619425074576E-2</v>
      </c>
      <c r="S96" s="1157">
        <v>1.3942888597245915E-2</v>
      </c>
      <c r="T96" s="92"/>
      <c r="U96" s="92"/>
      <c r="V96" s="92"/>
      <c r="W96" s="92"/>
      <c r="X96" s="92"/>
      <c r="Y96" s="92"/>
      <c r="Z96" s="92"/>
    </row>
    <row r="97" spans="1:26" ht="15.75" hidden="1" customHeight="1">
      <c r="A97" s="63" t="s">
        <v>194</v>
      </c>
      <c r="B97" s="14">
        <v>32</v>
      </c>
      <c r="C97" s="103">
        <v>0.59324897114843966</v>
      </c>
      <c r="D97" s="1157">
        <v>5.8690065881278217E-2</v>
      </c>
      <c r="E97" s="1157">
        <v>0.20835299074626487</v>
      </c>
      <c r="F97" s="1157">
        <v>0.20346195325377506</v>
      </c>
      <c r="G97" s="1157">
        <v>0.19603091884586996</v>
      </c>
      <c r="H97" s="103">
        <v>0.20681814623081324</v>
      </c>
      <c r="I97" s="103">
        <v>0.19926453369420591</v>
      </c>
      <c r="J97" s="103">
        <v>0.20646024162442983</v>
      </c>
      <c r="K97" s="103">
        <v>0.1989066290878225</v>
      </c>
      <c r="L97" s="103">
        <v>0.34473431437011637</v>
      </c>
      <c r="M97" s="103">
        <v>0.57912203250664263</v>
      </c>
      <c r="N97" s="103">
        <v>0.34926448109765462</v>
      </c>
      <c r="O97" s="103">
        <v>0.40675102885156034</v>
      </c>
      <c r="P97" s="103">
        <v>4.5301667275382705E-3</v>
      </c>
      <c r="Q97" s="103">
        <v>0.23438771813652637</v>
      </c>
      <c r="R97" s="103">
        <v>4.8910374924898206E-3</v>
      </c>
      <c r="S97" s="1157">
        <v>4.1939254687970738E-2</v>
      </c>
      <c r="T97" s="92"/>
      <c r="U97" s="92"/>
      <c r="V97" s="92"/>
      <c r="W97" s="92"/>
      <c r="X97" s="92"/>
      <c r="Y97" s="92"/>
      <c r="Z97" s="92"/>
    </row>
    <row r="98" spans="1:26" ht="15.75" hidden="1" customHeight="1">
      <c r="A98" s="63" t="s">
        <v>195</v>
      </c>
      <c r="B98" s="14">
        <v>12</v>
      </c>
      <c r="C98" s="103">
        <v>0.61958041424704868</v>
      </c>
      <c r="D98" s="1157">
        <v>0.31962998951072802</v>
      </c>
      <c r="E98" s="1157">
        <v>0.41527876050036788</v>
      </c>
      <c r="F98" s="1157">
        <v>0.41046960706900121</v>
      </c>
      <c r="G98" s="1157">
        <v>0.35917900912645667</v>
      </c>
      <c r="H98" s="103">
        <v>0.41219529666493809</v>
      </c>
      <c r="I98" s="103">
        <v>0.36068906363098963</v>
      </c>
      <c r="J98" s="103">
        <v>0.41216607778207126</v>
      </c>
      <c r="K98" s="103">
        <v>0.36065984474812279</v>
      </c>
      <c r="L98" s="103">
        <v>0.42765710145675573</v>
      </c>
      <c r="M98" s="103">
        <v>0.63660771586422826</v>
      </c>
      <c r="N98" s="103">
        <v>0.4425071168613065</v>
      </c>
      <c r="O98" s="103">
        <v>0.38041958575295132</v>
      </c>
      <c r="P98" s="103">
        <v>1.485001540455075E-2</v>
      </c>
      <c r="Q98" s="103">
        <v>0.20895061440747259</v>
      </c>
      <c r="R98" s="103">
        <v>4.8091534313666464E-3</v>
      </c>
      <c r="S98" s="1157">
        <v>6.4348632127951295E-3</v>
      </c>
      <c r="T98" s="92"/>
      <c r="U98" s="92"/>
      <c r="V98" s="92"/>
      <c r="W98" s="92"/>
      <c r="X98" s="92"/>
      <c r="Y98" s="92"/>
      <c r="Z98" s="92"/>
    </row>
    <row r="99" spans="1:26" ht="15.75" hidden="1" customHeight="1">
      <c r="A99" s="63" t="s">
        <v>196</v>
      </c>
      <c r="B99" s="14">
        <v>21</v>
      </c>
      <c r="C99" s="103">
        <v>0.23172750525499708</v>
      </c>
      <c r="D99" s="1157">
        <v>4.0908122506038411E-2</v>
      </c>
      <c r="E99" s="1157">
        <v>7.7200339684096494E-2</v>
      </c>
      <c r="F99" s="1157">
        <v>6.8344413085163175E-2</v>
      </c>
      <c r="G99" s="1157">
        <v>6.0213803238105525E-2</v>
      </c>
      <c r="H99" s="103">
        <v>6.9032828249941836E-2</v>
      </c>
      <c r="I99" s="103">
        <v>6.0820320924144584E-2</v>
      </c>
      <c r="J99" s="103">
        <v>6.8305927345044565E-2</v>
      </c>
      <c r="K99" s="103">
        <v>6.0093420019247307E-2</v>
      </c>
      <c r="L99" s="103">
        <v>0.1132592105736171</v>
      </c>
      <c r="M99" s="103">
        <v>0.16055238684375278</v>
      </c>
      <c r="N99" s="103">
        <v>0.1253482609842835</v>
      </c>
      <c r="O99" s="103">
        <v>0.76827249474500292</v>
      </c>
      <c r="P99" s="103">
        <v>1.2089050410666406E-2</v>
      </c>
      <c r="Q99" s="103">
        <v>4.729317627013567E-2</v>
      </c>
      <c r="R99" s="103">
        <v>8.8559265989333318E-3</v>
      </c>
      <c r="S99" s="1157">
        <v>4.3369719821665847E-2</v>
      </c>
      <c r="T99" s="92"/>
      <c r="U99" s="92"/>
      <c r="V99" s="92"/>
      <c r="W99" s="92"/>
      <c r="X99" s="92"/>
      <c r="Y99" s="92"/>
      <c r="Z99" s="92"/>
    </row>
    <row r="100" spans="1:26" ht="15.75" hidden="1" customHeight="1">
      <c r="A100" s="63" t="s">
        <v>197</v>
      </c>
      <c r="B100" s="14">
        <v>4</v>
      </c>
      <c r="C100" s="103">
        <v>0.51679903328333965</v>
      </c>
      <c r="D100" s="1157">
        <v>0.24303715331473466</v>
      </c>
      <c r="E100" s="1157">
        <v>0.38729319335110313</v>
      </c>
      <c r="F100" s="1157">
        <v>0.38313530147727365</v>
      </c>
      <c r="G100" s="1157">
        <v>0.31747946574789992</v>
      </c>
      <c r="H100" s="103">
        <v>0.38259596858170858</v>
      </c>
      <c r="I100" s="103">
        <v>0.3170325554295762</v>
      </c>
      <c r="J100" s="103">
        <v>0.38259596858170858</v>
      </c>
      <c r="K100" s="103">
        <v>0.3170325554295762</v>
      </c>
      <c r="L100" s="103">
        <v>0.46708772720561381</v>
      </c>
      <c r="M100" s="103">
        <v>0.46760255822447411</v>
      </c>
      <c r="N100" s="103">
        <v>0.46708772720561381</v>
      </c>
      <c r="O100" s="103">
        <v>0.48320096671666035</v>
      </c>
      <c r="P100" s="103">
        <v>0</v>
      </c>
      <c r="Q100" s="103">
        <v>5.1483101886030014E-4</v>
      </c>
      <c r="R100" s="103">
        <v>4.1578918738294883E-3</v>
      </c>
      <c r="S100" s="1157">
        <v>1.833769806423537E-2</v>
      </c>
      <c r="T100" s="92"/>
      <c r="U100" s="92"/>
      <c r="V100" s="92"/>
      <c r="W100" s="92"/>
      <c r="X100" s="92"/>
      <c r="Y100" s="92"/>
      <c r="Z100" s="92"/>
    </row>
    <row r="101" spans="1:26" ht="15.75" hidden="1" customHeight="1">
      <c r="A101" s="63" t="s">
        <v>198</v>
      </c>
      <c r="B101" s="14">
        <v>24</v>
      </c>
      <c r="C101" s="103">
        <v>0.20724369593503925</v>
      </c>
      <c r="D101" s="1157">
        <v>4.2022829427108235E-2</v>
      </c>
      <c r="E101" s="1157">
        <v>7.4318378990197539E-2</v>
      </c>
      <c r="F101" s="1157">
        <v>6.9683456617177703E-2</v>
      </c>
      <c r="G101" s="1157">
        <v>5.6723384791642267E-2</v>
      </c>
      <c r="H101" s="103">
        <v>7.3188868497452944E-2</v>
      </c>
      <c r="I101" s="103">
        <v>5.9576842937819119E-2</v>
      </c>
      <c r="J101" s="103">
        <v>7.161627256450262E-2</v>
      </c>
      <c r="K101" s="103">
        <v>5.8004247004868795E-2</v>
      </c>
      <c r="L101" s="103">
        <v>0.15478953532830889</v>
      </c>
      <c r="M101" s="103">
        <v>0.21462816775681257</v>
      </c>
      <c r="N101" s="103">
        <v>0.15709544604891393</v>
      </c>
      <c r="O101" s="103">
        <v>0.79275630406496078</v>
      </c>
      <c r="P101" s="103">
        <v>2.3059107206050357E-3</v>
      </c>
      <c r="Q101" s="103">
        <v>5.9838632428503673E-2</v>
      </c>
      <c r="R101" s="103">
        <v>4.6349223730198447E-3</v>
      </c>
      <c r="S101" s="1157">
        <v>1.6142463629811601E-2</v>
      </c>
      <c r="T101" s="95"/>
      <c r="U101" s="95"/>
      <c r="V101" s="95"/>
      <c r="W101" s="95"/>
      <c r="X101" s="95"/>
      <c r="Y101" s="95"/>
      <c r="Z101" s="95"/>
    </row>
    <row r="102" spans="1:26" ht="15.75" hidden="1" customHeight="1">
      <c r="A102" s="63" t="s">
        <v>199</v>
      </c>
      <c r="B102" s="14">
        <v>14</v>
      </c>
      <c r="C102" s="103">
        <v>0.44528897121871214</v>
      </c>
      <c r="D102" s="1157">
        <v>0.1545668592926096</v>
      </c>
      <c r="E102" s="1157">
        <v>0.23676552706316045</v>
      </c>
      <c r="F102" s="1157">
        <v>0.23277003858979722</v>
      </c>
      <c r="G102" s="1157">
        <v>0.20798428870614993</v>
      </c>
      <c r="H102" s="103">
        <v>0.23068943676986509</v>
      </c>
      <c r="I102" s="103">
        <v>0.20612523290918847</v>
      </c>
      <c r="J102" s="103">
        <v>0.23068943676986509</v>
      </c>
      <c r="K102" s="103">
        <v>0.20612523290918847</v>
      </c>
      <c r="L102" s="103">
        <v>0.39117188011965515</v>
      </c>
      <c r="M102" s="103">
        <v>0.3765504911638502</v>
      </c>
      <c r="N102" s="103">
        <v>0.39117188011965515</v>
      </c>
      <c r="O102" s="103">
        <v>0.55471102878128786</v>
      </c>
      <c r="P102" s="103">
        <v>0</v>
      </c>
      <c r="Q102" s="103">
        <v>-1.4621388955804946E-2</v>
      </c>
      <c r="R102" s="103">
        <v>3.9954884733632567E-3</v>
      </c>
      <c r="S102" s="1157">
        <v>4.854875226937728E-3</v>
      </c>
      <c r="T102" s="92"/>
      <c r="U102" s="92"/>
      <c r="V102" s="92"/>
      <c r="W102" s="92"/>
      <c r="X102" s="92"/>
      <c r="Y102" s="92"/>
      <c r="Z102" s="92"/>
    </row>
    <row r="103" spans="1:26" ht="15.75" hidden="1" customHeight="1">
      <c r="A103" s="63" t="s">
        <v>200</v>
      </c>
      <c r="B103" s="14">
        <v>15</v>
      </c>
      <c r="C103" s="103">
        <v>0.58920367550899011</v>
      </c>
      <c r="D103" s="1157">
        <v>0.21324759436261612</v>
      </c>
      <c r="E103" s="1157">
        <v>0.33688565250162661</v>
      </c>
      <c r="F103" s="1157">
        <v>0.33106423551087982</v>
      </c>
      <c r="G103" s="1157">
        <v>0.29344072385723147</v>
      </c>
      <c r="H103" s="103">
        <v>0.33031508019507083</v>
      </c>
      <c r="I103" s="103">
        <v>0.29277670565601066</v>
      </c>
      <c r="J103" s="103">
        <v>0.33063785757080549</v>
      </c>
      <c r="K103" s="103">
        <v>0.29309948303174532</v>
      </c>
      <c r="L103" s="103">
        <v>0.44565117023172712</v>
      </c>
      <c r="M103" s="103">
        <v>0.48387616309158493</v>
      </c>
      <c r="N103" s="103">
        <v>0.44622560272463535</v>
      </c>
      <c r="O103" s="103">
        <v>0.41079632449100989</v>
      </c>
      <c r="P103" s="103">
        <v>5.744324929081745E-4</v>
      </c>
      <c r="Q103" s="103">
        <v>3.8224992859857795E-2</v>
      </c>
      <c r="R103" s="103">
        <v>5.8214169907468052E-3</v>
      </c>
      <c r="S103" s="1157">
        <v>3.1275970254060217E-3</v>
      </c>
      <c r="T103" s="95"/>
      <c r="U103" s="95"/>
      <c r="V103" s="95"/>
      <c r="W103" s="95"/>
      <c r="X103" s="95"/>
      <c r="Y103" s="95"/>
      <c r="Z103" s="95"/>
    </row>
    <row r="104" spans="1:26" ht="15.75" hidden="1" customHeight="1">
      <c r="A104" s="63" t="s">
        <v>201</v>
      </c>
      <c r="B104" s="14">
        <v>6062</v>
      </c>
      <c r="C104" s="103">
        <v>0.37109561019304688</v>
      </c>
      <c r="D104" s="1157">
        <v>8.6727871957229571E-2</v>
      </c>
      <c r="E104" s="1157">
        <v>0.13597105282561689</v>
      </c>
      <c r="F104" s="1157">
        <v>0.12082027487417142</v>
      </c>
      <c r="G104" s="1157">
        <v>0.11111901718580411</v>
      </c>
      <c r="H104" s="103">
        <v>0.12022693399928826</v>
      </c>
      <c r="I104" s="103">
        <v>0.11057331858561598</v>
      </c>
      <c r="J104" s="103">
        <v>0.12264077943971394</v>
      </c>
      <c r="K104" s="103">
        <v>0.11298716402604166</v>
      </c>
      <c r="L104" s="103">
        <v>0.15949546961395894</v>
      </c>
      <c r="M104" s="103">
        <v>0.32180857874855989</v>
      </c>
      <c r="N104" s="103">
        <v>0.19667552175949074</v>
      </c>
      <c r="O104" s="103">
        <v>0.62890438980695307</v>
      </c>
      <c r="P104" s="103">
        <v>3.7180052145531821E-2</v>
      </c>
      <c r="Q104" s="103">
        <v>0.16231310913460095</v>
      </c>
      <c r="R104" s="103">
        <v>1.515077795144548E-2</v>
      </c>
      <c r="S104" s="1157">
        <v>1.5006486062350534E-2</v>
      </c>
      <c r="T104" s="95"/>
      <c r="U104" s="95"/>
      <c r="V104" s="95"/>
      <c r="W104" s="95"/>
      <c r="X104" s="95"/>
      <c r="Y104" s="95"/>
      <c r="Z104" s="95"/>
    </row>
    <row r="105" spans="1:26" ht="15.75" hidden="1" customHeight="1">
      <c r="A105" s="63" t="s">
        <v>258</v>
      </c>
      <c r="B105" s="14">
        <v>4935</v>
      </c>
      <c r="C105" s="103">
        <v>0.32389139458597321</v>
      </c>
      <c r="D105" s="1157">
        <v>7.3327088844886909E-2</v>
      </c>
      <c r="E105" s="1157">
        <v>0.1333864265453707</v>
      </c>
      <c r="F105" s="1157">
        <v>0.11934234745453784</v>
      </c>
      <c r="G105" s="1157">
        <v>0.11128640714820696</v>
      </c>
      <c r="H105" s="103">
        <v>0.1187475470314287</v>
      </c>
      <c r="I105" s="103">
        <v>0.11073175740760868</v>
      </c>
      <c r="J105" s="103">
        <v>0.1213209947335242</v>
      </c>
      <c r="K105" s="103">
        <v>0.11330520510970417</v>
      </c>
      <c r="L105" s="103">
        <v>0.16121030370123551</v>
      </c>
      <c r="M105" s="103">
        <v>0.29812773327562209</v>
      </c>
      <c r="N105" s="103">
        <v>0.20037312016888734</v>
      </c>
      <c r="O105" s="103">
        <v>0.67610860541402684</v>
      </c>
      <c r="P105" s="103">
        <v>3.9162816467651837E-2</v>
      </c>
      <c r="Q105" s="103">
        <v>0.1369174295743866</v>
      </c>
      <c r="R105" s="103">
        <v>1.4044079090832839E-2</v>
      </c>
      <c r="S105" s="1157">
        <v>1.4673652306073202E-2</v>
      </c>
      <c r="T105" s="92"/>
      <c r="U105" s="92"/>
      <c r="V105" s="92"/>
      <c r="W105" s="92"/>
      <c r="X105" s="92"/>
      <c r="Y105" s="92"/>
      <c r="Z105" s="92"/>
    </row>
    <row r="106" spans="1:26" ht="15.75" hidden="1" customHeight="1">
      <c r="A106" s="234"/>
      <c r="B106" s="92"/>
      <c r="C106" s="215">
        <f t="shared" ref="C106:N106" si="0">AVERAGE(C23,C55)</f>
        <v>0.33760460332193676</v>
      </c>
      <c r="D106" s="215">
        <f t="shared" si="0"/>
        <v>6.6586735155770668E-2</v>
      </c>
      <c r="E106" s="215">
        <f t="shared" si="0"/>
        <v>0.1323719074772696</v>
      </c>
      <c r="F106" s="215">
        <f t="shared" si="0"/>
        <v>0.11822513510572448</v>
      </c>
      <c r="G106" s="215">
        <f t="shared" si="0"/>
        <v>0.10180273537917969</v>
      </c>
      <c r="H106" s="215">
        <f t="shared" si="0"/>
        <v>0.12192240756503525</v>
      </c>
      <c r="I106" s="215">
        <f t="shared" si="0"/>
        <v>0.10495046307895374</v>
      </c>
      <c r="J106" s="215">
        <f t="shared" si="0"/>
        <v>0.12339213094690427</v>
      </c>
      <c r="K106" s="215">
        <f t="shared" si="0"/>
        <v>0.10642018646082277</v>
      </c>
      <c r="L106" s="215">
        <f t="shared" si="0"/>
        <v>0.16195712073887106</v>
      </c>
      <c r="M106" s="215">
        <f t="shared" si="0"/>
        <v>0.34397776485226284</v>
      </c>
      <c r="N106" s="215">
        <f t="shared" si="0"/>
        <v>0.17741603361397024</v>
      </c>
      <c r="O106" s="215">
        <f>AVERAGE(D23,D55)</f>
        <v>6.6586735155770668E-2</v>
      </c>
      <c r="P106" s="215">
        <f t="shared" ref="P106:S106" si="1">AVERAGE(P23,P55)</f>
        <v>1.5458912875099186E-2</v>
      </c>
      <c r="Q106" s="215">
        <f t="shared" si="1"/>
        <v>0.18202064411339181</v>
      </c>
      <c r="R106" s="215">
        <f t="shared" si="1"/>
        <v>1.4146772371545119E-2</v>
      </c>
      <c r="S106" s="215">
        <f t="shared" si="1"/>
        <v>1.7009578058031327E-2</v>
      </c>
      <c r="T106" s="92"/>
      <c r="U106" s="92"/>
      <c r="V106" s="92"/>
      <c r="W106" s="92"/>
      <c r="X106" s="92"/>
      <c r="Y106" s="92"/>
      <c r="Z106" s="92"/>
    </row>
    <row r="107" spans="1:26" ht="15.75" customHeight="1">
      <c r="A107" s="234"/>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spans="1:26" ht="15.75" customHeight="1">
      <c r="A108" s="234"/>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spans="1:26" ht="15.75" customHeight="1">
      <c r="A109" s="234"/>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spans="1:26" ht="15.75" customHeight="1">
      <c r="A110" s="234"/>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spans="1:26" ht="15.75" customHeight="1">
      <c r="A111" s="234"/>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spans="1:26" ht="15.75" customHeight="1">
      <c r="A112" s="234"/>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spans="1:26" ht="15.75" customHeight="1">
      <c r="A113" s="234"/>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spans="1:26" ht="15.75" customHeight="1">
      <c r="A114" s="234"/>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spans="1:26" ht="15.75" customHeight="1">
      <c r="A115" s="234"/>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spans="1:26" ht="15.75" customHeight="1">
      <c r="A116" s="234"/>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spans="1:26" ht="15.75" customHeight="1">
      <c r="A117" s="234"/>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spans="1:26" ht="15.75" customHeight="1">
      <c r="A118" s="234"/>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spans="1:26" ht="15.75" customHeight="1">
      <c r="A119" s="234"/>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spans="1:26" ht="15.75" customHeight="1">
      <c r="A120" s="234"/>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spans="1:26" ht="15.75" customHeight="1">
      <c r="A121" s="234"/>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spans="1:26" ht="15.75" customHeight="1">
      <c r="A122" s="234"/>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spans="1:26" ht="15.75" customHeight="1">
      <c r="A123" s="234"/>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spans="1:26" ht="15.75" customHeight="1">
      <c r="A124" s="234"/>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spans="1:26" ht="15.75" customHeight="1">
      <c r="A125" s="234"/>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spans="1:26" ht="15.75" customHeight="1">
      <c r="A126" s="234"/>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spans="1:26" ht="15.75" customHeight="1">
      <c r="A127" s="234"/>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spans="1:26" ht="15.75" customHeight="1">
      <c r="A128" s="234"/>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spans="1:26" ht="15.75" customHeight="1">
      <c r="A129" s="234"/>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spans="1:26" ht="15.75" customHeight="1">
      <c r="A130" s="234"/>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spans="1:26" ht="15.75" customHeight="1">
      <c r="A131" s="234"/>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spans="1:26" ht="15.75" customHeight="1">
      <c r="A132" s="234"/>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spans="1:26" ht="15.75" customHeight="1">
      <c r="A133" s="234"/>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spans="1:26" ht="15.75" customHeight="1">
      <c r="A134" s="234"/>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spans="1:26" ht="15.75" customHeight="1">
      <c r="A135" s="234"/>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spans="1:26" ht="15.75" customHeight="1">
      <c r="A136" s="234"/>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spans="1:26" ht="15.75" customHeight="1">
      <c r="A137" s="234"/>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spans="1:26" ht="15.75" customHeight="1">
      <c r="A138" s="234"/>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spans="1:26" ht="15.75" customHeight="1">
      <c r="A139" s="234"/>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spans="1:26" ht="15.75" customHeight="1">
      <c r="A140" s="234"/>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spans="1:26" ht="15.75" customHeight="1">
      <c r="A141" s="234"/>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spans="1:26" ht="15.75" customHeight="1">
      <c r="A142" s="234"/>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spans="1:26" ht="15.75" customHeight="1">
      <c r="A143" s="234"/>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spans="1:26" ht="15.75" customHeight="1">
      <c r="A144" s="234"/>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spans="1:26" ht="15.75" customHeight="1">
      <c r="A145" s="234"/>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spans="1:26" ht="15.75" customHeight="1">
      <c r="A146" s="234"/>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spans="1:26" ht="15.75" customHeight="1">
      <c r="A147" s="234"/>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spans="1:26" ht="15.75" customHeight="1">
      <c r="A148" s="234"/>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spans="1:26" ht="15.75" customHeight="1">
      <c r="A149" s="234"/>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spans="1:26" ht="15.75" customHeight="1">
      <c r="A150" s="234"/>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spans="1:26" ht="15.75" customHeight="1">
      <c r="A151" s="234"/>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spans="1:26" ht="15.75" customHeight="1">
      <c r="A152" s="234"/>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spans="1:26" ht="15.75" customHeight="1">
      <c r="A153" s="234"/>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spans="1:26" ht="15.75" customHeight="1">
      <c r="A154" s="234"/>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spans="1:26" ht="15.75" customHeight="1">
      <c r="A155" s="234"/>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spans="1:26" ht="15.75" customHeight="1">
      <c r="A156" s="234"/>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spans="1:26" ht="15.75" customHeight="1">
      <c r="A157" s="234"/>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spans="1:26" ht="15.75" customHeight="1">
      <c r="A158" s="234"/>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spans="1:26" ht="15.75" customHeight="1">
      <c r="A159" s="234"/>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spans="1:26" ht="15.75" customHeight="1">
      <c r="A160" s="234"/>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spans="1:26" ht="15.75" customHeight="1">
      <c r="A161" s="234"/>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spans="1:26" ht="15.75" customHeight="1">
      <c r="A162" s="234"/>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spans="1:26" ht="15.75" customHeight="1">
      <c r="A163" s="234"/>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spans="1:26" ht="15.75" customHeight="1">
      <c r="A164" s="234"/>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spans="1:26" ht="15.75" customHeight="1">
      <c r="A165" s="234"/>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spans="1:26" ht="15.75" customHeight="1">
      <c r="A166" s="234"/>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spans="1:26" ht="15.75" customHeight="1">
      <c r="A167" s="234"/>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spans="1:26" ht="15.75" customHeight="1">
      <c r="A168" s="234"/>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spans="1:26" ht="15.75" customHeight="1">
      <c r="A169" s="234"/>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spans="1:26" ht="15.75" customHeight="1">
      <c r="A170" s="234"/>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spans="1:26" ht="15.75" customHeight="1">
      <c r="A171" s="234"/>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spans="1:26" ht="15.75" customHeight="1">
      <c r="A172" s="234"/>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spans="1:26" ht="15.75" customHeight="1">
      <c r="A173" s="234"/>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spans="1:26" ht="15.75" customHeight="1">
      <c r="A174" s="234"/>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spans="1:26" ht="15.75" customHeight="1">
      <c r="A175" s="234"/>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spans="1:26" ht="15.75" customHeight="1">
      <c r="A176" s="234"/>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spans="1:26" ht="15.75" customHeight="1">
      <c r="A177" s="234"/>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spans="1:26" ht="15.75" customHeight="1">
      <c r="A178" s="234"/>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spans="1:26" ht="15.75" customHeight="1">
      <c r="A179" s="234"/>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spans="1:26" ht="15.75" customHeight="1">
      <c r="A180" s="234"/>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spans="1:26" ht="15.75" customHeight="1">
      <c r="A181" s="234"/>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spans="1:26" ht="15.75" customHeight="1">
      <c r="A182" s="234"/>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spans="1:26" ht="15.75" customHeight="1">
      <c r="A183" s="234"/>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spans="1:26" ht="15.75" customHeight="1">
      <c r="A184" s="234"/>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spans="1:26" ht="15.75" customHeight="1">
      <c r="A185" s="234"/>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spans="1:26" ht="15.75" customHeight="1">
      <c r="A186" s="234"/>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spans="1:26" ht="15.75" customHeight="1">
      <c r="A187" s="234"/>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spans="1:26" ht="15.75" customHeight="1">
      <c r="A188" s="234"/>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spans="1:26" ht="15.75" customHeight="1">
      <c r="A189" s="234"/>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spans="1:26" ht="15.75" customHeight="1">
      <c r="A190" s="234"/>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spans="1:26" ht="15.75" customHeight="1">
      <c r="A191" s="234"/>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spans="1:26" ht="15.75" customHeight="1">
      <c r="A192" s="234"/>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spans="1:26" ht="15.75" customHeight="1">
      <c r="A193" s="234"/>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spans="1:26" ht="15.75" customHeight="1">
      <c r="A194" s="234"/>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spans="1:26" ht="15.75" customHeight="1">
      <c r="A195" s="234"/>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spans="1:26" ht="15.75" customHeight="1">
      <c r="A196" s="234"/>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spans="1:26" ht="15.75" customHeight="1">
      <c r="A197" s="234"/>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spans="1:26" ht="15.75" customHeight="1">
      <c r="A198" s="234"/>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spans="1:26" ht="15.75" customHeight="1">
      <c r="A199" s="234"/>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spans="1:26" ht="15.75" customHeight="1">
      <c r="A200" s="234"/>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spans="1:26" ht="15.75" customHeight="1">
      <c r="A201" s="234"/>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spans="1:26" ht="15.75" customHeight="1">
      <c r="A202" s="234"/>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spans="1:26" ht="15.75" customHeight="1">
      <c r="A203" s="234"/>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spans="1:26" ht="15.75" customHeight="1">
      <c r="A204" s="234"/>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spans="1:26" ht="15.75" customHeight="1">
      <c r="A205" s="234"/>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spans="1:26" ht="15.75" customHeight="1">
      <c r="A206" s="234"/>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spans="1:26" ht="15.75" customHeight="1">
      <c r="A207" s="234"/>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spans="1:26" ht="15.75" customHeight="1">
      <c r="A208" s="234"/>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spans="1:26" ht="15.75" customHeight="1">
      <c r="A209" s="234"/>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spans="1:26" ht="15.75" customHeight="1">
      <c r="A210" s="234"/>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spans="1:26" ht="15.75" customHeight="1">
      <c r="A211" s="234"/>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spans="1:26" ht="15.75" customHeight="1">
      <c r="A212" s="234"/>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spans="1:26" ht="15.75" customHeight="1">
      <c r="A213" s="234"/>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spans="1:26" ht="15.75" customHeight="1">
      <c r="A214" s="234"/>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spans="1:26" ht="15.75" customHeight="1">
      <c r="A215" s="234"/>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spans="1:26" ht="15.75" customHeight="1">
      <c r="A216" s="234"/>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spans="1:26" ht="15.75" customHeight="1">
      <c r="A217" s="234"/>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spans="1:26" ht="15.75" customHeight="1">
      <c r="A218" s="234"/>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spans="1:26" ht="15.75" customHeight="1">
      <c r="A219" s="234"/>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spans="1:26" ht="15.75" customHeight="1">
      <c r="A220" s="234"/>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spans="1:26" ht="15.75" customHeight="1">
      <c r="A221" s="234"/>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spans="1:26" ht="15.75" customHeight="1">
      <c r="A222" s="234"/>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spans="1:26" ht="15.75" customHeight="1">
      <c r="A223" s="234"/>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spans="1:26" ht="15.75" customHeight="1">
      <c r="A224" s="234"/>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spans="1:26" ht="15.75" customHeight="1">
      <c r="A225" s="234"/>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spans="1:26" ht="15.75" customHeight="1">
      <c r="A226" s="234"/>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spans="1:26" ht="15.75" customHeight="1">
      <c r="A227" s="234"/>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spans="1:26" ht="15.75" customHeight="1">
      <c r="A228" s="234"/>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spans="1:26" ht="15.75" customHeight="1">
      <c r="A229" s="234"/>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spans="1:26" ht="15.75" customHeight="1">
      <c r="A230" s="234"/>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spans="1:26" ht="15.75" customHeight="1">
      <c r="A231" s="234"/>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spans="1:26" ht="15.75" customHeight="1">
      <c r="A232" s="234"/>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spans="1:26" ht="15.75" customHeight="1">
      <c r="A233" s="234"/>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spans="1:26" ht="15.75" customHeight="1">
      <c r="A234" s="234"/>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spans="1:26" ht="15.75" customHeight="1">
      <c r="A235" s="234"/>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spans="1:26" ht="15.75" customHeight="1">
      <c r="A236" s="234"/>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spans="1:26" ht="15.75" customHeight="1">
      <c r="A237" s="234"/>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spans="1:26" ht="15.75" customHeight="1">
      <c r="A238" s="234"/>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spans="1:26" ht="15.75" customHeight="1">
      <c r="A239" s="234"/>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spans="1:26" ht="15.75" customHeight="1">
      <c r="A240" s="234"/>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spans="1:26" ht="15.75" customHeight="1">
      <c r="A241" s="234"/>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spans="1:26" ht="15.75" customHeight="1">
      <c r="A242" s="234"/>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spans="1:26" ht="15.75" customHeight="1">
      <c r="A243" s="234"/>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spans="1:26" ht="15.75" customHeight="1">
      <c r="A244" s="234"/>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spans="1:26" ht="15.75" customHeight="1">
      <c r="A245" s="234"/>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spans="1:26" ht="15.75" customHeight="1">
      <c r="A246" s="234"/>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spans="1:26" ht="15.75" customHeight="1">
      <c r="A247" s="234"/>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spans="1:26" ht="15.75" customHeight="1">
      <c r="A248" s="234"/>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spans="1:26" ht="15.75" customHeight="1">
      <c r="A249" s="234"/>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spans="1:26" ht="15.75" customHeight="1">
      <c r="A250" s="234"/>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spans="1:26" ht="15.75" customHeight="1">
      <c r="A251" s="234"/>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spans="1:26" ht="15.75" customHeight="1">
      <c r="A252" s="234"/>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spans="1:26" ht="15.75" customHeight="1">
      <c r="A253" s="234"/>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spans="1:26" ht="15.75" customHeight="1">
      <c r="A254" s="234"/>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spans="1:26" ht="15.75" customHeight="1">
      <c r="A255" s="234"/>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spans="1:26" ht="15.75" customHeight="1">
      <c r="A256" s="234"/>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spans="1:26" ht="15.75" customHeight="1">
      <c r="A257" s="234"/>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spans="1:26" ht="15.75" customHeight="1">
      <c r="A258" s="234"/>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spans="1:26" ht="15.75" customHeight="1">
      <c r="A259" s="234"/>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spans="1:26" ht="15.75" customHeight="1">
      <c r="A260" s="234"/>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spans="1:26" ht="15.75" customHeight="1">
      <c r="A261" s="234"/>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spans="1:26" ht="15.75" customHeight="1">
      <c r="A262" s="234"/>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spans="1:26" ht="15.75" customHeight="1">
      <c r="A263" s="234"/>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spans="1:26" ht="15.75" customHeight="1">
      <c r="A264" s="234"/>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spans="1:26" ht="15.75" customHeight="1">
      <c r="A265" s="234"/>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spans="1:26" ht="15.75" customHeight="1">
      <c r="A266" s="234"/>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spans="1:26" ht="15.75" customHeight="1">
      <c r="A267" s="234"/>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spans="1:26" ht="15.75" customHeight="1">
      <c r="A268" s="234"/>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spans="1:26" ht="15.75" customHeight="1">
      <c r="A269" s="234"/>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spans="1:26" ht="15.75" customHeight="1">
      <c r="A270" s="234"/>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spans="1:26" ht="15.75" customHeight="1">
      <c r="A271" s="234"/>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spans="1:26" ht="15.75" customHeight="1">
      <c r="A272" s="234"/>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spans="1:26" ht="15.75" customHeight="1">
      <c r="A273" s="234"/>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spans="1:26" ht="15.75" customHeight="1">
      <c r="A274" s="234"/>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spans="1:26" ht="15.75" customHeight="1">
      <c r="A275" s="234"/>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spans="1:26" ht="15.75" customHeight="1">
      <c r="A276" s="234"/>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spans="1:26" ht="15.75" customHeight="1">
      <c r="A277" s="234"/>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spans="1:26" ht="15.75" customHeight="1">
      <c r="A278" s="234"/>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spans="1:26" ht="15.75" customHeight="1">
      <c r="A279" s="234"/>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spans="1:26" ht="15.75" customHeight="1">
      <c r="A280" s="234"/>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spans="1:26" ht="15.75" customHeight="1">
      <c r="A281" s="234"/>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spans="1:26" ht="15.75" customHeight="1">
      <c r="A282" s="234"/>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spans="1:26" ht="15.75" customHeight="1">
      <c r="A283" s="234"/>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spans="1:26" ht="15.75" customHeight="1">
      <c r="A284" s="234"/>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spans="1:26" ht="15.75" customHeight="1">
      <c r="A285" s="234"/>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spans="1:26" ht="15.75" customHeight="1">
      <c r="A286" s="234"/>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spans="1:26" ht="15.75" customHeight="1">
      <c r="A287" s="234"/>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spans="1:26" ht="15.75" customHeight="1">
      <c r="A288" s="234"/>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spans="1:26" ht="15.75" customHeight="1">
      <c r="A289" s="234"/>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spans="1:26" ht="15.75" customHeight="1">
      <c r="A290" s="234"/>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spans="1:26" ht="15.75" customHeight="1">
      <c r="A291" s="234"/>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spans="1:26" ht="15.75" customHeight="1">
      <c r="A292" s="234"/>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spans="1:26" ht="15.75" customHeight="1">
      <c r="A293" s="234"/>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spans="1:26" ht="15.75" customHeight="1">
      <c r="A294" s="234"/>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spans="1:26" ht="15.75" customHeight="1">
      <c r="A295" s="234"/>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spans="1:26" ht="15.75" customHeight="1">
      <c r="A296" s="234"/>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spans="1:26" ht="15.75" customHeight="1">
      <c r="A297" s="234"/>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spans="1:26" ht="15.75" customHeight="1">
      <c r="A298" s="234"/>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spans="1:26" ht="15.75" customHeight="1">
      <c r="A299" s="234"/>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spans="1:26" ht="15.75" customHeight="1">
      <c r="A300" s="234"/>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spans="1:26" ht="15.75" customHeight="1">
      <c r="A301" s="234"/>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spans="1:26" ht="15.75" customHeight="1">
      <c r="A302" s="234"/>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spans="1:26" ht="15.75" customHeight="1">
      <c r="A303" s="234"/>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spans="1:26" ht="15.75" customHeight="1">
      <c r="A304" s="234"/>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spans="1:26" ht="15.75" customHeight="1">
      <c r="A305" s="234"/>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spans="1:26" ht="15.75" customHeight="1">
      <c r="A306" s="234"/>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spans="1:26" ht="15.75" customHeight="1"/>
    <row r="308" spans="1:26" ht="15.75" customHeight="1"/>
    <row r="309" spans="1:26" ht="15.75" customHeight="1"/>
    <row r="310" spans="1:26" ht="15.75" customHeight="1"/>
    <row r="311" spans="1:26" ht="15.75" customHeight="1"/>
    <row r="312" spans="1:26" ht="15.75" customHeight="1"/>
    <row r="313" spans="1:26" ht="15.75" customHeight="1"/>
    <row r="314" spans="1:26" ht="15.75" customHeight="1"/>
    <row r="315" spans="1:26" ht="15.75" customHeight="1"/>
    <row r="316" spans="1:26" ht="15.75" customHeight="1"/>
    <row r="317" spans="1:26" ht="15.75" customHeight="1"/>
    <row r="318" spans="1:26" ht="15.75" customHeight="1"/>
    <row r="319" spans="1:26" ht="15.75" customHeight="1"/>
    <row r="320" spans="1:26"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9:S106" xr:uid="{00000000-0009-0000-0000-000016000000}">
    <filterColumn colId="0">
      <filters>
        <filter val="Engineering/Construction"/>
      </filters>
    </filterColumn>
  </autoFilter>
  <mergeCells count="11">
    <mergeCell ref="B7:G7"/>
    <mergeCell ref="E8:K8"/>
    <mergeCell ref="L8:N8"/>
    <mergeCell ref="O8:S8"/>
    <mergeCell ref="B1:G1"/>
    <mergeCell ref="B2:G2"/>
    <mergeCell ref="B3:E3"/>
    <mergeCell ref="F3:G3"/>
    <mergeCell ref="B4:G4"/>
    <mergeCell ref="B5:G5"/>
    <mergeCell ref="B6:G6"/>
  </mergeCells>
  <hyperlinks>
    <hyperlink ref="B2" r:id="rId1" xr:uid="{00000000-0004-0000-1600-000000000000}"/>
    <hyperlink ref="B4" r:id="rId2" xr:uid="{00000000-0004-0000-1600-000001000000}"/>
    <hyperlink ref="B5" r:id="rId3" xr:uid="{00000000-0004-0000-1600-000002000000}"/>
    <hyperlink ref="B6" r:id="rId4" xr:uid="{00000000-0004-0000-1600-000003000000}"/>
    <hyperlink ref="B7" r:id="rId5" xr:uid="{00000000-0004-0000-1600-000004000000}"/>
  </hyperlinks>
  <pageMargins left="0.75" right="0.75" top="1" bottom="1" header="0" footer="0"/>
  <pageSetup scale="55" orientation="landscape"/>
  <headerFooter>
    <oddHeader>&amp;C000000Profit Margins, by Sector&amp;R000000Global 2016</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filterMode="1">
    <tabColor rgb="FF3F3151"/>
  </sheetPr>
  <dimension ref="A1:Z1000"/>
  <sheetViews>
    <sheetView workbookViewId="0"/>
  </sheetViews>
  <sheetFormatPr baseColWidth="10" defaultColWidth="14.44140625" defaultRowHeight="15" customHeight="1"/>
  <cols>
    <col min="1" max="1" width="37.88671875" customWidth="1"/>
    <col min="2" max="2" width="18.109375" customWidth="1"/>
    <col min="3" max="3" width="21.44140625" customWidth="1"/>
    <col min="4" max="4" width="39.44140625" customWidth="1"/>
    <col min="5" max="5" width="28.109375" customWidth="1"/>
    <col min="6" max="6" width="13" customWidth="1"/>
    <col min="7" max="26" width="10.6640625" customWidth="1"/>
  </cols>
  <sheetData>
    <row r="1" spans="1:26" ht="15.6">
      <c r="A1" s="986" t="s">
        <v>69</v>
      </c>
      <c r="B1" s="1472">
        <v>45662</v>
      </c>
      <c r="C1" s="1363"/>
      <c r="D1" s="1363"/>
      <c r="E1" s="1363"/>
      <c r="F1" s="1363"/>
      <c r="G1" s="1368"/>
      <c r="H1" s="1"/>
      <c r="I1" s="1"/>
      <c r="J1" s="1"/>
      <c r="K1" s="1"/>
      <c r="L1" s="1"/>
      <c r="M1" s="1"/>
      <c r="N1" s="1"/>
      <c r="O1" s="1"/>
      <c r="P1" s="1"/>
      <c r="Q1" s="1"/>
      <c r="R1" s="1"/>
      <c r="S1" s="1"/>
      <c r="T1" s="1"/>
      <c r="U1" s="1"/>
      <c r="V1" s="1"/>
      <c r="W1" s="1"/>
      <c r="X1" s="1"/>
      <c r="Y1" s="1"/>
      <c r="Z1" s="1"/>
    </row>
    <row r="2" spans="1:26" ht="15.6">
      <c r="A2" s="200" t="s">
        <v>72</v>
      </c>
      <c r="B2" s="1369" t="s">
        <v>73</v>
      </c>
      <c r="C2" s="1339"/>
      <c r="D2" s="1339"/>
      <c r="E2" s="1339"/>
      <c r="F2" s="1339"/>
      <c r="G2" s="1387"/>
      <c r="H2" s="1"/>
      <c r="I2" s="1"/>
      <c r="J2" s="1"/>
      <c r="K2" s="1"/>
      <c r="L2" s="1"/>
      <c r="M2" s="1"/>
      <c r="N2" s="1"/>
      <c r="O2" s="1"/>
      <c r="P2" s="1"/>
      <c r="Q2" s="1"/>
      <c r="R2" s="1"/>
      <c r="S2" s="1"/>
      <c r="T2" s="1"/>
      <c r="U2" s="1"/>
      <c r="V2" s="1"/>
      <c r="W2" s="1"/>
      <c r="X2" s="1"/>
      <c r="Y2" s="1"/>
      <c r="Z2" s="1"/>
    </row>
    <row r="3" spans="1:26" ht="15.6">
      <c r="A3" s="200" t="s">
        <v>75</v>
      </c>
      <c r="B3" s="1375" t="s">
        <v>562</v>
      </c>
      <c r="C3" s="1339"/>
      <c r="D3" s="1339"/>
      <c r="E3" s="1340"/>
      <c r="F3" s="1375" t="s">
        <v>77</v>
      </c>
      <c r="G3" s="1387"/>
      <c r="H3" s="84"/>
      <c r="I3" s="84"/>
      <c r="J3" s="84"/>
      <c r="K3" s="1"/>
      <c r="L3" s="1"/>
      <c r="M3" s="1"/>
      <c r="N3" s="1"/>
      <c r="O3" s="1"/>
      <c r="P3" s="1"/>
      <c r="Q3" s="1"/>
      <c r="R3" s="1"/>
      <c r="S3" s="1"/>
      <c r="T3" s="1"/>
      <c r="U3" s="1"/>
      <c r="V3" s="1"/>
      <c r="W3" s="1"/>
      <c r="X3" s="1"/>
      <c r="Y3" s="1"/>
      <c r="Z3" s="1"/>
    </row>
    <row r="4" spans="1:26" ht="15.6">
      <c r="A4" s="200" t="s">
        <v>78</v>
      </c>
      <c r="B4" s="1376" t="s">
        <v>79</v>
      </c>
      <c r="C4" s="1339"/>
      <c r="D4" s="1339"/>
      <c r="E4" s="1339"/>
      <c r="F4" s="1339"/>
      <c r="G4" s="1387"/>
      <c r="H4" s="1"/>
      <c r="I4" s="1"/>
      <c r="J4" s="1"/>
      <c r="K4" s="1"/>
      <c r="L4" s="1"/>
      <c r="M4" s="1"/>
      <c r="N4" s="1"/>
      <c r="O4" s="1"/>
      <c r="P4" s="1"/>
      <c r="Q4" s="1"/>
      <c r="R4" s="1"/>
      <c r="S4" s="1"/>
      <c r="T4" s="1"/>
      <c r="U4" s="1"/>
      <c r="V4" s="1"/>
      <c r="W4" s="1"/>
      <c r="X4" s="1"/>
      <c r="Y4" s="1"/>
      <c r="Z4" s="1"/>
    </row>
    <row r="5" spans="1:26" ht="15.6">
      <c r="A5" s="200" t="s">
        <v>80</v>
      </c>
      <c r="B5" s="1355" t="s">
        <v>715</v>
      </c>
      <c r="C5" s="1339"/>
      <c r="D5" s="1339"/>
      <c r="E5" s="1339"/>
      <c r="F5" s="1339"/>
      <c r="G5" s="1387"/>
      <c r="H5" s="1"/>
      <c r="I5" s="1"/>
      <c r="J5" s="1"/>
      <c r="K5" s="1"/>
      <c r="L5" s="1"/>
      <c r="M5" s="1"/>
      <c r="N5" s="1"/>
      <c r="O5" s="1"/>
      <c r="P5" s="1"/>
      <c r="Q5" s="1"/>
      <c r="R5" s="1"/>
      <c r="S5" s="1"/>
      <c r="T5" s="1"/>
      <c r="U5" s="1"/>
      <c r="V5" s="1"/>
      <c r="W5" s="1"/>
      <c r="X5" s="1"/>
      <c r="Y5" s="1"/>
      <c r="Z5" s="1"/>
    </row>
    <row r="6" spans="1:26" ht="15.6">
      <c r="A6" s="200" t="s">
        <v>82</v>
      </c>
      <c r="B6" s="1369" t="s">
        <v>632</v>
      </c>
      <c r="C6" s="1339"/>
      <c r="D6" s="1339"/>
      <c r="E6" s="1339"/>
      <c r="F6" s="1339"/>
      <c r="G6" s="1387"/>
      <c r="H6" s="95"/>
      <c r="I6" s="95"/>
      <c r="J6" s="95"/>
      <c r="K6" s="95"/>
      <c r="L6" s="95"/>
      <c r="M6" s="95"/>
      <c r="N6" s="95"/>
      <c r="O6" s="95"/>
      <c r="P6" s="95"/>
      <c r="Q6" s="95"/>
      <c r="R6" s="95"/>
      <c r="S6" s="95"/>
      <c r="T6" s="95"/>
      <c r="U6" s="95"/>
      <c r="V6" s="95"/>
      <c r="W6" s="95"/>
      <c r="X6" s="95"/>
      <c r="Y6" s="95"/>
      <c r="Z6" s="95"/>
    </row>
    <row r="7" spans="1:26" ht="15.6">
      <c r="A7" s="201" t="s">
        <v>84</v>
      </c>
      <c r="B7" s="1388" t="s">
        <v>633</v>
      </c>
      <c r="C7" s="1389"/>
      <c r="D7" s="1389"/>
      <c r="E7" s="1389"/>
      <c r="F7" s="1389"/>
      <c r="G7" s="1390"/>
      <c r="H7" s="1"/>
      <c r="I7" s="1"/>
      <c r="J7" s="1"/>
      <c r="K7" s="1"/>
      <c r="L7" s="1"/>
      <c r="M7" s="1"/>
      <c r="N7" s="1"/>
      <c r="O7" s="1"/>
      <c r="P7" s="1"/>
      <c r="Q7" s="1"/>
      <c r="R7" s="1"/>
      <c r="S7" s="1"/>
      <c r="T7" s="1"/>
      <c r="U7" s="1"/>
      <c r="V7" s="1"/>
      <c r="W7" s="1"/>
      <c r="X7" s="1"/>
      <c r="Y7" s="1"/>
      <c r="Z7" s="1"/>
    </row>
    <row r="8" spans="1:26" ht="14.4">
      <c r="A8" s="1016" t="s">
        <v>204</v>
      </c>
      <c r="B8" s="204" t="s">
        <v>247</v>
      </c>
      <c r="C8" s="204" t="s">
        <v>564</v>
      </c>
      <c r="D8" s="204" t="s">
        <v>565</v>
      </c>
      <c r="E8" s="1017" t="s">
        <v>566</v>
      </c>
      <c r="F8" s="1"/>
      <c r="G8" s="1"/>
      <c r="H8" s="319"/>
      <c r="I8" s="319"/>
      <c r="J8" s="319"/>
      <c r="K8" s="319"/>
      <c r="L8" s="319"/>
      <c r="M8" s="319"/>
      <c r="N8" s="319"/>
      <c r="O8" s="319"/>
      <c r="P8" s="319"/>
      <c r="Q8" s="319"/>
      <c r="R8" s="319"/>
      <c r="S8" s="319"/>
      <c r="T8" s="319"/>
      <c r="U8" s="319"/>
      <c r="V8" s="319"/>
      <c r="W8" s="319"/>
      <c r="X8" s="319"/>
      <c r="Y8" s="319"/>
      <c r="Z8" s="319"/>
    </row>
    <row r="9" spans="1:26" ht="15.6" hidden="1">
      <c r="A9" s="1019" t="s">
        <v>106</v>
      </c>
      <c r="B9" s="1020">
        <v>54</v>
      </c>
      <c r="C9" s="1021">
        <v>0.34910000000000002</v>
      </c>
      <c r="D9" s="218">
        <v>0.1615</v>
      </c>
      <c r="E9" s="219">
        <v>5.6399999999999999E-2</v>
      </c>
      <c r="F9" s="1"/>
      <c r="G9" s="1"/>
      <c r="H9" s="1"/>
      <c r="I9" s="1"/>
      <c r="J9" s="1"/>
      <c r="K9" s="1"/>
      <c r="L9" s="1"/>
      <c r="M9" s="1"/>
      <c r="N9" s="1"/>
      <c r="O9" s="1"/>
      <c r="P9" s="1"/>
      <c r="Q9" s="1"/>
      <c r="R9" s="1"/>
      <c r="S9" s="1"/>
      <c r="T9" s="1"/>
      <c r="U9" s="1"/>
      <c r="V9" s="1"/>
      <c r="W9" s="1"/>
      <c r="X9" s="1"/>
      <c r="Y9" s="1"/>
      <c r="Z9" s="1"/>
    </row>
    <row r="10" spans="1:26" ht="15.6" hidden="1">
      <c r="A10" s="1162" t="s">
        <v>107</v>
      </c>
      <c r="B10" s="1163">
        <v>67</v>
      </c>
      <c r="C10" s="1164">
        <v>0.14030000000000001</v>
      </c>
      <c r="D10" s="212">
        <v>0.65010000000000001</v>
      </c>
      <c r="E10" s="213">
        <v>9.1200000000000003E-2</v>
      </c>
      <c r="F10" s="1"/>
      <c r="G10" s="1"/>
      <c r="H10" s="1"/>
      <c r="I10" s="1"/>
      <c r="J10" s="1"/>
      <c r="K10" s="1"/>
      <c r="L10" s="1"/>
      <c r="M10" s="1"/>
      <c r="N10" s="1"/>
      <c r="O10" s="1"/>
      <c r="P10" s="1"/>
      <c r="Q10" s="1"/>
      <c r="R10" s="1"/>
      <c r="S10" s="1"/>
      <c r="T10" s="1"/>
      <c r="U10" s="1"/>
      <c r="V10" s="1"/>
      <c r="W10" s="1"/>
      <c r="X10" s="1"/>
      <c r="Y10" s="1"/>
      <c r="Z10" s="1"/>
    </row>
    <row r="11" spans="1:26" ht="15.6" hidden="1">
      <c r="A11" s="1019" t="s">
        <v>108</v>
      </c>
      <c r="B11" s="1020">
        <v>24</v>
      </c>
      <c r="C11" s="1021">
        <v>8.48E-2</v>
      </c>
      <c r="D11" s="218">
        <v>0.99550000000000005</v>
      </c>
      <c r="E11" s="219">
        <v>8.4400000000000003E-2</v>
      </c>
      <c r="F11" s="1"/>
      <c r="G11" s="1"/>
      <c r="H11" s="1"/>
      <c r="I11" s="1"/>
      <c r="J11" s="1"/>
      <c r="K11" s="1"/>
      <c r="L11" s="1"/>
      <c r="M11" s="1"/>
      <c r="N11" s="1"/>
      <c r="O11" s="1"/>
      <c r="P11" s="1"/>
      <c r="Q11" s="1"/>
      <c r="R11" s="1"/>
      <c r="S11" s="1"/>
      <c r="T11" s="1"/>
      <c r="U11" s="1"/>
      <c r="V11" s="1"/>
      <c r="W11" s="1"/>
      <c r="X11" s="1"/>
      <c r="Y11" s="1"/>
      <c r="Z11" s="1"/>
    </row>
    <row r="12" spans="1:26" ht="15.6" hidden="1">
      <c r="A12" s="1162" t="s">
        <v>109</v>
      </c>
      <c r="B12" s="1163">
        <v>37</v>
      </c>
      <c r="C12" s="1164">
        <v>0.15260000000000001</v>
      </c>
      <c r="D12" s="212">
        <v>-0.33750000000000002</v>
      </c>
      <c r="E12" s="213">
        <v>-5.1499999999999997E-2</v>
      </c>
      <c r="F12" s="1"/>
      <c r="G12" s="1"/>
      <c r="H12" s="1"/>
      <c r="I12" s="1"/>
      <c r="J12" s="1"/>
      <c r="K12" s="1"/>
      <c r="L12" s="1"/>
      <c r="M12" s="1"/>
      <c r="N12" s="1"/>
      <c r="O12" s="1"/>
      <c r="P12" s="1"/>
      <c r="Q12" s="1"/>
      <c r="R12" s="1"/>
      <c r="S12" s="1"/>
      <c r="T12" s="1"/>
      <c r="U12" s="1"/>
      <c r="V12" s="1"/>
      <c r="W12" s="1"/>
      <c r="X12" s="1"/>
      <c r="Y12" s="1"/>
      <c r="Z12" s="1"/>
    </row>
    <row r="13" spans="1:26" ht="15.6" hidden="1">
      <c r="A13" s="1019" t="s">
        <v>110</v>
      </c>
      <c r="B13" s="1020">
        <v>34</v>
      </c>
      <c r="C13" s="1021">
        <v>3.15E-2</v>
      </c>
      <c r="D13" s="218">
        <v>0.31340000000000001</v>
      </c>
      <c r="E13" s="219">
        <v>9.9000000000000008E-3</v>
      </c>
      <c r="F13" s="1"/>
      <c r="G13" s="1"/>
      <c r="H13" s="1"/>
      <c r="I13" s="1"/>
      <c r="J13" s="1"/>
      <c r="K13" s="1"/>
      <c r="L13" s="1"/>
      <c r="M13" s="1"/>
      <c r="N13" s="1"/>
      <c r="O13" s="1"/>
      <c r="P13" s="1"/>
      <c r="Q13" s="1"/>
      <c r="R13" s="1"/>
      <c r="S13" s="1"/>
      <c r="T13" s="1"/>
      <c r="U13" s="1"/>
      <c r="V13" s="1"/>
      <c r="W13" s="1"/>
      <c r="X13" s="1"/>
      <c r="Y13" s="1"/>
      <c r="Z13" s="1"/>
    </row>
    <row r="14" spans="1:26" ht="15.6" hidden="1">
      <c r="A14" s="1162" t="s">
        <v>111</v>
      </c>
      <c r="B14" s="1163">
        <v>33</v>
      </c>
      <c r="C14" s="1164">
        <v>8.6599999999999996E-2</v>
      </c>
      <c r="D14" s="212">
        <v>0.98719999999999997</v>
      </c>
      <c r="E14" s="213">
        <v>8.5500000000000007E-2</v>
      </c>
      <c r="F14" s="1"/>
      <c r="G14" s="1"/>
      <c r="H14" s="1"/>
      <c r="I14" s="1"/>
      <c r="J14" s="1"/>
      <c r="K14" s="1"/>
      <c r="L14" s="1"/>
      <c r="M14" s="1"/>
      <c r="N14" s="1"/>
      <c r="O14" s="1"/>
      <c r="P14" s="1"/>
      <c r="Q14" s="1"/>
      <c r="R14" s="1"/>
      <c r="S14" s="1"/>
      <c r="T14" s="1"/>
      <c r="U14" s="1"/>
      <c r="V14" s="1"/>
      <c r="W14" s="1"/>
      <c r="X14" s="1"/>
      <c r="Y14" s="1"/>
      <c r="Z14" s="1"/>
    </row>
    <row r="15" spans="1:26" ht="15.6" hidden="1">
      <c r="A15" s="1019" t="s">
        <v>112</v>
      </c>
      <c r="B15" s="1020">
        <v>15</v>
      </c>
      <c r="C15" s="1021" t="s">
        <v>113</v>
      </c>
      <c r="D15" s="218" t="s">
        <v>113</v>
      </c>
      <c r="E15" s="219" t="s">
        <v>113</v>
      </c>
      <c r="F15" s="1"/>
      <c r="G15" s="1"/>
      <c r="H15" s="1"/>
      <c r="I15" s="1"/>
      <c r="J15" s="1"/>
      <c r="K15" s="1"/>
      <c r="L15" s="1"/>
      <c r="M15" s="1"/>
      <c r="N15" s="1"/>
      <c r="O15" s="1"/>
      <c r="P15" s="1"/>
      <c r="Q15" s="1"/>
      <c r="R15" s="1"/>
      <c r="S15" s="1"/>
      <c r="T15" s="1"/>
      <c r="U15" s="1"/>
      <c r="V15" s="1"/>
      <c r="W15" s="1"/>
      <c r="X15" s="1"/>
      <c r="Y15" s="1"/>
      <c r="Z15" s="1"/>
    </row>
    <row r="16" spans="1:26" ht="15.6" hidden="1">
      <c r="A16" s="1162" t="s">
        <v>114</v>
      </c>
      <c r="B16" s="1163">
        <v>591</v>
      </c>
      <c r="C16" s="1164" t="s">
        <v>113</v>
      </c>
      <c r="D16" s="212" t="s">
        <v>113</v>
      </c>
      <c r="E16" s="213" t="s">
        <v>113</v>
      </c>
      <c r="F16" s="1"/>
      <c r="G16" s="1"/>
      <c r="H16" s="1"/>
      <c r="I16" s="1"/>
      <c r="J16" s="1"/>
      <c r="K16" s="1"/>
      <c r="L16" s="1"/>
      <c r="M16" s="1"/>
      <c r="N16" s="1"/>
      <c r="O16" s="1"/>
      <c r="P16" s="1"/>
      <c r="Q16" s="1"/>
      <c r="R16" s="1"/>
      <c r="S16" s="1"/>
      <c r="T16" s="1"/>
      <c r="U16" s="1"/>
      <c r="V16" s="1"/>
      <c r="W16" s="1"/>
      <c r="X16" s="1"/>
      <c r="Y16" s="1"/>
      <c r="Z16" s="1"/>
    </row>
    <row r="17" spans="1:5" ht="15.6" hidden="1">
      <c r="A17" s="1019" t="s">
        <v>115</v>
      </c>
      <c r="B17" s="1020">
        <v>18</v>
      </c>
      <c r="C17" s="1021">
        <v>0.17860000000000001</v>
      </c>
      <c r="D17" s="218">
        <v>0.35709999999999997</v>
      </c>
      <c r="E17" s="219">
        <v>6.3799999999999996E-2</v>
      </c>
    </row>
    <row r="18" spans="1:5" ht="15.6" hidden="1">
      <c r="A18" s="1162" t="s">
        <v>116</v>
      </c>
      <c r="B18" s="1163">
        <v>29</v>
      </c>
      <c r="C18" s="1164">
        <v>0.30609999999999998</v>
      </c>
      <c r="D18" s="212">
        <v>0.26989999999999997</v>
      </c>
      <c r="E18" s="213">
        <v>8.2600000000000007E-2</v>
      </c>
    </row>
    <row r="19" spans="1:5" ht="15.6" hidden="1">
      <c r="A19" s="1019" t="s">
        <v>117</v>
      </c>
      <c r="B19" s="1020">
        <v>22</v>
      </c>
      <c r="C19" s="1021">
        <v>0.1268</v>
      </c>
      <c r="D19" s="218">
        <v>2.0276999999999998</v>
      </c>
      <c r="E19" s="219">
        <v>0.2571</v>
      </c>
    </row>
    <row r="20" spans="1:5" ht="15.6" hidden="1">
      <c r="A20" s="1162" t="s">
        <v>118</v>
      </c>
      <c r="B20" s="1163">
        <v>30</v>
      </c>
      <c r="C20" s="1164" t="s">
        <v>113</v>
      </c>
      <c r="D20" s="212" t="s">
        <v>113</v>
      </c>
      <c r="E20" s="213" t="s">
        <v>113</v>
      </c>
    </row>
    <row r="21" spans="1:5" ht="15.75" hidden="1" customHeight="1">
      <c r="A21" s="1019" t="s">
        <v>119</v>
      </c>
      <c r="B21" s="1020">
        <v>39</v>
      </c>
      <c r="C21" s="1021">
        <v>0.26840000000000003</v>
      </c>
      <c r="D21" s="218">
        <v>1.3575999999999999</v>
      </c>
      <c r="E21" s="219">
        <v>0.36430000000000001</v>
      </c>
    </row>
    <row r="22" spans="1:5" ht="15.75" customHeight="1">
      <c r="A22" s="1162" t="s">
        <v>120</v>
      </c>
      <c r="B22" s="1163">
        <v>152</v>
      </c>
      <c r="C22" s="1164">
        <v>0.26829999999999998</v>
      </c>
      <c r="D22" s="212">
        <v>4.6699999999999998E-2</v>
      </c>
      <c r="E22" s="213">
        <v>1.2500000000000001E-2</v>
      </c>
    </row>
    <row r="23" spans="1:5" ht="15.75" hidden="1" customHeight="1">
      <c r="A23" s="1019" t="s">
        <v>121</v>
      </c>
      <c r="B23" s="1020">
        <v>9</v>
      </c>
      <c r="C23" s="1021">
        <v>0.13750000000000001</v>
      </c>
      <c r="D23" s="218">
        <v>4.82E-2</v>
      </c>
      <c r="E23" s="219">
        <v>6.6E-3</v>
      </c>
    </row>
    <row r="24" spans="1:5" ht="15.75" hidden="1" customHeight="1">
      <c r="A24" s="1162" t="s">
        <v>122</v>
      </c>
      <c r="B24" s="1163">
        <v>31</v>
      </c>
      <c r="C24" s="1164">
        <v>8.7099999999999997E-2</v>
      </c>
      <c r="D24" s="212">
        <v>0.69399999999999995</v>
      </c>
      <c r="E24" s="213">
        <v>6.0499999999999998E-2</v>
      </c>
    </row>
    <row r="25" spans="1:5" ht="15.75" hidden="1" customHeight="1">
      <c r="A25" s="1019" t="s">
        <v>123</v>
      </c>
      <c r="B25" s="1020">
        <v>4</v>
      </c>
      <c r="C25" s="1021">
        <v>5.3499999999999999E-2</v>
      </c>
      <c r="D25" s="218">
        <v>0.21429999999999999</v>
      </c>
      <c r="E25" s="219">
        <v>1.15E-2</v>
      </c>
    </row>
    <row r="26" spans="1:5" ht="15.75" hidden="1" customHeight="1">
      <c r="A26" s="1162" t="s">
        <v>124</v>
      </c>
      <c r="B26" s="1163">
        <v>60</v>
      </c>
      <c r="C26" s="1164">
        <v>0.11310000000000001</v>
      </c>
      <c r="D26" s="212">
        <v>0.54300000000000004</v>
      </c>
      <c r="E26" s="213">
        <v>6.1400000000000003E-2</v>
      </c>
    </row>
    <row r="27" spans="1:5" ht="15.75" hidden="1" customHeight="1">
      <c r="A27" s="1019" t="s">
        <v>125</v>
      </c>
      <c r="B27" s="1020">
        <v>16</v>
      </c>
      <c r="C27" s="1021">
        <v>0.13139999999999999</v>
      </c>
      <c r="D27" s="218">
        <v>0.78420000000000001</v>
      </c>
      <c r="E27" s="219">
        <v>0.10299999999999999</v>
      </c>
    </row>
    <row r="28" spans="1:5" ht="15.75" hidden="1" customHeight="1">
      <c r="A28" s="1162" t="s">
        <v>126</v>
      </c>
      <c r="B28" s="1163">
        <v>63</v>
      </c>
      <c r="C28" s="1164">
        <v>0.2051</v>
      </c>
      <c r="D28" s="212">
        <v>-0.13519999999999999</v>
      </c>
      <c r="E28" s="213">
        <v>-2.7699999999999999E-2</v>
      </c>
    </row>
    <row r="29" spans="1:5" ht="15.75" hidden="1" customHeight="1">
      <c r="A29" s="1019" t="s">
        <v>127</v>
      </c>
      <c r="B29" s="1020">
        <v>35</v>
      </c>
      <c r="C29" s="1021">
        <v>0.41410000000000002</v>
      </c>
      <c r="D29" s="218">
        <v>2.18E-2</v>
      </c>
      <c r="E29" s="219">
        <v>8.9999999999999993E-3</v>
      </c>
    </row>
    <row r="30" spans="1:5" ht="15.75" hidden="1" customHeight="1">
      <c r="A30" s="1162" t="s">
        <v>128</v>
      </c>
      <c r="B30" s="1163">
        <v>46</v>
      </c>
      <c r="C30" s="1164">
        <v>0.18410000000000001</v>
      </c>
      <c r="D30" s="212">
        <v>0.42330000000000001</v>
      </c>
      <c r="E30" s="213">
        <v>7.7899999999999997E-2</v>
      </c>
    </row>
    <row r="31" spans="1:5" ht="15.75" hidden="1" customHeight="1">
      <c r="A31" s="1019" t="s">
        <v>129</v>
      </c>
      <c r="B31" s="1020">
        <v>21</v>
      </c>
      <c r="C31" s="1021">
        <v>0.2465</v>
      </c>
      <c r="D31" s="218">
        <v>0.1087</v>
      </c>
      <c r="E31" s="219">
        <v>2.6800000000000001E-2</v>
      </c>
    </row>
    <row r="32" spans="1:5" ht="15.75" hidden="1" customHeight="1">
      <c r="A32" s="1162" t="s">
        <v>130</v>
      </c>
      <c r="B32" s="1163">
        <v>535</v>
      </c>
      <c r="C32" s="1164">
        <v>3.0800000000000001E-2</v>
      </c>
      <c r="D32" s="212" t="s">
        <v>113</v>
      </c>
      <c r="E32" s="213" t="s">
        <v>113</v>
      </c>
    </row>
    <row r="33" spans="1:5" ht="15.75" hidden="1" customHeight="1">
      <c r="A33" s="1019" t="s">
        <v>131</v>
      </c>
      <c r="B33" s="1020">
        <v>231</v>
      </c>
      <c r="C33" s="1021">
        <v>0.14080000000000001</v>
      </c>
      <c r="D33" s="218">
        <v>1.1761999999999999</v>
      </c>
      <c r="E33" s="219">
        <v>0.1656</v>
      </c>
    </row>
    <row r="34" spans="1:5" ht="15.75" hidden="1" customHeight="1">
      <c r="A34" s="1162" t="s">
        <v>132</v>
      </c>
      <c r="B34" s="1163">
        <v>29</v>
      </c>
      <c r="C34" s="1164">
        <v>0.1186</v>
      </c>
      <c r="D34" s="212">
        <v>0.30449999999999999</v>
      </c>
      <c r="E34" s="213">
        <v>3.61E-2</v>
      </c>
    </row>
    <row r="35" spans="1:5" ht="15.75" hidden="1" customHeight="1">
      <c r="A35" s="1019" t="s">
        <v>133</v>
      </c>
      <c r="B35" s="1020">
        <v>101</v>
      </c>
      <c r="C35" s="1021">
        <v>0.12230000000000001</v>
      </c>
      <c r="D35" s="218">
        <v>2.0270999999999999</v>
      </c>
      <c r="E35" s="219">
        <v>0.24779999999999999</v>
      </c>
    </row>
    <row r="36" spans="1:5" ht="15.75" hidden="1" customHeight="1">
      <c r="A36" s="1162" t="s">
        <v>134</v>
      </c>
      <c r="B36" s="1163">
        <v>11</v>
      </c>
      <c r="C36" s="1164">
        <v>-5.8099999999999999E-2</v>
      </c>
      <c r="D36" s="212" t="s">
        <v>113</v>
      </c>
      <c r="E36" s="213" t="s">
        <v>113</v>
      </c>
    </row>
    <row r="37" spans="1:5" ht="15.75" hidden="1" customHeight="1">
      <c r="A37" s="1019" t="s">
        <v>135</v>
      </c>
      <c r="B37" s="1020">
        <v>122</v>
      </c>
      <c r="C37" s="1021">
        <v>0.13109999999999999</v>
      </c>
      <c r="D37" s="218">
        <v>0.5423</v>
      </c>
      <c r="E37" s="219">
        <v>7.1099999999999997E-2</v>
      </c>
    </row>
    <row r="38" spans="1:5" ht="15.75" hidden="1" customHeight="1">
      <c r="A38" s="1162" t="s">
        <v>136</v>
      </c>
      <c r="B38" s="1163">
        <v>42</v>
      </c>
      <c r="C38" s="1164">
        <v>0.19159999999999999</v>
      </c>
      <c r="D38" s="212">
        <v>0.84199999999999997</v>
      </c>
      <c r="E38" s="213">
        <v>0.1613</v>
      </c>
    </row>
    <row r="39" spans="1:5" ht="15.75" hidden="1" customHeight="1">
      <c r="A39" s="1019" t="s">
        <v>137</v>
      </c>
      <c r="B39" s="1020">
        <v>96</v>
      </c>
      <c r="C39" s="1021">
        <v>9.9400000000000002E-2</v>
      </c>
      <c r="D39" s="218">
        <v>-0.71189999999999998</v>
      </c>
      <c r="E39" s="219">
        <v>-7.0800000000000002E-2</v>
      </c>
    </row>
    <row r="40" spans="1:5" ht="15.75" hidden="1" customHeight="1">
      <c r="A40" s="1162" t="s">
        <v>138</v>
      </c>
      <c r="B40" s="1163">
        <v>50</v>
      </c>
      <c r="C40" s="1164">
        <v>0.31719999999999998</v>
      </c>
      <c r="D40" s="212">
        <v>0.58979999999999999</v>
      </c>
      <c r="E40" s="213">
        <v>0.18709999999999999</v>
      </c>
    </row>
    <row r="41" spans="1:5" ht="15.75" hidden="1" customHeight="1">
      <c r="A41" s="1019" t="s">
        <v>139</v>
      </c>
      <c r="B41" s="1020">
        <v>35</v>
      </c>
      <c r="C41" s="1021">
        <v>9.9699999999999997E-2</v>
      </c>
      <c r="D41" s="218">
        <v>0.44800000000000001</v>
      </c>
      <c r="E41" s="219">
        <v>4.4600000000000001E-2</v>
      </c>
    </row>
    <row r="42" spans="1:5" ht="15.75" hidden="1" customHeight="1">
      <c r="A42" s="1162" t="s">
        <v>254</v>
      </c>
      <c r="B42" s="1163">
        <v>166</v>
      </c>
      <c r="C42" s="1164" t="s">
        <v>113</v>
      </c>
      <c r="D42" s="212">
        <v>0.14979999999999999</v>
      </c>
      <c r="E42" s="213" t="s">
        <v>113</v>
      </c>
    </row>
    <row r="43" spans="1:5" ht="15.75" hidden="1" customHeight="1">
      <c r="A43" s="1019" t="s">
        <v>141</v>
      </c>
      <c r="B43" s="1020">
        <v>77</v>
      </c>
      <c r="C43" s="1021">
        <v>0.17899999999999999</v>
      </c>
      <c r="D43" s="218">
        <v>0.41589999999999999</v>
      </c>
      <c r="E43" s="219">
        <v>7.4399999999999994E-2</v>
      </c>
    </row>
    <row r="44" spans="1:5" ht="15.75" hidden="1" customHeight="1">
      <c r="A44" s="1162" t="s">
        <v>142</v>
      </c>
      <c r="B44" s="1163">
        <v>14</v>
      </c>
      <c r="C44" s="1164">
        <v>0.17299999999999999</v>
      </c>
      <c r="D44" s="212">
        <v>0.72299999999999998</v>
      </c>
      <c r="E44" s="213">
        <v>0.12509999999999999</v>
      </c>
    </row>
    <row r="45" spans="1:5" ht="15.75" hidden="1" customHeight="1">
      <c r="A45" s="1019" t="s">
        <v>143</v>
      </c>
      <c r="B45" s="1020">
        <v>28</v>
      </c>
      <c r="C45" s="1021">
        <v>0.1065</v>
      </c>
      <c r="D45" s="218">
        <v>0.115</v>
      </c>
      <c r="E45" s="219">
        <v>1.23E-2</v>
      </c>
    </row>
    <row r="46" spans="1:5" ht="15.75" hidden="1" customHeight="1">
      <c r="A46" s="1162" t="s">
        <v>144</v>
      </c>
      <c r="B46" s="1163">
        <v>18</v>
      </c>
      <c r="C46" s="1164">
        <v>3.6700000000000003E-2</v>
      </c>
      <c r="D46" s="212">
        <v>1.5993999999999999</v>
      </c>
      <c r="E46" s="213">
        <v>5.8700000000000002E-2</v>
      </c>
    </row>
    <row r="47" spans="1:5" ht="15.75" hidden="1" customHeight="1">
      <c r="A47" s="1019" t="s">
        <v>145</v>
      </c>
      <c r="B47" s="1020">
        <v>218</v>
      </c>
      <c r="C47" s="1021">
        <v>0.14710000000000001</v>
      </c>
      <c r="D47" s="218">
        <v>0.55459999999999998</v>
      </c>
      <c r="E47" s="219">
        <v>8.1600000000000006E-2</v>
      </c>
    </row>
    <row r="48" spans="1:5" ht="15.75" hidden="1" customHeight="1">
      <c r="A48" s="1162" t="s">
        <v>146</v>
      </c>
      <c r="B48" s="1163">
        <v>113</v>
      </c>
      <c r="C48" s="1164">
        <v>0.44600000000000001</v>
      </c>
      <c r="D48" s="212">
        <v>0.45950000000000002</v>
      </c>
      <c r="E48" s="213">
        <v>0.20499999999999999</v>
      </c>
    </row>
    <row r="49" spans="1:5" ht="15.75" hidden="1" customHeight="1">
      <c r="A49" s="1019" t="s">
        <v>255</v>
      </c>
      <c r="B49" s="1020">
        <v>116</v>
      </c>
      <c r="C49" s="1021">
        <v>0.12740000000000001</v>
      </c>
      <c r="D49" s="218">
        <v>0.38030000000000003</v>
      </c>
      <c r="E49" s="219">
        <v>4.8500000000000001E-2</v>
      </c>
    </row>
    <row r="50" spans="1:5" ht="15.75" hidden="1" customHeight="1">
      <c r="A50" s="1162" t="s">
        <v>148</v>
      </c>
      <c r="B50" s="1163">
        <v>30</v>
      </c>
      <c r="C50" s="1164">
        <v>0.21049999999999999</v>
      </c>
      <c r="D50" s="212">
        <v>0.51380000000000003</v>
      </c>
      <c r="E50" s="213">
        <v>0.1081</v>
      </c>
    </row>
    <row r="51" spans="1:5" ht="15.75" hidden="1" customHeight="1">
      <c r="A51" s="1019" t="s">
        <v>149</v>
      </c>
      <c r="B51" s="1020">
        <v>33</v>
      </c>
      <c r="C51" s="1021">
        <v>0.21190000000000001</v>
      </c>
      <c r="D51" s="1165">
        <v>0.33960000000000001</v>
      </c>
      <c r="E51" s="1166">
        <v>7.1999999999999995E-2</v>
      </c>
    </row>
    <row r="52" spans="1:5" ht="15.75" hidden="1" customHeight="1">
      <c r="A52" s="1162" t="s">
        <v>150</v>
      </c>
      <c r="B52" s="1163">
        <v>65</v>
      </c>
      <c r="C52" s="1164">
        <v>0.1217</v>
      </c>
      <c r="D52" s="212">
        <v>0.25419999999999998</v>
      </c>
      <c r="E52" s="213">
        <v>3.09E-2</v>
      </c>
    </row>
    <row r="53" spans="1:5" ht="15.75" hidden="1" customHeight="1">
      <c r="A53" s="1019" t="s">
        <v>151</v>
      </c>
      <c r="B53" s="1020">
        <v>101</v>
      </c>
      <c r="C53" s="1021">
        <v>0.33560000000000001</v>
      </c>
      <c r="D53" s="218">
        <v>1.2999999999999999E-2</v>
      </c>
      <c r="E53" s="219">
        <v>4.3E-3</v>
      </c>
    </row>
    <row r="54" spans="1:5" ht="15.75" hidden="1" customHeight="1">
      <c r="A54" s="1162" t="s">
        <v>152</v>
      </c>
      <c r="B54" s="1163">
        <v>16</v>
      </c>
      <c r="C54" s="1164">
        <v>0.2455</v>
      </c>
      <c r="D54" s="212">
        <v>0.4471</v>
      </c>
      <c r="E54" s="213">
        <v>0.10979999999999999</v>
      </c>
    </row>
    <row r="55" spans="1:5" ht="15.75" hidden="1" customHeight="1">
      <c r="A55" s="1019" t="s">
        <v>153</v>
      </c>
      <c r="B55" s="1020">
        <v>22</v>
      </c>
      <c r="C55" s="1021">
        <v>0.17449999999999999</v>
      </c>
      <c r="D55" s="218">
        <v>0.2409</v>
      </c>
      <c r="E55" s="219">
        <v>4.2000000000000003E-2</v>
      </c>
    </row>
    <row r="56" spans="1:5" ht="15.75" hidden="1" customHeight="1">
      <c r="A56" s="1162" t="s">
        <v>154</v>
      </c>
      <c r="B56" s="1163">
        <v>19</v>
      </c>
      <c r="C56" s="1164">
        <v>6.9599999999999995E-2</v>
      </c>
      <c r="D56" s="212">
        <v>-1.2800000000000001E-2</v>
      </c>
      <c r="E56" s="213">
        <v>-8.9999999999999998E-4</v>
      </c>
    </row>
    <row r="57" spans="1:5" ht="15.75" hidden="1" customHeight="1">
      <c r="A57" s="1019" t="s">
        <v>155</v>
      </c>
      <c r="B57" s="1020">
        <v>53</v>
      </c>
      <c r="C57" s="1021">
        <v>0.21990000000000001</v>
      </c>
      <c r="D57" s="218">
        <v>0.2266</v>
      </c>
      <c r="E57" s="219">
        <v>4.9799999999999997E-2</v>
      </c>
    </row>
    <row r="58" spans="1:5" ht="15.75" hidden="1" customHeight="1">
      <c r="A58" s="1162" t="s">
        <v>156</v>
      </c>
      <c r="B58" s="1163">
        <v>231</v>
      </c>
      <c r="C58" s="1164">
        <v>6.8000000000000005E-2</v>
      </c>
      <c r="D58" s="212">
        <v>0.48859999999999998</v>
      </c>
      <c r="E58" s="213">
        <v>3.32E-2</v>
      </c>
    </row>
    <row r="59" spans="1:5" ht="15.75" hidden="1" customHeight="1">
      <c r="A59" s="1019" t="s">
        <v>157</v>
      </c>
      <c r="B59" s="1020">
        <v>109</v>
      </c>
      <c r="C59" s="1021">
        <v>0.24759999999999999</v>
      </c>
      <c r="D59" s="218">
        <v>0.35899999999999999</v>
      </c>
      <c r="E59" s="219">
        <v>8.8900000000000007E-2</v>
      </c>
    </row>
    <row r="60" spans="1:5" ht="15.75" hidden="1" customHeight="1">
      <c r="A60" s="1162" t="s">
        <v>158</v>
      </c>
      <c r="B60" s="1163">
        <v>64</v>
      </c>
      <c r="C60" s="1164">
        <v>0.27129999999999999</v>
      </c>
      <c r="D60" s="212">
        <v>0.57079999999999997</v>
      </c>
      <c r="E60" s="213">
        <v>0.15490000000000001</v>
      </c>
    </row>
    <row r="61" spans="1:5" ht="15.75" hidden="1" customHeight="1">
      <c r="A61" s="1019" t="s">
        <v>159</v>
      </c>
      <c r="B61" s="1020">
        <v>14</v>
      </c>
      <c r="C61" s="1021">
        <v>0.15</v>
      </c>
      <c r="D61" s="218">
        <v>-0.22159999999999999</v>
      </c>
      <c r="E61" s="219">
        <v>-3.32E-2</v>
      </c>
    </row>
    <row r="62" spans="1:5" ht="15.75" hidden="1" customHeight="1">
      <c r="A62" s="1162" t="s">
        <v>160</v>
      </c>
      <c r="B62" s="1163">
        <v>4</v>
      </c>
      <c r="C62" s="1164">
        <v>0.129</v>
      </c>
      <c r="D62" s="212">
        <v>0.2828</v>
      </c>
      <c r="E62" s="213">
        <v>3.6499999999999998E-2</v>
      </c>
    </row>
    <row r="63" spans="1:5" ht="15.75" hidden="1" customHeight="1">
      <c r="A63" s="1019" t="s">
        <v>256</v>
      </c>
      <c r="B63" s="1020">
        <v>147</v>
      </c>
      <c r="C63" s="1021">
        <v>0.1862</v>
      </c>
      <c r="D63" s="218">
        <v>0.74390000000000001</v>
      </c>
      <c r="E63" s="219">
        <v>0.13850000000000001</v>
      </c>
    </row>
    <row r="64" spans="1:5" ht="15.75" hidden="1" customHeight="1">
      <c r="A64" s="1162" t="s">
        <v>162</v>
      </c>
      <c r="B64" s="1163">
        <v>24</v>
      </c>
      <c r="C64" s="1164">
        <v>0.12180000000000001</v>
      </c>
      <c r="D64" s="212">
        <v>0.64749999999999996</v>
      </c>
      <c r="E64" s="213">
        <v>7.8799999999999995E-2</v>
      </c>
    </row>
    <row r="65" spans="1:5" ht="15.75" hidden="1" customHeight="1">
      <c r="A65" s="1019" t="s">
        <v>163</v>
      </c>
      <c r="B65" s="1020">
        <v>97</v>
      </c>
      <c r="C65" s="1021">
        <v>0.14369999999999999</v>
      </c>
      <c r="D65" s="218">
        <v>-1.49E-2</v>
      </c>
      <c r="E65" s="219">
        <v>-2.0999999999999999E-3</v>
      </c>
    </row>
    <row r="66" spans="1:5" ht="15.75" hidden="1" customHeight="1">
      <c r="A66" s="1162" t="s">
        <v>164</v>
      </c>
      <c r="B66" s="1163">
        <v>22</v>
      </c>
      <c r="C66" s="1164">
        <v>0.1449</v>
      </c>
      <c r="D66" s="212">
        <v>0.14130000000000001</v>
      </c>
      <c r="E66" s="213">
        <v>2.0500000000000001E-2</v>
      </c>
    </row>
    <row r="67" spans="1:5" ht="15.75" hidden="1" customHeight="1">
      <c r="A67" s="1019" t="s">
        <v>165</v>
      </c>
      <c r="B67" s="1020">
        <v>6</v>
      </c>
      <c r="C67" s="1021">
        <v>0.19420000000000001</v>
      </c>
      <c r="D67" s="218">
        <v>0.82130000000000003</v>
      </c>
      <c r="E67" s="219">
        <v>0.1595</v>
      </c>
    </row>
    <row r="68" spans="1:5" ht="15.75" hidden="1" customHeight="1">
      <c r="A68" s="1162" t="s">
        <v>166</v>
      </c>
      <c r="B68" s="1163">
        <v>48</v>
      </c>
      <c r="C68" s="1164">
        <v>6.5600000000000006E-2</v>
      </c>
      <c r="D68" s="212">
        <v>1.4296</v>
      </c>
      <c r="E68" s="213">
        <v>9.3899999999999997E-2</v>
      </c>
    </row>
    <row r="69" spans="1:5" ht="15.75" hidden="1" customHeight="1">
      <c r="A69" s="1019" t="s">
        <v>167</v>
      </c>
      <c r="B69" s="1020">
        <v>60</v>
      </c>
      <c r="C69" s="1021">
        <v>0.1293</v>
      </c>
      <c r="D69" s="218">
        <v>0.58809999999999996</v>
      </c>
      <c r="E69" s="219">
        <v>7.5999999999999998E-2</v>
      </c>
    </row>
    <row r="70" spans="1:5" ht="15.75" hidden="1" customHeight="1">
      <c r="A70" s="1162" t="s">
        <v>168</v>
      </c>
      <c r="B70" s="1163">
        <v>19</v>
      </c>
      <c r="C70" s="1164">
        <v>0.15529999999999999</v>
      </c>
      <c r="D70" s="212">
        <v>-3.2300000000000002E-2</v>
      </c>
      <c r="E70" s="213">
        <v>-5.0000000000000001E-3</v>
      </c>
    </row>
    <row r="71" spans="1:5" ht="15.75" hidden="1" customHeight="1">
      <c r="A71" s="1019" t="s">
        <v>169</v>
      </c>
      <c r="B71" s="1020">
        <v>192</v>
      </c>
      <c r="C71" s="1021">
        <v>3.09E-2</v>
      </c>
      <c r="D71" s="218">
        <v>-0.65810000000000002</v>
      </c>
      <c r="E71" s="219">
        <v>-2.0400000000000001E-2</v>
      </c>
    </row>
    <row r="72" spans="1:5" ht="15.75" hidden="1" customHeight="1">
      <c r="A72" s="1162" t="s">
        <v>170</v>
      </c>
      <c r="B72" s="1163">
        <v>15</v>
      </c>
      <c r="C72" s="1164">
        <v>3.73E-2</v>
      </c>
      <c r="D72" s="212">
        <v>-1.0604</v>
      </c>
      <c r="E72" s="213">
        <v>-3.9600000000000003E-2</v>
      </c>
    </row>
    <row r="73" spans="1:5" ht="15.75" hidden="1" customHeight="1">
      <c r="A73" s="1019" t="s">
        <v>171</v>
      </c>
      <c r="B73" s="1020">
        <v>11</v>
      </c>
      <c r="C73" s="1021">
        <v>3.9699999999999999E-2</v>
      </c>
      <c r="D73" s="218">
        <v>1.0821000000000001</v>
      </c>
      <c r="E73" s="219">
        <v>4.2999999999999997E-2</v>
      </c>
    </row>
    <row r="74" spans="1:5" ht="15.75" hidden="1" customHeight="1">
      <c r="A74" s="1162" t="s">
        <v>257</v>
      </c>
      <c r="B74" s="1163">
        <v>60</v>
      </c>
      <c r="C74" s="1164">
        <v>2.8799999999999999E-2</v>
      </c>
      <c r="D74" s="212">
        <v>3.6429999999999998</v>
      </c>
      <c r="E74" s="213">
        <v>0.1048</v>
      </c>
    </row>
    <row r="75" spans="1:5" ht="15.75" hidden="1" customHeight="1">
      <c r="A75" s="1019" t="s">
        <v>173</v>
      </c>
      <c r="B75" s="1020">
        <v>50</v>
      </c>
      <c r="C75" s="1021">
        <v>7.9500000000000001E-2</v>
      </c>
      <c r="D75" s="218">
        <v>0.14849999999999999</v>
      </c>
      <c r="E75" s="219">
        <v>1.18E-2</v>
      </c>
    </row>
    <row r="76" spans="1:5" ht="15.75" hidden="1" customHeight="1">
      <c r="A76" s="1162" t="s">
        <v>174</v>
      </c>
      <c r="B76" s="1163">
        <v>1</v>
      </c>
      <c r="C76" s="1164">
        <v>9.8900000000000002E-2</v>
      </c>
      <c r="D76" s="212">
        <v>0.51080000000000003</v>
      </c>
      <c r="E76" s="213">
        <v>5.0500000000000003E-2</v>
      </c>
    </row>
    <row r="77" spans="1:5" ht="15.75" hidden="1" customHeight="1">
      <c r="A77" s="1019" t="s">
        <v>175</v>
      </c>
      <c r="B77" s="1020">
        <v>62</v>
      </c>
      <c r="C77" s="1021">
        <v>0.2039</v>
      </c>
      <c r="D77" s="218">
        <v>0.38719999999999999</v>
      </c>
      <c r="E77" s="219">
        <v>7.9000000000000001E-2</v>
      </c>
    </row>
    <row r="78" spans="1:5" ht="15.75" hidden="1" customHeight="1">
      <c r="A78" s="1162" t="s">
        <v>176</v>
      </c>
      <c r="B78" s="1163">
        <v>29</v>
      </c>
      <c r="C78" s="1164">
        <v>0.1212</v>
      </c>
      <c r="D78" s="212">
        <v>0.82899999999999996</v>
      </c>
      <c r="E78" s="213">
        <v>0.1004</v>
      </c>
    </row>
    <row r="79" spans="1:5" ht="15.75" hidden="1" customHeight="1">
      <c r="A79" s="1019" t="s">
        <v>177</v>
      </c>
      <c r="B79" s="1020">
        <v>13</v>
      </c>
      <c r="C79" s="1021">
        <v>0.36280000000000001</v>
      </c>
      <c r="D79" s="218">
        <v>0.71689999999999998</v>
      </c>
      <c r="E79" s="219">
        <v>0.2601</v>
      </c>
    </row>
    <row r="80" spans="1:5" ht="15.75" hidden="1" customHeight="1">
      <c r="A80" s="1162" t="s">
        <v>178</v>
      </c>
      <c r="B80" s="1163">
        <v>66</v>
      </c>
      <c r="C80" s="1164">
        <v>0.1754</v>
      </c>
      <c r="D80" s="212">
        <v>1.0195000000000001</v>
      </c>
      <c r="E80" s="213">
        <v>0.17879999999999999</v>
      </c>
    </row>
    <row r="81" spans="1:5" ht="15.75" hidden="1" customHeight="1">
      <c r="A81" s="1019" t="s">
        <v>179</v>
      </c>
      <c r="B81" s="1020">
        <v>24</v>
      </c>
      <c r="C81" s="1021">
        <v>0.1198</v>
      </c>
      <c r="D81" s="218">
        <v>0.46410000000000001</v>
      </c>
      <c r="E81" s="219">
        <v>5.5599999999999997E-2</v>
      </c>
    </row>
    <row r="82" spans="1:5" ht="15.75" hidden="1" customHeight="1">
      <c r="A82" s="1162" t="s">
        <v>180</v>
      </c>
      <c r="B82" s="1163">
        <v>17</v>
      </c>
      <c r="C82" s="1164">
        <v>9.2499999999999999E-2</v>
      </c>
      <c r="D82" s="212">
        <v>0.1469</v>
      </c>
      <c r="E82" s="213">
        <v>1.3599999999999999E-2</v>
      </c>
    </row>
    <row r="83" spans="1:5" ht="15.75" hidden="1" customHeight="1">
      <c r="A83" s="1019" t="s">
        <v>181</v>
      </c>
      <c r="B83" s="1020">
        <v>28</v>
      </c>
      <c r="C83" s="1021">
        <v>0.05</v>
      </c>
      <c r="D83" s="218">
        <v>-0.74880000000000002</v>
      </c>
      <c r="E83" s="219">
        <v>-3.7400000000000003E-2</v>
      </c>
    </row>
    <row r="84" spans="1:5" ht="15.75" hidden="1" customHeight="1">
      <c r="A84" s="1162" t="s">
        <v>182</v>
      </c>
      <c r="B84" s="1163">
        <v>98</v>
      </c>
      <c r="C84" s="1164">
        <v>0.17680000000000001</v>
      </c>
      <c r="D84" s="212">
        <v>0.2384</v>
      </c>
      <c r="E84" s="213">
        <v>4.2099999999999999E-2</v>
      </c>
    </row>
    <row r="85" spans="1:5" ht="15.75" hidden="1" customHeight="1">
      <c r="A85" s="1019" t="s">
        <v>183</v>
      </c>
      <c r="B85" s="1020">
        <v>3</v>
      </c>
      <c r="C85" s="1021">
        <v>5.7599999999999998E-2</v>
      </c>
      <c r="D85" s="218">
        <v>0.16170000000000001</v>
      </c>
      <c r="E85" s="219">
        <v>9.2999999999999992E-3</v>
      </c>
    </row>
    <row r="86" spans="1:5" ht="15.75" hidden="1" customHeight="1">
      <c r="A86" s="1162" t="s">
        <v>184</v>
      </c>
      <c r="B86" s="1163">
        <v>63</v>
      </c>
      <c r="C86" s="1164">
        <v>0.2114</v>
      </c>
      <c r="D86" s="212">
        <v>0.59309999999999996</v>
      </c>
      <c r="E86" s="213">
        <v>0.12540000000000001</v>
      </c>
    </row>
    <row r="87" spans="1:5" ht="15.75" hidden="1" customHeight="1">
      <c r="A87" s="1019" t="s">
        <v>185</v>
      </c>
      <c r="B87" s="1020">
        <v>30</v>
      </c>
      <c r="C87" s="1021">
        <v>0.24199999999999999</v>
      </c>
      <c r="D87" s="218">
        <v>4.6699999999999998E-2</v>
      </c>
      <c r="E87" s="219">
        <v>1.1299999999999999E-2</v>
      </c>
    </row>
    <row r="88" spans="1:5" ht="15.75" hidden="1" customHeight="1">
      <c r="A88" s="1162" t="s">
        <v>186</v>
      </c>
      <c r="B88" s="1163">
        <v>8</v>
      </c>
      <c r="C88" s="1164">
        <v>0.1323</v>
      </c>
      <c r="D88" s="212">
        <v>0.44180000000000003</v>
      </c>
      <c r="E88" s="213">
        <v>5.8500000000000003E-2</v>
      </c>
    </row>
    <row r="89" spans="1:5" ht="15.75" hidden="1" customHeight="1">
      <c r="A89" s="1019" t="s">
        <v>187</v>
      </c>
      <c r="B89" s="1020">
        <v>12</v>
      </c>
      <c r="C89" s="1021">
        <v>0.29120000000000001</v>
      </c>
      <c r="D89" s="218">
        <v>-8.2299999999999998E-2</v>
      </c>
      <c r="E89" s="219">
        <v>-2.4E-2</v>
      </c>
    </row>
    <row r="90" spans="1:5" ht="15.75" hidden="1" customHeight="1">
      <c r="A90" s="1162" t="s">
        <v>188</v>
      </c>
      <c r="B90" s="1163">
        <v>81</v>
      </c>
      <c r="C90" s="1164">
        <v>0.25290000000000001</v>
      </c>
      <c r="D90" s="212">
        <v>0.47970000000000002</v>
      </c>
      <c r="E90" s="213">
        <v>0.12130000000000001</v>
      </c>
    </row>
    <row r="91" spans="1:5" ht="15.75" hidden="1" customHeight="1">
      <c r="A91" s="1019" t="s">
        <v>189</v>
      </c>
      <c r="B91" s="1020">
        <v>29</v>
      </c>
      <c r="C91" s="1021">
        <v>2.93E-2</v>
      </c>
      <c r="D91" s="218">
        <v>3.7644000000000002</v>
      </c>
      <c r="E91" s="219">
        <v>0.1104</v>
      </c>
    </row>
    <row r="92" spans="1:5" ht="15.75" hidden="1" customHeight="1">
      <c r="A92" s="1162" t="s">
        <v>190</v>
      </c>
      <c r="B92" s="1163">
        <v>333</v>
      </c>
      <c r="C92" s="1164">
        <v>0.26850000000000002</v>
      </c>
      <c r="D92" s="212">
        <v>0.93540000000000001</v>
      </c>
      <c r="E92" s="213">
        <v>0.25119999999999998</v>
      </c>
    </row>
    <row r="93" spans="1:5" ht="15.75" hidden="1" customHeight="1">
      <c r="A93" s="1019" t="s">
        <v>191</v>
      </c>
      <c r="B93" s="1020">
        <v>27</v>
      </c>
      <c r="C93" s="1021">
        <v>0.1249</v>
      </c>
      <c r="D93" s="218">
        <v>0.60850000000000004</v>
      </c>
      <c r="E93" s="219">
        <v>7.5999999999999998E-2</v>
      </c>
    </row>
    <row r="94" spans="1:5" ht="15.75" hidden="1" customHeight="1">
      <c r="A94" s="1162" t="s">
        <v>192</v>
      </c>
      <c r="B94" s="1163">
        <v>11</v>
      </c>
      <c r="C94" s="1164">
        <v>8.3099999999999993E-2</v>
      </c>
      <c r="D94" s="212">
        <v>6.8199999999999997E-2</v>
      </c>
      <c r="E94" s="213">
        <v>5.7000000000000002E-3</v>
      </c>
    </row>
    <row r="95" spans="1:5" ht="15.75" hidden="1" customHeight="1">
      <c r="A95" s="1019" t="s">
        <v>193</v>
      </c>
      <c r="B95" s="1020">
        <v>61</v>
      </c>
      <c r="C95" s="1021">
        <v>0.2177</v>
      </c>
      <c r="D95" s="218">
        <v>1.5163</v>
      </c>
      <c r="E95" s="219">
        <v>0.3301</v>
      </c>
    </row>
    <row r="96" spans="1:5" ht="15.75" hidden="1" customHeight="1">
      <c r="A96" s="1162" t="s">
        <v>194</v>
      </c>
      <c r="B96" s="1163">
        <v>32</v>
      </c>
      <c r="C96" s="1164">
        <v>0.1169</v>
      </c>
      <c r="D96" s="212">
        <v>3.9E-2</v>
      </c>
      <c r="E96" s="213">
        <v>4.5999999999999999E-3</v>
      </c>
    </row>
    <row r="97" spans="1:26" ht="15.75" hidden="1" customHeight="1">
      <c r="A97" s="1019" t="s">
        <v>195</v>
      </c>
      <c r="B97" s="1020">
        <v>12</v>
      </c>
      <c r="C97" s="1021">
        <v>0.57899999999999996</v>
      </c>
      <c r="D97" s="218">
        <v>-1.3100000000000001E-2</v>
      </c>
      <c r="E97" s="219">
        <v>-7.6E-3</v>
      </c>
      <c r="F97" s="1"/>
      <c r="G97" s="1"/>
      <c r="H97" s="1"/>
      <c r="I97" s="1"/>
      <c r="J97" s="1"/>
      <c r="K97" s="1"/>
      <c r="L97" s="1"/>
      <c r="M97" s="1"/>
      <c r="N97" s="1"/>
      <c r="O97" s="1"/>
      <c r="P97" s="1"/>
      <c r="Q97" s="1"/>
      <c r="R97" s="1"/>
      <c r="S97" s="1"/>
      <c r="T97" s="1"/>
      <c r="U97" s="1"/>
      <c r="V97" s="1"/>
      <c r="W97" s="1"/>
      <c r="X97" s="1"/>
      <c r="Y97" s="1"/>
      <c r="Z97" s="1"/>
    </row>
    <row r="98" spans="1:26" ht="15.75" hidden="1" customHeight="1">
      <c r="A98" s="1162" t="s">
        <v>196</v>
      </c>
      <c r="B98" s="1163">
        <v>21</v>
      </c>
      <c r="C98" s="1164">
        <v>0.109</v>
      </c>
      <c r="D98" s="212">
        <v>1.0095000000000001</v>
      </c>
      <c r="E98" s="213">
        <v>0.11</v>
      </c>
      <c r="F98" s="1"/>
      <c r="G98" s="1"/>
      <c r="H98" s="1"/>
      <c r="I98" s="1"/>
      <c r="J98" s="1"/>
      <c r="K98" s="1"/>
      <c r="L98" s="1"/>
      <c r="M98" s="1"/>
      <c r="N98" s="1"/>
      <c r="O98" s="1"/>
      <c r="P98" s="1"/>
      <c r="Q98" s="1"/>
      <c r="R98" s="1"/>
      <c r="S98" s="1"/>
      <c r="T98" s="1"/>
      <c r="U98" s="1"/>
      <c r="V98" s="1"/>
      <c r="W98" s="1"/>
      <c r="X98" s="1"/>
      <c r="Y98" s="1"/>
      <c r="Z98" s="1"/>
    </row>
    <row r="99" spans="1:26" ht="15.75" hidden="1" customHeight="1">
      <c r="A99" s="1019" t="s">
        <v>197</v>
      </c>
      <c r="B99" s="1020">
        <v>4</v>
      </c>
      <c r="C99" s="1021">
        <v>0.15060000000000001</v>
      </c>
      <c r="D99" s="218">
        <v>0.31890000000000002</v>
      </c>
      <c r="E99" s="219">
        <v>4.8000000000000001E-2</v>
      </c>
      <c r="F99" s="1"/>
      <c r="G99" s="1"/>
      <c r="H99" s="1"/>
      <c r="I99" s="1"/>
      <c r="J99" s="1"/>
      <c r="K99" s="1"/>
      <c r="L99" s="1"/>
      <c r="M99" s="1"/>
      <c r="N99" s="1"/>
      <c r="O99" s="1"/>
      <c r="P99" s="1"/>
      <c r="Q99" s="1"/>
      <c r="R99" s="1"/>
      <c r="S99" s="1"/>
      <c r="T99" s="1"/>
      <c r="U99" s="1"/>
      <c r="V99" s="1"/>
      <c r="W99" s="1"/>
      <c r="X99" s="1"/>
      <c r="Y99" s="1"/>
      <c r="Z99" s="1"/>
    </row>
    <row r="100" spans="1:26" ht="15.75" hidden="1" customHeight="1">
      <c r="A100" s="1162" t="s">
        <v>198</v>
      </c>
      <c r="B100" s="1163">
        <v>24</v>
      </c>
      <c r="C100" s="1164">
        <v>9.2999999999999999E-2</v>
      </c>
      <c r="D100" s="212">
        <v>1.6422000000000001</v>
      </c>
      <c r="E100" s="213">
        <v>0.1527</v>
      </c>
      <c r="F100" s="1"/>
      <c r="G100" s="1"/>
      <c r="H100" s="1"/>
      <c r="I100" s="1"/>
      <c r="J100" s="1"/>
      <c r="K100" s="1"/>
      <c r="L100" s="1"/>
      <c r="M100" s="1"/>
      <c r="N100" s="1"/>
      <c r="O100" s="1"/>
      <c r="P100" s="1"/>
      <c r="Q100" s="1"/>
      <c r="R100" s="1"/>
      <c r="S100" s="1"/>
      <c r="T100" s="1"/>
      <c r="U100" s="1"/>
      <c r="V100" s="1"/>
      <c r="W100" s="1"/>
      <c r="X100" s="1"/>
      <c r="Y100" s="1"/>
      <c r="Z100" s="1"/>
    </row>
    <row r="101" spans="1:26" ht="15.75" hidden="1" customHeight="1">
      <c r="A101" s="1019" t="s">
        <v>199</v>
      </c>
      <c r="B101" s="1020">
        <v>14</v>
      </c>
      <c r="C101" s="1021">
        <v>6.0499999999999998E-2</v>
      </c>
      <c r="D101" s="218">
        <v>1.5321</v>
      </c>
      <c r="E101" s="219">
        <v>9.2799999999999994E-2</v>
      </c>
      <c r="F101" s="1"/>
      <c r="G101" s="1"/>
      <c r="H101" s="1"/>
      <c r="I101" s="1"/>
      <c r="J101" s="1"/>
      <c r="K101" s="1"/>
      <c r="L101" s="1"/>
      <c r="M101" s="1"/>
      <c r="N101" s="1"/>
      <c r="O101" s="1"/>
      <c r="P101" s="1"/>
      <c r="Q101" s="1"/>
      <c r="R101" s="1"/>
      <c r="S101" s="1"/>
      <c r="T101" s="1"/>
      <c r="U101" s="1"/>
      <c r="V101" s="1"/>
      <c r="W101" s="1"/>
      <c r="X101" s="1"/>
      <c r="Y101" s="1"/>
      <c r="Z101" s="1"/>
    </row>
    <row r="102" spans="1:26" ht="15.75" hidden="1" customHeight="1">
      <c r="A102" s="1162" t="s">
        <v>200</v>
      </c>
      <c r="B102" s="1163">
        <v>15</v>
      </c>
      <c r="C102" s="1164">
        <v>8.7300000000000003E-2</v>
      </c>
      <c r="D102" s="212">
        <v>1.5665</v>
      </c>
      <c r="E102" s="213">
        <v>0.13669999999999999</v>
      </c>
      <c r="F102" s="1"/>
      <c r="G102" s="1"/>
      <c r="H102" s="1"/>
      <c r="I102" s="1"/>
      <c r="J102" s="1"/>
      <c r="K102" s="95"/>
      <c r="L102" s="95"/>
      <c r="M102" s="95"/>
      <c r="N102" s="95"/>
      <c r="O102" s="95"/>
      <c r="P102" s="95"/>
      <c r="Q102" s="95"/>
      <c r="R102" s="95"/>
      <c r="S102" s="95"/>
      <c r="T102" s="95"/>
      <c r="U102" s="95"/>
      <c r="V102" s="95"/>
      <c r="W102" s="95"/>
      <c r="X102" s="95"/>
      <c r="Y102" s="95"/>
      <c r="Z102" s="95"/>
    </row>
    <row r="103" spans="1:26" ht="15.75" hidden="1" customHeight="1">
      <c r="A103" s="1019" t="s">
        <v>201</v>
      </c>
      <c r="B103" s="1020">
        <v>6062</v>
      </c>
      <c r="C103" s="1021">
        <v>8.7300000000000003E-2</v>
      </c>
      <c r="D103" s="218">
        <v>0.4773</v>
      </c>
      <c r="E103" s="219">
        <v>4.1700000000000001E-2</v>
      </c>
      <c r="F103" s="1"/>
      <c r="G103" s="1"/>
      <c r="H103" s="1"/>
      <c r="I103" s="1"/>
      <c r="J103" s="1"/>
      <c r="K103" s="1"/>
      <c r="L103" s="1"/>
      <c r="M103" s="1"/>
      <c r="N103" s="1"/>
      <c r="O103" s="1"/>
      <c r="P103" s="1"/>
      <c r="Q103" s="1"/>
      <c r="R103" s="1"/>
      <c r="S103" s="1"/>
      <c r="T103" s="1"/>
      <c r="U103" s="1"/>
      <c r="V103" s="1"/>
      <c r="W103" s="1"/>
      <c r="X103" s="1"/>
      <c r="Y103" s="1"/>
      <c r="Z103" s="1"/>
    </row>
    <row r="104" spans="1:26" ht="15.75" hidden="1" customHeight="1">
      <c r="A104" s="1167" t="s">
        <v>258</v>
      </c>
      <c r="B104" s="1168">
        <v>4935</v>
      </c>
      <c r="C104" s="1169">
        <v>0.15010000000000001</v>
      </c>
      <c r="D104" s="226">
        <v>0.50790000000000002</v>
      </c>
      <c r="E104" s="227">
        <v>7.6200000000000004E-2</v>
      </c>
      <c r="F104" s="95"/>
      <c r="G104" s="95"/>
      <c r="H104" s="95"/>
      <c r="I104" s="95"/>
      <c r="J104" s="95"/>
      <c r="K104" s="95"/>
      <c r="L104" s="95"/>
      <c r="M104" s="95"/>
      <c r="N104" s="95"/>
      <c r="O104" s="95"/>
      <c r="P104" s="95"/>
      <c r="Q104" s="95"/>
      <c r="R104" s="95"/>
      <c r="S104" s="95"/>
      <c r="T104" s="95"/>
      <c r="U104" s="95"/>
      <c r="V104" s="95"/>
      <c r="W104" s="95"/>
      <c r="X104" s="95"/>
      <c r="Y104" s="95"/>
      <c r="Z104" s="95"/>
    </row>
    <row r="105" spans="1:26" ht="15.75" customHeight="1">
      <c r="A105" s="1170"/>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170"/>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170"/>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170"/>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170"/>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170"/>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170"/>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170"/>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1" ht="15.75" customHeight="1">
      <c r="A113" s="1170"/>
    </row>
    <row r="114" spans="1:1" ht="15.75" customHeight="1">
      <c r="A114" s="1170"/>
    </row>
    <row r="115" spans="1:1" ht="15.75" customHeight="1">
      <c r="A115" s="1170"/>
    </row>
    <row r="116" spans="1:1" ht="15.75" customHeight="1">
      <c r="A116" s="1170"/>
    </row>
    <row r="117" spans="1:1" ht="15.75" customHeight="1">
      <c r="A117" s="1170"/>
    </row>
    <row r="118" spans="1:1" ht="15.75" customHeight="1">
      <c r="A118" s="1170"/>
    </row>
    <row r="119" spans="1:1" ht="15.75" customHeight="1">
      <c r="A119" s="1170"/>
    </row>
    <row r="120" spans="1:1" ht="15.75" customHeight="1">
      <c r="A120" s="1170"/>
    </row>
    <row r="121" spans="1:1" ht="15.75" customHeight="1">
      <c r="A121" s="1170"/>
    </row>
    <row r="122" spans="1:1" ht="15.75" customHeight="1">
      <c r="A122" s="1170"/>
    </row>
    <row r="123" spans="1:1" ht="15.75" customHeight="1">
      <c r="A123" s="1170"/>
    </row>
    <row r="124" spans="1:1" ht="15.75" customHeight="1">
      <c r="A124" s="1170"/>
    </row>
    <row r="125" spans="1:1" ht="15.75" customHeight="1">
      <c r="A125" s="1170"/>
    </row>
    <row r="126" spans="1:1" ht="15.75" customHeight="1">
      <c r="A126" s="1170"/>
    </row>
    <row r="127" spans="1:1" ht="15.75" customHeight="1">
      <c r="A127" s="1170"/>
    </row>
    <row r="128" spans="1:1" ht="15.75" customHeight="1">
      <c r="A128" s="1170"/>
    </row>
    <row r="129" spans="1:1" ht="15.75" customHeight="1">
      <c r="A129" s="1170"/>
    </row>
    <row r="130" spans="1:1" ht="15.75" customHeight="1">
      <c r="A130" s="1170"/>
    </row>
    <row r="131" spans="1:1" ht="15.75" customHeight="1">
      <c r="A131" s="1170"/>
    </row>
    <row r="132" spans="1:1" ht="15.75" customHeight="1">
      <c r="A132" s="1170"/>
    </row>
    <row r="133" spans="1:1" ht="15.75" customHeight="1">
      <c r="A133" s="1170"/>
    </row>
    <row r="134" spans="1:1" ht="15.75" customHeight="1">
      <c r="A134" s="1170"/>
    </row>
    <row r="135" spans="1:1" ht="15.75" customHeight="1">
      <c r="A135" s="1170"/>
    </row>
    <row r="136" spans="1:1" ht="15.75" customHeight="1">
      <c r="A136" s="1170"/>
    </row>
    <row r="137" spans="1:1" ht="15.75" customHeight="1">
      <c r="A137" s="1170"/>
    </row>
    <row r="138" spans="1:1" ht="15.75" customHeight="1">
      <c r="A138" s="1170"/>
    </row>
    <row r="139" spans="1:1" ht="15.75" customHeight="1">
      <c r="A139" s="1170"/>
    </row>
    <row r="140" spans="1:1" ht="15.75" customHeight="1">
      <c r="A140" s="1170"/>
    </row>
    <row r="141" spans="1:1" ht="15.75" customHeight="1">
      <c r="A141" s="1170"/>
    </row>
    <row r="142" spans="1:1" ht="15.75" customHeight="1">
      <c r="A142" s="1170"/>
    </row>
    <row r="143" spans="1:1" ht="15.75" customHeight="1">
      <c r="A143" s="1170"/>
    </row>
    <row r="144" spans="1:1" ht="15.75" customHeight="1">
      <c r="A144" s="1170"/>
    </row>
    <row r="145" spans="1:1" ht="15.75" customHeight="1">
      <c r="A145" s="1170"/>
    </row>
    <row r="146" spans="1:1" ht="15.75" customHeight="1">
      <c r="A146" s="1170"/>
    </row>
    <row r="147" spans="1:1" ht="15.75" customHeight="1">
      <c r="A147" s="1170"/>
    </row>
    <row r="148" spans="1:1" ht="15.75" customHeight="1">
      <c r="A148" s="1170"/>
    </row>
    <row r="149" spans="1:1" ht="15.75" customHeight="1">
      <c r="A149" s="1170"/>
    </row>
    <row r="150" spans="1:1" ht="15.75" customHeight="1">
      <c r="A150" s="1170"/>
    </row>
    <row r="151" spans="1:1" ht="15.75" customHeight="1">
      <c r="A151" s="1170"/>
    </row>
    <row r="152" spans="1:1" ht="15.75" customHeight="1">
      <c r="A152" s="1170"/>
    </row>
    <row r="153" spans="1:1" ht="15.75" customHeight="1">
      <c r="A153" s="1170"/>
    </row>
    <row r="154" spans="1:1" ht="15.75" customHeight="1">
      <c r="A154" s="1170"/>
    </row>
    <row r="155" spans="1:1" ht="15.75" customHeight="1">
      <c r="A155" s="1170"/>
    </row>
    <row r="156" spans="1:1" ht="15.75" customHeight="1">
      <c r="A156" s="1170"/>
    </row>
    <row r="157" spans="1:1" ht="15.75" customHeight="1">
      <c r="A157" s="1170"/>
    </row>
    <row r="158" spans="1:1" ht="15.75" customHeight="1">
      <c r="A158" s="1170"/>
    </row>
    <row r="159" spans="1:1" ht="15.75" customHeight="1">
      <c r="A159" s="1170"/>
    </row>
    <row r="160" spans="1:1" ht="15.75" customHeight="1">
      <c r="A160" s="1170"/>
    </row>
    <row r="161" spans="1:1" ht="15.75" customHeight="1">
      <c r="A161" s="1170"/>
    </row>
    <row r="162" spans="1:1" ht="15.75" customHeight="1">
      <c r="A162" s="1170"/>
    </row>
    <row r="163" spans="1:1" ht="15.75" customHeight="1">
      <c r="A163" s="1170"/>
    </row>
    <row r="164" spans="1:1" ht="15.75" customHeight="1">
      <c r="A164" s="1170"/>
    </row>
    <row r="165" spans="1:1" ht="15.75" customHeight="1">
      <c r="A165" s="1170"/>
    </row>
    <row r="166" spans="1:1" ht="15.75" customHeight="1">
      <c r="A166" s="1170"/>
    </row>
    <row r="167" spans="1:1" ht="15.75" customHeight="1">
      <c r="A167" s="1170"/>
    </row>
    <row r="168" spans="1:1" ht="15.75" customHeight="1">
      <c r="A168" s="1170"/>
    </row>
    <row r="169" spans="1:1" ht="15.75" customHeight="1">
      <c r="A169" s="1170"/>
    </row>
    <row r="170" spans="1:1" ht="15.75" customHeight="1">
      <c r="A170" s="1170"/>
    </row>
    <row r="171" spans="1:1" ht="15.75" customHeight="1">
      <c r="A171" s="1170"/>
    </row>
    <row r="172" spans="1:1" ht="15.75" customHeight="1">
      <c r="A172" s="1170"/>
    </row>
    <row r="173" spans="1:1" ht="15.75" customHeight="1">
      <c r="A173" s="1170"/>
    </row>
    <row r="174" spans="1:1" ht="15.75" customHeight="1">
      <c r="A174" s="1170"/>
    </row>
    <row r="175" spans="1:1" ht="15.75" customHeight="1">
      <c r="A175" s="1170"/>
    </row>
    <row r="176" spans="1:1" ht="15.75" customHeight="1">
      <c r="A176" s="1170"/>
    </row>
    <row r="177" spans="1:1" ht="15.75" customHeight="1">
      <c r="A177" s="1170"/>
    </row>
    <row r="178" spans="1:1" ht="15.75" customHeight="1">
      <c r="A178" s="1170"/>
    </row>
    <row r="179" spans="1:1" ht="15.75" customHeight="1">
      <c r="A179" s="1170"/>
    </row>
    <row r="180" spans="1:1" ht="15.75" customHeight="1">
      <c r="A180" s="1170"/>
    </row>
    <row r="181" spans="1:1" ht="15.75" customHeight="1">
      <c r="A181" s="1170"/>
    </row>
    <row r="182" spans="1:1" ht="15.75" customHeight="1">
      <c r="A182" s="1170"/>
    </row>
    <row r="183" spans="1:1" ht="15.75" customHeight="1">
      <c r="A183" s="1170"/>
    </row>
    <row r="184" spans="1:1" ht="15.75" customHeight="1">
      <c r="A184" s="1170"/>
    </row>
    <row r="185" spans="1:1" ht="15.75" customHeight="1">
      <c r="A185" s="1170"/>
    </row>
    <row r="186" spans="1:1" ht="15.75" customHeight="1">
      <c r="A186" s="1170"/>
    </row>
    <row r="187" spans="1:1" ht="15.75" customHeight="1">
      <c r="A187" s="1170"/>
    </row>
    <row r="188" spans="1:1" ht="15.75" customHeight="1">
      <c r="A188" s="1170"/>
    </row>
    <row r="189" spans="1:1" ht="15.75" customHeight="1">
      <c r="A189" s="1170"/>
    </row>
    <row r="190" spans="1:1" ht="15.75" customHeight="1">
      <c r="A190" s="1170"/>
    </row>
    <row r="191" spans="1:1" ht="15.75" customHeight="1">
      <c r="A191" s="1170"/>
    </row>
    <row r="192" spans="1:1" ht="15.75" customHeight="1">
      <c r="A192" s="1170"/>
    </row>
    <row r="193" spans="1:1" ht="15.75" customHeight="1">
      <c r="A193" s="1170"/>
    </row>
    <row r="194" spans="1:1" ht="15.75" customHeight="1">
      <c r="A194" s="1170"/>
    </row>
    <row r="195" spans="1:1" ht="15.75" customHeight="1">
      <c r="A195" s="1170"/>
    </row>
    <row r="196" spans="1:1" ht="15.75" customHeight="1">
      <c r="A196" s="1170"/>
    </row>
    <row r="197" spans="1:1" ht="15.75" customHeight="1">
      <c r="A197" s="1170"/>
    </row>
    <row r="198" spans="1:1" ht="15.75" customHeight="1">
      <c r="A198" s="1170"/>
    </row>
    <row r="199" spans="1:1" ht="15.75" customHeight="1">
      <c r="A199" s="1170"/>
    </row>
    <row r="200" spans="1:1" ht="15.75" customHeight="1">
      <c r="A200" s="1170"/>
    </row>
    <row r="201" spans="1:1" ht="15.75" customHeight="1">
      <c r="A201" s="1170"/>
    </row>
    <row r="202" spans="1:1" ht="15.75" customHeight="1">
      <c r="A202" s="1170"/>
    </row>
    <row r="203" spans="1:1" ht="15.75" customHeight="1">
      <c r="A203" s="1170"/>
    </row>
    <row r="204" spans="1:1" ht="15.75" customHeight="1">
      <c r="A204" s="1170"/>
    </row>
    <row r="205" spans="1:1" ht="15.75" customHeight="1">
      <c r="A205" s="1170"/>
    </row>
    <row r="206" spans="1:1" ht="15.75" customHeight="1">
      <c r="A206" s="1170"/>
    </row>
    <row r="207" spans="1:1" ht="15.75" customHeight="1">
      <c r="A207" s="1170"/>
    </row>
    <row r="208" spans="1:1" ht="15.75" customHeight="1">
      <c r="A208" s="1170"/>
    </row>
    <row r="209" spans="1:1" ht="15.75" customHeight="1">
      <c r="A209" s="1170"/>
    </row>
    <row r="210" spans="1:1" ht="15.75" customHeight="1">
      <c r="A210" s="1170"/>
    </row>
    <row r="211" spans="1:1" ht="15.75" customHeight="1">
      <c r="A211" s="1170"/>
    </row>
    <row r="212" spans="1:1" ht="15.75" customHeight="1">
      <c r="A212" s="1170"/>
    </row>
    <row r="213" spans="1:1" ht="15.75" customHeight="1">
      <c r="A213" s="1170"/>
    </row>
    <row r="214" spans="1:1" ht="15.75" customHeight="1">
      <c r="A214" s="1170"/>
    </row>
    <row r="215" spans="1:1" ht="15.75" customHeight="1">
      <c r="A215" s="1170"/>
    </row>
    <row r="216" spans="1:1" ht="15.75" customHeight="1">
      <c r="A216" s="1170"/>
    </row>
    <row r="217" spans="1:1" ht="15.75" customHeight="1">
      <c r="A217" s="1170"/>
    </row>
    <row r="218" spans="1:1" ht="15.75" customHeight="1">
      <c r="A218" s="1170"/>
    </row>
    <row r="219" spans="1:1" ht="15.75" customHeight="1">
      <c r="A219" s="1170"/>
    </row>
    <row r="220" spans="1:1" ht="15.75" customHeight="1">
      <c r="A220" s="1170"/>
    </row>
    <row r="221" spans="1:1" ht="15.75" customHeight="1">
      <c r="A221" s="1170"/>
    </row>
    <row r="222" spans="1:1" ht="15.75" customHeight="1">
      <c r="A222" s="1170"/>
    </row>
    <row r="223" spans="1:1" ht="15.75" customHeight="1">
      <c r="A223" s="1170"/>
    </row>
    <row r="224" spans="1:1" ht="15.75" customHeight="1">
      <c r="A224" s="1170"/>
    </row>
    <row r="225" spans="1:1" ht="15.75" customHeight="1">
      <c r="A225" s="1170"/>
    </row>
    <row r="226" spans="1:1" ht="15.75" customHeight="1">
      <c r="A226" s="1170"/>
    </row>
    <row r="227" spans="1:1" ht="15.75" customHeight="1">
      <c r="A227" s="1170"/>
    </row>
    <row r="228" spans="1:1" ht="15.75" customHeight="1">
      <c r="A228" s="1170"/>
    </row>
    <row r="229" spans="1:1" ht="15.75" customHeight="1">
      <c r="A229" s="1170"/>
    </row>
    <row r="230" spans="1:1" ht="15.75" customHeight="1">
      <c r="A230" s="1170"/>
    </row>
    <row r="231" spans="1:1" ht="15.75" customHeight="1">
      <c r="A231" s="1170"/>
    </row>
    <row r="232" spans="1:1" ht="15.75" customHeight="1">
      <c r="A232" s="1170"/>
    </row>
    <row r="233" spans="1:1" ht="15.75" customHeight="1">
      <c r="A233" s="1170"/>
    </row>
    <row r="234" spans="1:1" ht="15.75" customHeight="1">
      <c r="A234" s="1170"/>
    </row>
    <row r="235" spans="1:1" ht="15.75" customHeight="1">
      <c r="A235" s="1170"/>
    </row>
    <row r="236" spans="1:1" ht="15.75" customHeight="1">
      <c r="A236" s="1170"/>
    </row>
    <row r="237" spans="1:1" ht="15.75" customHeight="1">
      <c r="A237" s="1170"/>
    </row>
    <row r="238" spans="1:1" ht="15.75" customHeight="1">
      <c r="A238" s="1170"/>
    </row>
    <row r="239" spans="1:1" ht="15.75" customHeight="1">
      <c r="A239" s="1170"/>
    </row>
    <row r="240" spans="1:1" ht="15.75" customHeight="1">
      <c r="A240" s="1170"/>
    </row>
    <row r="241" spans="1:1" ht="15.75" customHeight="1">
      <c r="A241" s="1170"/>
    </row>
    <row r="242" spans="1:1" ht="15.75" customHeight="1">
      <c r="A242" s="1170"/>
    </row>
    <row r="243" spans="1:1" ht="15.75" customHeight="1">
      <c r="A243" s="1170"/>
    </row>
    <row r="244" spans="1:1" ht="15.75" customHeight="1">
      <c r="A244" s="1170"/>
    </row>
    <row r="245" spans="1:1" ht="15.75" customHeight="1">
      <c r="A245" s="1170"/>
    </row>
    <row r="246" spans="1:1" ht="15.75" customHeight="1">
      <c r="A246" s="1170"/>
    </row>
    <row r="247" spans="1:1" ht="15.75" customHeight="1">
      <c r="A247" s="1170"/>
    </row>
    <row r="248" spans="1:1" ht="15.75" customHeight="1">
      <c r="A248" s="1170"/>
    </row>
    <row r="249" spans="1:1" ht="15.75" customHeight="1">
      <c r="A249" s="1170"/>
    </row>
    <row r="250" spans="1:1" ht="15.75" customHeight="1">
      <c r="A250" s="1170"/>
    </row>
    <row r="251" spans="1:1" ht="15.75" customHeight="1">
      <c r="A251" s="1170"/>
    </row>
    <row r="252" spans="1:1" ht="15.75" customHeight="1">
      <c r="A252" s="1170"/>
    </row>
    <row r="253" spans="1:1" ht="15.75" customHeight="1">
      <c r="A253" s="1170"/>
    </row>
    <row r="254" spans="1:1" ht="15.75" customHeight="1">
      <c r="A254" s="1170"/>
    </row>
    <row r="255" spans="1:1" ht="15.75" customHeight="1">
      <c r="A255" s="1170"/>
    </row>
    <row r="256" spans="1:1" ht="15.75" customHeight="1">
      <c r="A256" s="1170"/>
    </row>
    <row r="257" spans="1:1" ht="15.75" customHeight="1">
      <c r="A257" s="1170"/>
    </row>
    <row r="258" spans="1:1" ht="15.75" customHeight="1">
      <c r="A258" s="1170"/>
    </row>
    <row r="259" spans="1:1" ht="15.75" customHeight="1">
      <c r="A259" s="1170"/>
    </row>
    <row r="260" spans="1:1" ht="15.75" customHeight="1">
      <c r="A260" s="1170"/>
    </row>
    <row r="261" spans="1:1" ht="15.75" customHeight="1">
      <c r="A261" s="1170"/>
    </row>
    <row r="262" spans="1:1" ht="15.75" customHeight="1">
      <c r="A262" s="1170"/>
    </row>
    <row r="263" spans="1:1" ht="15.75" customHeight="1">
      <c r="A263" s="1170"/>
    </row>
    <row r="264" spans="1:1" ht="15.75" customHeight="1">
      <c r="A264" s="1170"/>
    </row>
    <row r="265" spans="1:1" ht="15.75" customHeight="1">
      <c r="A265" s="1170"/>
    </row>
    <row r="266" spans="1:1" ht="15.75" customHeight="1">
      <c r="A266" s="1170"/>
    </row>
    <row r="267" spans="1:1" ht="15.75" customHeight="1">
      <c r="A267" s="1170"/>
    </row>
    <row r="268" spans="1:1" ht="15.75" customHeight="1">
      <c r="A268" s="1170"/>
    </row>
    <row r="269" spans="1:1" ht="15.75" customHeight="1">
      <c r="A269" s="1170"/>
    </row>
    <row r="270" spans="1:1" ht="15.75" customHeight="1">
      <c r="A270" s="1170"/>
    </row>
    <row r="271" spans="1:1" ht="15.75" customHeight="1">
      <c r="A271" s="1170"/>
    </row>
    <row r="272" spans="1:1" ht="15.75" customHeight="1">
      <c r="A272" s="1170"/>
    </row>
    <row r="273" spans="1:1" ht="15.75" customHeight="1">
      <c r="A273" s="1170"/>
    </row>
    <row r="274" spans="1:1" ht="15.75" customHeight="1">
      <c r="A274" s="1170"/>
    </row>
    <row r="275" spans="1:1" ht="15.75" customHeight="1">
      <c r="A275" s="1170"/>
    </row>
    <row r="276" spans="1:1" ht="15.75" customHeight="1">
      <c r="A276" s="1170"/>
    </row>
    <row r="277" spans="1:1" ht="15.75" customHeight="1">
      <c r="A277" s="1170"/>
    </row>
    <row r="278" spans="1:1" ht="15.75" customHeight="1">
      <c r="A278" s="1170"/>
    </row>
    <row r="279" spans="1:1" ht="15.75" customHeight="1">
      <c r="A279" s="1170"/>
    </row>
    <row r="280" spans="1:1" ht="15.75" customHeight="1">
      <c r="A280" s="1170"/>
    </row>
    <row r="281" spans="1:1" ht="15.75" customHeight="1">
      <c r="A281" s="1170"/>
    </row>
    <row r="282" spans="1:1" ht="15.75" customHeight="1">
      <c r="A282" s="1170"/>
    </row>
    <row r="283" spans="1:1" ht="15.75" customHeight="1">
      <c r="A283" s="1170"/>
    </row>
    <row r="284" spans="1:1" ht="15.75" customHeight="1">
      <c r="A284" s="1170"/>
    </row>
    <row r="285" spans="1:1" ht="15.75" customHeight="1">
      <c r="A285" s="1170"/>
    </row>
    <row r="286" spans="1:1" ht="15.75" customHeight="1">
      <c r="A286" s="1170"/>
    </row>
    <row r="287" spans="1:1" ht="15.75" customHeight="1">
      <c r="A287" s="1170"/>
    </row>
    <row r="288" spans="1:1" ht="15.75" customHeight="1">
      <c r="A288" s="1170"/>
    </row>
    <row r="289" spans="1:1" ht="15.75" customHeight="1">
      <c r="A289" s="1170"/>
    </row>
    <row r="290" spans="1:1" ht="15.75" customHeight="1">
      <c r="A290" s="1170"/>
    </row>
    <row r="291" spans="1:1" ht="15.75" customHeight="1">
      <c r="A291" s="1170"/>
    </row>
    <row r="292" spans="1:1" ht="15.75" customHeight="1">
      <c r="A292" s="1170"/>
    </row>
    <row r="293" spans="1:1" ht="15.75" customHeight="1">
      <c r="A293" s="1170"/>
    </row>
    <row r="294" spans="1:1" ht="15.75" customHeight="1">
      <c r="A294" s="1170"/>
    </row>
    <row r="295" spans="1:1" ht="15.75" customHeight="1">
      <c r="A295" s="1170"/>
    </row>
    <row r="296" spans="1:1" ht="15.75" customHeight="1">
      <c r="A296" s="1170"/>
    </row>
    <row r="297" spans="1:1" ht="15.75" customHeight="1">
      <c r="A297" s="1170"/>
    </row>
    <row r="298" spans="1:1" ht="15.75" customHeight="1">
      <c r="A298" s="1170"/>
    </row>
    <row r="299" spans="1:1" ht="15.75" customHeight="1">
      <c r="A299" s="1170"/>
    </row>
    <row r="300" spans="1:1" ht="15.75" customHeight="1">
      <c r="A300" s="1170"/>
    </row>
    <row r="301" spans="1:1" ht="15.75" customHeight="1">
      <c r="A301" s="1170"/>
    </row>
    <row r="302" spans="1:1" ht="15.75" customHeight="1">
      <c r="A302" s="1170"/>
    </row>
    <row r="303" spans="1:1" ht="15.75" customHeight="1">
      <c r="A303" s="1170"/>
    </row>
    <row r="304" spans="1:1" ht="15.75" customHeight="1">
      <c r="A304" s="1170"/>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8:Z104" xr:uid="{00000000-0009-0000-0000-000017000000}">
    <filterColumn colId="0">
      <filters>
        <filter val="Business &amp; Consumer Services"/>
      </filters>
    </filterColumn>
  </autoFilter>
  <mergeCells count="8">
    <mergeCell ref="B5:G5"/>
    <mergeCell ref="B6:G6"/>
    <mergeCell ref="B7:G7"/>
    <mergeCell ref="B1:G1"/>
    <mergeCell ref="B2:G2"/>
    <mergeCell ref="B3:E3"/>
    <mergeCell ref="F3:G3"/>
    <mergeCell ref="B4:G4"/>
  </mergeCells>
  <hyperlinks>
    <hyperlink ref="B2" r:id="rId1" xr:uid="{00000000-0004-0000-1700-000000000000}"/>
    <hyperlink ref="B4" r:id="rId2" xr:uid="{00000000-0004-0000-1700-000001000000}"/>
    <hyperlink ref="B5" r:id="rId3" xr:uid="{00000000-0004-0000-1700-000002000000}"/>
    <hyperlink ref="B6" r:id="rId4" xr:uid="{00000000-0004-0000-1700-000003000000}"/>
    <hyperlink ref="B7" r:id="rId5" xr:uid="{00000000-0004-0000-1700-000004000000}"/>
  </hyperlinks>
  <pageMargins left="0.75" right="0.75" top="1" bottom="1" header="0" footer="0"/>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1000"/>
  <sheetViews>
    <sheetView workbookViewId="0">
      <pane xSplit="1" ySplit="7" topLeftCell="B8" activePane="bottomRight" state="frozen"/>
      <selection pane="topRight" activeCell="B1" sqref="B1"/>
      <selection pane="bottomLeft" activeCell="A8" sqref="A8"/>
      <selection pane="bottomRight" activeCell="B8" sqref="B8"/>
    </sheetView>
  </sheetViews>
  <sheetFormatPr baseColWidth="10" defaultColWidth="14.44140625" defaultRowHeight="15" customHeight="1"/>
  <cols>
    <col min="1" max="1" width="23.44140625" customWidth="1"/>
    <col min="2" max="3" width="11.44140625" customWidth="1"/>
    <col min="4" max="4" width="10.44140625" customWidth="1"/>
    <col min="5" max="5" width="9.109375" customWidth="1"/>
    <col min="6" max="6" width="9.6640625" customWidth="1"/>
    <col min="7" max="7" width="15.88671875" customWidth="1"/>
    <col min="8" max="8" width="15.44140625" customWidth="1"/>
    <col min="9" max="9" width="15" customWidth="1"/>
    <col min="10" max="10" width="9.44140625" customWidth="1"/>
    <col min="11" max="11" width="10.44140625" customWidth="1"/>
    <col min="12" max="12" width="13.44140625" customWidth="1"/>
    <col min="13" max="13" width="18.44140625" customWidth="1"/>
    <col min="14" max="14" width="18.33203125" customWidth="1"/>
    <col min="15" max="16" width="18.88671875" customWidth="1"/>
    <col min="17" max="17" width="31.33203125" customWidth="1"/>
    <col min="18" max="18" width="13.88671875" customWidth="1"/>
    <col min="19" max="26" width="10.6640625" customWidth="1"/>
  </cols>
  <sheetData>
    <row r="1" spans="1:26" ht="36" customHeight="1">
      <c r="A1" s="1171" t="s">
        <v>69</v>
      </c>
      <c r="B1" s="1362">
        <v>45661</v>
      </c>
      <c r="C1" s="1363"/>
      <c r="D1" s="1363"/>
      <c r="E1" s="1363"/>
      <c r="F1" s="1363"/>
      <c r="G1" s="1368"/>
      <c r="H1" s="84"/>
      <c r="I1" s="84"/>
      <c r="J1" s="84"/>
      <c r="K1" s="1172"/>
      <c r="L1" s="1172"/>
      <c r="M1" s="1172"/>
      <c r="N1" s="1172"/>
      <c r="O1" s="1172"/>
      <c r="P1" s="1172"/>
      <c r="Q1" s="1172"/>
      <c r="R1" s="1172"/>
      <c r="S1" s="1172"/>
      <c r="T1" s="1172"/>
      <c r="U1" s="1172"/>
      <c r="V1" s="1172"/>
      <c r="W1" s="1172"/>
      <c r="X1" s="1172"/>
      <c r="Y1" s="1172"/>
      <c r="Z1" s="1172"/>
    </row>
    <row r="2" spans="1:26" ht="36" customHeight="1">
      <c r="A2" s="94" t="s">
        <v>72</v>
      </c>
      <c r="B2" s="1474" t="s">
        <v>73</v>
      </c>
      <c r="C2" s="1339"/>
      <c r="D2" s="1339"/>
      <c r="E2" s="1339"/>
      <c r="F2" s="1339"/>
      <c r="G2" s="1387"/>
      <c r="H2" s="84"/>
      <c r="I2" s="84"/>
      <c r="J2" s="84"/>
      <c r="K2" s="1172"/>
      <c r="L2" s="1172"/>
      <c r="M2" s="1172"/>
      <c r="N2" s="1172"/>
      <c r="O2" s="1172"/>
      <c r="P2" s="1172"/>
      <c r="Q2" s="1172"/>
      <c r="R2" s="1172"/>
      <c r="S2" s="1172"/>
      <c r="T2" s="1172"/>
      <c r="U2" s="1172"/>
      <c r="V2" s="1172"/>
      <c r="W2" s="1172"/>
      <c r="X2" s="1172"/>
      <c r="Y2" s="1172"/>
      <c r="Z2" s="1172"/>
    </row>
    <row r="3" spans="1:26" ht="36" customHeight="1">
      <c r="A3" s="94" t="s">
        <v>75</v>
      </c>
      <c r="B3" s="1375" t="s">
        <v>716</v>
      </c>
      <c r="C3" s="1339"/>
      <c r="D3" s="1339"/>
      <c r="E3" s="1340"/>
      <c r="F3" s="1375" t="s">
        <v>717</v>
      </c>
      <c r="G3" s="1387"/>
      <c r="H3" s="84"/>
      <c r="I3" s="84"/>
      <c r="J3" s="84"/>
      <c r="K3" s="1172"/>
      <c r="L3" s="1172"/>
      <c r="M3" s="1172"/>
      <c r="N3" s="1172"/>
      <c r="O3" s="1172"/>
      <c r="P3" s="1172"/>
      <c r="Q3" s="1172"/>
      <c r="R3" s="1172"/>
      <c r="S3" s="1172"/>
      <c r="T3" s="1172"/>
      <c r="U3" s="1172"/>
      <c r="V3" s="1172"/>
      <c r="W3" s="1172"/>
      <c r="X3" s="1172"/>
      <c r="Y3" s="1172"/>
      <c r="Z3" s="1172"/>
    </row>
    <row r="4" spans="1:26" ht="36" customHeight="1">
      <c r="A4" s="94" t="s">
        <v>78</v>
      </c>
      <c r="B4" s="1475" t="s">
        <v>79</v>
      </c>
      <c r="C4" s="1339"/>
      <c r="D4" s="1339"/>
      <c r="E4" s="1339"/>
      <c r="F4" s="1339"/>
      <c r="G4" s="1387"/>
      <c r="H4" s="84"/>
      <c r="I4" s="84"/>
      <c r="J4" s="84"/>
      <c r="K4" s="1172"/>
      <c r="L4" s="1172"/>
      <c r="M4" s="1172"/>
      <c r="N4" s="1172"/>
      <c r="O4" s="1172"/>
      <c r="P4" s="1172"/>
      <c r="Q4" s="1172"/>
      <c r="R4" s="1172"/>
      <c r="S4" s="1172"/>
      <c r="T4" s="1172"/>
      <c r="U4" s="1172"/>
      <c r="V4" s="1172"/>
      <c r="W4" s="1172"/>
      <c r="X4" s="1172"/>
      <c r="Y4" s="1172"/>
      <c r="Z4" s="1172"/>
    </row>
    <row r="5" spans="1:26" ht="36" customHeight="1">
      <c r="A5" s="94" t="s">
        <v>80</v>
      </c>
      <c r="B5" s="1473" t="s">
        <v>718</v>
      </c>
      <c r="C5" s="1339"/>
      <c r="D5" s="1339"/>
      <c r="E5" s="1339"/>
      <c r="F5" s="1339"/>
      <c r="G5" s="1387"/>
      <c r="H5" s="84"/>
      <c r="I5" s="84"/>
      <c r="J5" s="84"/>
      <c r="K5" s="1172"/>
      <c r="L5" s="1172"/>
      <c r="M5" s="1172"/>
      <c r="N5" s="1172"/>
      <c r="O5" s="1172"/>
      <c r="P5" s="1172"/>
      <c r="Q5" s="1172"/>
      <c r="R5" s="1172"/>
      <c r="S5" s="1172"/>
      <c r="T5" s="1172"/>
      <c r="U5" s="1172"/>
      <c r="V5" s="1172"/>
      <c r="W5" s="1172"/>
      <c r="X5" s="1172"/>
      <c r="Y5" s="1172"/>
      <c r="Z5" s="1172"/>
    </row>
    <row r="6" spans="1:26" ht="36" customHeight="1">
      <c r="A6" s="1172"/>
      <c r="B6" s="1172"/>
      <c r="C6" s="1172"/>
      <c r="D6" s="1172"/>
      <c r="E6" s="1172"/>
      <c r="F6" s="1172"/>
      <c r="G6" s="1172"/>
      <c r="H6" s="1172"/>
      <c r="I6" s="1172"/>
      <c r="J6" s="1172"/>
      <c r="K6" s="1172"/>
      <c r="L6" s="1172"/>
      <c r="M6" s="1172"/>
      <c r="N6" s="1172"/>
      <c r="O6" s="1172"/>
      <c r="P6" s="1172"/>
      <c r="Q6" s="1172"/>
      <c r="R6" s="1172"/>
      <c r="S6" s="1172"/>
      <c r="T6" s="1172"/>
      <c r="U6" s="1172"/>
      <c r="V6" s="1172"/>
      <c r="W6" s="1172"/>
      <c r="X6" s="1172"/>
      <c r="Y6" s="1172"/>
      <c r="Z6" s="1172"/>
    </row>
    <row r="7" spans="1:26" ht="36" customHeight="1">
      <c r="A7" s="1173" t="s">
        <v>719</v>
      </c>
      <c r="B7" s="1173" t="s">
        <v>720</v>
      </c>
      <c r="C7" s="1173" t="s">
        <v>721</v>
      </c>
      <c r="D7" s="1173" t="s">
        <v>717</v>
      </c>
      <c r="E7" s="1173" t="s">
        <v>722</v>
      </c>
      <c r="F7" s="1173" t="s">
        <v>723</v>
      </c>
      <c r="G7" s="1173" t="s">
        <v>724</v>
      </c>
      <c r="H7" s="1173" t="s">
        <v>725</v>
      </c>
      <c r="I7" s="1173" t="s">
        <v>726</v>
      </c>
      <c r="J7" s="1173" t="s">
        <v>727</v>
      </c>
      <c r="K7" s="1173" t="s">
        <v>728</v>
      </c>
      <c r="L7" s="1173" t="s">
        <v>729</v>
      </c>
      <c r="M7" s="1174" t="s">
        <v>730</v>
      </c>
      <c r="N7" s="1173" t="s">
        <v>731</v>
      </c>
      <c r="O7" s="1174" t="s">
        <v>732</v>
      </c>
      <c r="P7" s="1174" t="s">
        <v>733</v>
      </c>
      <c r="Q7" s="1175" t="s">
        <v>734</v>
      </c>
      <c r="R7" s="1176" t="s">
        <v>735</v>
      </c>
      <c r="S7" s="1177"/>
      <c r="T7" s="1177"/>
      <c r="U7" s="1177"/>
      <c r="V7" s="1177"/>
      <c r="W7" s="1177"/>
      <c r="X7" s="1177"/>
      <c r="Y7" s="1177"/>
      <c r="Z7" s="1177"/>
    </row>
    <row r="8" spans="1:26" ht="36" customHeight="1">
      <c r="A8" s="1178">
        <v>1960</v>
      </c>
      <c r="B8" s="1179">
        <v>5.3400000000000003E-2</v>
      </c>
      <c r="C8" s="1179">
        <v>3.4099999999999998E-2</v>
      </c>
      <c r="D8" s="1178">
        <v>58.11</v>
      </c>
      <c r="E8" s="1180">
        <v>3.1</v>
      </c>
      <c r="F8" s="1180">
        <v>1.98</v>
      </c>
      <c r="G8" s="1180"/>
      <c r="H8" s="1178"/>
      <c r="I8" s="1178"/>
      <c r="J8" s="1179">
        <v>2.6599999999999999E-2</v>
      </c>
      <c r="K8" s="1179">
        <v>2.76E-2</v>
      </c>
      <c r="L8" s="1179">
        <v>1E-3</v>
      </c>
      <c r="M8" s="1179">
        <v>2.4500000000000001E-2</v>
      </c>
      <c r="N8" s="1179"/>
      <c r="O8" s="1179"/>
      <c r="P8" s="1179"/>
      <c r="Q8" s="1179"/>
      <c r="R8" s="1181"/>
      <c r="S8" s="1182"/>
      <c r="T8" s="1182"/>
      <c r="U8" s="1182"/>
      <c r="V8" s="1182"/>
      <c r="W8" s="1182"/>
      <c r="X8" s="1182"/>
      <c r="Y8" s="1182"/>
      <c r="Z8" s="1182"/>
    </row>
    <row r="9" spans="1:26" ht="36" customHeight="1">
      <c r="A9" s="1178">
        <v>1961</v>
      </c>
      <c r="B9" s="1179">
        <v>4.7100000000000003E-2</v>
      </c>
      <c r="C9" s="1179">
        <v>2.8500000000000001E-2</v>
      </c>
      <c r="D9" s="1178">
        <v>71.55</v>
      </c>
      <c r="E9" s="1180">
        <v>3.37</v>
      </c>
      <c r="F9" s="1180">
        <v>2.04</v>
      </c>
      <c r="G9" s="1180"/>
      <c r="H9" s="1179">
        <v>8.5999999999999993E-2</v>
      </c>
      <c r="I9" s="1179">
        <v>2.9100000000000001E-2</v>
      </c>
      <c r="J9" s="1179">
        <v>2.1299999999999999E-2</v>
      </c>
      <c r="K9" s="1179">
        <v>2.35E-2</v>
      </c>
      <c r="L9" s="1179">
        <v>2.2000000000000001E-3</v>
      </c>
      <c r="M9" s="1179">
        <v>2.41E-2</v>
      </c>
      <c r="N9" s="1179">
        <v>2.92E-2</v>
      </c>
      <c r="O9" s="1179"/>
      <c r="P9" s="1179">
        <v>2.92E-2</v>
      </c>
      <c r="Q9" s="1179"/>
      <c r="R9" s="1183">
        <v>1.24</v>
      </c>
      <c r="S9" s="1182"/>
      <c r="T9" s="1182"/>
      <c r="U9" s="1182"/>
      <c r="V9" s="1182"/>
      <c r="W9" s="1182"/>
      <c r="X9" s="1182"/>
      <c r="Y9" s="1182"/>
      <c r="Z9" s="1182"/>
    </row>
    <row r="10" spans="1:26" ht="36" customHeight="1">
      <c r="A10" s="1178">
        <v>1962</v>
      </c>
      <c r="B10" s="1179">
        <v>5.8099999999999999E-2</v>
      </c>
      <c r="C10" s="1179">
        <v>3.4000000000000002E-2</v>
      </c>
      <c r="D10" s="1178">
        <v>63.1</v>
      </c>
      <c r="E10" s="1180">
        <v>3.67</v>
      </c>
      <c r="F10" s="1180">
        <v>2.15</v>
      </c>
      <c r="G10" s="1180"/>
      <c r="H10" s="1179">
        <v>8.7900000000000006E-2</v>
      </c>
      <c r="I10" s="1179">
        <v>5.21E-2</v>
      </c>
      <c r="J10" s="1179">
        <v>2.7300000000000001E-2</v>
      </c>
      <c r="K10" s="1179">
        <v>3.85E-2</v>
      </c>
      <c r="L10" s="1179">
        <v>1.12E-2</v>
      </c>
      <c r="M10" s="1179">
        <v>4.0500000000000001E-2</v>
      </c>
      <c r="N10" s="1179">
        <v>3.56E-2</v>
      </c>
      <c r="O10" s="1179"/>
      <c r="P10" s="1179">
        <v>3.56E-2</v>
      </c>
      <c r="Q10" s="1179"/>
      <c r="R10" s="1183">
        <v>0.92</v>
      </c>
      <c r="S10" s="1182"/>
      <c r="T10" s="1182"/>
      <c r="U10" s="1182"/>
      <c r="V10" s="1182"/>
      <c r="W10" s="1182"/>
      <c r="X10" s="1182"/>
      <c r="Y10" s="1182"/>
      <c r="Z10" s="1182"/>
    </row>
    <row r="11" spans="1:26" ht="36" customHeight="1">
      <c r="A11" s="1178">
        <v>1963</v>
      </c>
      <c r="B11" s="1179">
        <v>5.5100000000000003E-2</v>
      </c>
      <c r="C11" s="1179">
        <v>3.1300000000000001E-2</v>
      </c>
      <c r="D11" s="1178">
        <v>75.02</v>
      </c>
      <c r="E11" s="1180">
        <v>4.13</v>
      </c>
      <c r="F11" s="1180">
        <v>2.35</v>
      </c>
      <c r="G11" s="1180"/>
      <c r="H11" s="1179">
        <v>0.1275</v>
      </c>
      <c r="I11" s="1179">
        <v>9.4500000000000001E-2</v>
      </c>
      <c r="J11" s="1179">
        <v>3.1199999999999999E-2</v>
      </c>
      <c r="K11" s="1179">
        <v>4.1399999999999999E-2</v>
      </c>
      <c r="L11" s="1179">
        <v>1.0200000000000001E-2</v>
      </c>
      <c r="M11" s="1179">
        <v>4.9599999999999998E-2</v>
      </c>
      <c r="N11" s="1179">
        <v>3.3799999999999997E-2</v>
      </c>
      <c r="O11" s="1179"/>
      <c r="P11" s="1179">
        <v>3.3799999999999997E-2</v>
      </c>
      <c r="Q11" s="1179"/>
      <c r="R11" s="1183">
        <v>0.82</v>
      </c>
      <c r="S11" s="1182"/>
      <c r="T11" s="1182"/>
      <c r="U11" s="1182"/>
      <c r="V11" s="1182"/>
      <c r="W11" s="1182"/>
      <c r="X11" s="1182"/>
      <c r="Y11" s="1182"/>
      <c r="Z11" s="1182"/>
    </row>
    <row r="12" spans="1:26" ht="36" customHeight="1">
      <c r="A12" s="1178">
        <v>1964</v>
      </c>
      <c r="B12" s="1179">
        <v>5.62E-2</v>
      </c>
      <c r="C12" s="1179">
        <v>3.0499999999999999E-2</v>
      </c>
      <c r="D12" s="1178">
        <v>84.75</v>
      </c>
      <c r="E12" s="1180">
        <v>4.76</v>
      </c>
      <c r="F12" s="1180">
        <v>2.58</v>
      </c>
      <c r="G12" s="1180"/>
      <c r="H12" s="1179">
        <v>0.15229999999999999</v>
      </c>
      <c r="I12" s="1179">
        <v>0.1008</v>
      </c>
      <c r="J12" s="1179">
        <v>3.5400000000000001E-2</v>
      </c>
      <c r="K12" s="1179">
        <v>4.2099999999999999E-2</v>
      </c>
      <c r="L12" s="1179">
        <v>6.7000000000000002E-3</v>
      </c>
      <c r="M12" s="1179">
        <v>5.1299999999999998E-2</v>
      </c>
      <c r="N12" s="1179">
        <v>3.3099999999999997E-2</v>
      </c>
      <c r="O12" s="1179"/>
      <c r="P12" s="1179">
        <v>3.3099999999999997E-2</v>
      </c>
      <c r="Q12" s="1179"/>
      <c r="R12" s="1183">
        <v>0.79</v>
      </c>
      <c r="S12" s="1182"/>
      <c r="T12" s="1182"/>
      <c r="U12" s="1182"/>
      <c r="V12" s="1182"/>
      <c r="W12" s="1182"/>
      <c r="X12" s="1182"/>
      <c r="Y12" s="1182"/>
      <c r="Z12" s="1182"/>
    </row>
    <row r="13" spans="1:26" ht="36" customHeight="1">
      <c r="A13" s="1178">
        <v>1965</v>
      </c>
      <c r="B13" s="1179">
        <v>5.7299999999999997E-2</v>
      </c>
      <c r="C13" s="1179">
        <v>3.0599999999999999E-2</v>
      </c>
      <c r="D13" s="1178">
        <v>92.43</v>
      </c>
      <c r="E13" s="1180">
        <v>5.3</v>
      </c>
      <c r="F13" s="1180">
        <v>2.83</v>
      </c>
      <c r="G13" s="1180"/>
      <c r="H13" s="1179">
        <v>0.112</v>
      </c>
      <c r="I13" s="1179">
        <v>9.4200000000000006E-2</v>
      </c>
      <c r="J13" s="1179">
        <v>3.9300000000000002E-2</v>
      </c>
      <c r="K13" s="1179">
        <v>4.65E-2</v>
      </c>
      <c r="L13" s="1179">
        <v>7.1999999999999998E-3</v>
      </c>
      <c r="M13" s="1179">
        <v>5.4600000000000003E-2</v>
      </c>
      <c r="N13" s="1179">
        <v>3.32E-2</v>
      </c>
      <c r="O13" s="1179"/>
      <c r="P13" s="1179">
        <v>3.32E-2</v>
      </c>
      <c r="Q13" s="1179"/>
      <c r="R13" s="1183">
        <v>0.71</v>
      </c>
      <c r="S13" s="1182"/>
      <c r="T13" s="1182"/>
      <c r="U13" s="1182"/>
      <c r="V13" s="1182"/>
      <c r="W13" s="1182"/>
      <c r="X13" s="1182"/>
      <c r="Y13" s="1182"/>
      <c r="Z13" s="1182"/>
    </row>
    <row r="14" spans="1:26" ht="36" customHeight="1">
      <c r="A14" s="1178">
        <v>1966</v>
      </c>
      <c r="B14" s="1179">
        <v>6.7400000000000002E-2</v>
      </c>
      <c r="C14" s="1179">
        <v>3.5900000000000001E-2</v>
      </c>
      <c r="D14" s="1178">
        <v>80.33</v>
      </c>
      <c r="E14" s="1180">
        <v>5.41</v>
      </c>
      <c r="F14" s="1180">
        <v>2.88</v>
      </c>
      <c r="G14" s="1180"/>
      <c r="H14" s="1179">
        <v>2.23E-2</v>
      </c>
      <c r="I14" s="1179">
        <v>1.9599999999999999E-2</v>
      </c>
      <c r="J14" s="1179">
        <v>4.7600000000000003E-2</v>
      </c>
      <c r="K14" s="1179">
        <v>4.6399999999999997E-2</v>
      </c>
      <c r="L14" s="1179">
        <v>-1.1999999999999999E-3</v>
      </c>
      <c r="M14" s="1179">
        <v>4.19E-2</v>
      </c>
      <c r="N14" s="1179">
        <v>3.6799999999999999E-2</v>
      </c>
      <c r="O14" s="1179"/>
      <c r="P14" s="1179">
        <v>3.6799999999999999E-2</v>
      </c>
      <c r="Q14" s="1179"/>
      <c r="R14" s="1183">
        <v>0.79</v>
      </c>
      <c r="S14" s="1182"/>
      <c r="T14" s="1182"/>
      <c r="U14" s="1182"/>
      <c r="V14" s="1182"/>
      <c r="W14" s="1182"/>
      <c r="X14" s="1182"/>
      <c r="Y14" s="1182"/>
      <c r="Z14" s="1182"/>
    </row>
    <row r="15" spans="1:26" ht="36" customHeight="1">
      <c r="A15" s="1178">
        <v>1967</v>
      </c>
      <c r="B15" s="1179">
        <v>5.6599999999999998E-2</v>
      </c>
      <c r="C15" s="1179">
        <v>3.09E-2</v>
      </c>
      <c r="D15" s="1178">
        <v>96.47</v>
      </c>
      <c r="E15" s="1180">
        <v>5.46</v>
      </c>
      <c r="F15" s="1180">
        <v>2.98</v>
      </c>
      <c r="G15" s="1180"/>
      <c r="H15" s="1179">
        <v>8.5000000000000006E-3</v>
      </c>
      <c r="I15" s="1179">
        <v>3.3700000000000001E-2</v>
      </c>
      <c r="J15" s="1179">
        <v>4.2099999999999999E-2</v>
      </c>
      <c r="K15" s="1179">
        <v>5.7000000000000002E-2</v>
      </c>
      <c r="L15" s="1179">
        <v>1.49E-2</v>
      </c>
      <c r="M15" s="1179">
        <v>5.2499999999999998E-2</v>
      </c>
      <c r="N15" s="1179">
        <v>3.2000000000000001E-2</v>
      </c>
      <c r="O15" s="1179"/>
      <c r="P15" s="1179">
        <v>3.2000000000000001E-2</v>
      </c>
      <c r="Q15" s="1179"/>
      <c r="R15" s="1183">
        <v>0.56000000000000005</v>
      </c>
      <c r="S15" s="1182"/>
      <c r="T15" s="1182"/>
      <c r="U15" s="1182"/>
      <c r="V15" s="1182"/>
      <c r="W15" s="1182"/>
      <c r="X15" s="1182"/>
      <c r="Y15" s="1182"/>
      <c r="Z15" s="1182"/>
    </row>
    <row r="16" spans="1:26" ht="36" customHeight="1">
      <c r="A16" s="1178">
        <v>1968</v>
      </c>
      <c r="B16" s="1179">
        <v>5.5100000000000003E-2</v>
      </c>
      <c r="C16" s="1179">
        <v>2.93E-2</v>
      </c>
      <c r="D16" s="1178">
        <v>103.86</v>
      </c>
      <c r="E16" s="1180">
        <v>5.72</v>
      </c>
      <c r="F16" s="1180">
        <v>3.04</v>
      </c>
      <c r="G16" s="1180"/>
      <c r="H16" s="1179">
        <v>4.8099999999999997E-2</v>
      </c>
      <c r="I16" s="1179">
        <v>2.0899999999999998E-2</v>
      </c>
      <c r="J16" s="1179">
        <v>5.21E-2</v>
      </c>
      <c r="K16" s="1179">
        <v>6.1600000000000002E-2</v>
      </c>
      <c r="L16" s="1179">
        <v>9.4999999999999998E-3</v>
      </c>
      <c r="M16" s="1179">
        <v>5.3199999999999997E-2</v>
      </c>
      <c r="N16" s="1179">
        <v>0.03</v>
      </c>
      <c r="O16" s="1179"/>
      <c r="P16" s="1179">
        <v>0.03</v>
      </c>
      <c r="Q16" s="1179"/>
      <c r="R16" s="1183">
        <v>0.49</v>
      </c>
      <c r="S16" s="1182"/>
      <c r="T16" s="1182"/>
      <c r="U16" s="1182"/>
      <c r="V16" s="1182"/>
      <c r="W16" s="1182"/>
      <c r="X16" s="1182"/>
      <c r="Y16" s="1182"/>
      <c r="Z16" s="1182"/>
    </row>
    <row r="17" spans="1:26" ht="36" customHeight="1">
      <c r="A17" s="1178">
        <v>1969</v>
      </c>
      <c r="B17" s="1179">
        <v>6.6299999999999998E-2</v>
      </c>
      <c r="C17" s="1179">
        <v>3.5200000000000002E-2</v>
      </c>
      <c r="D17" s="1178">
        <v>92.06</v>
      </c>
      <c r="E17" s="1180">
        <v>6.1</v>
      </c>
      <c r="F17" s="1180">
        <v>3.24</v>
      </c>
      <c r="G17" s="1180"/>
      <c r="H17" s="1179">
        <v>6.6600000000000006E-2</v>
      </c>
      <c r="I17" s="1179">
        <v>6.4899999999999999E-2</v>
      </c>
      <c r="J17" s="1179">
        <v>6.5799999999999997E-2</v>
      </c>
      <c r="K17" s="1179">
        <v>7.8799999999999995E-2</v>
      </c>
      <c r="L17" s="1179">
        <v>1.2999999999999999E-2</v>
      </c>
      <c r="M17" s="1179">
        <v>7.5499999999999998E-2</v>
      </c>
      <c r="N17" s="1179">
        <v>3.7400000000000003E-2</v>
      </c>
      <c r="O17" s="1179"/>
      <c r="P17" s="1179">
        <v>3.7400000000000003E-2</v>
      </c>
      <c r="Q17" s="1179"/>
      <c r="R17" s="1183">
        <v>0.47</v>
      </c>
      <c r="S17" s="1182"/>
      <c r="T17" s="1182"/>
      <c r="U17" s="1182"/>
      <c r="V17" s="1182"/>
      <c r="W17" s="1182"/>
      <c r="X17" s="1182"/>
      <c r="Y17" s="1182"/>
      <c r="Z17" s="1182"/>
    </row>
    <row r="18" spans="1:26" ht="36" customHeight="1">
      <c r="A18" s="1178">
        <v>1970</v>
      </c>
      <c r="B18" s="1179">
        <v>5.9799999999999999E-2</v>
      </c>
      <c r="C18" s="1179">
        <v>3.4599999999999999E-2</v>
      </c>
      <c r="D18" s="1178">
        <v>92.15</v>
      </c>
      <c r="E18" s="1180">
        <v>5.51</v>
      </c>
      <c r="F18" s="1180">
        <v>3.19</v>
      </c>
      <c r="G18" s="1180"/>
      <c r="H18" s="1179">
        <v>-9.7199999999999995E-2</v>
      </c>
      <c r="I18" s="1179">
        <v>-1.61E-2</v>
      </c>
      <c r="J18" s="1179">
        <v>6.5299999999999997E-2</v>
      </c>
      <c r="K18" s="1179">
        <v>6.5000000000000002E-2</v>
      </c>
      <c r="L18" s="1179">
        <v>-2.9999999999999997E-4</v>
      </c>
      <c r="M18" s="1179">
        <v>4.7800000000000002E-2</v>
      </c>
      <c r="N18" s="1179">
        <v>3.4099999999999998E-2</v>
      </c>
      <c r="O18" s="1179"/>
      <c r="P18" s="1179">
        <v>3.4099999999999998E-2</v>
      </c>
      <c r="Q18" s="1179"/>
      <c r="R18" s="1183">
        <v>0.52</v>
      </c>
      <c r="S18" s="1182"/>
      <c r="T18" s="1182"/>
      <c r="U18" s="1182"/>
      <c r="V18" s="1182"/>
      <c r="W18" s="1182"/>
      <c r="X18" s="1182"/>
      <c r="Y18" s="1182"/>
      <c r="Z18" s="1182"/>
    </row>
    <row r="19" spans="1:26" ht="36" customHeight="1">
      <c r="A19" s="1178">
        <v>1971</v>
      </c>
      <c r="B19" s="1179">
        <v>5.4600000000000003E-2</v>
      </c>
      <c r="C19" s="1179">
        <v>3.1E-2</v>
      </c>
      <c r="D19" s="1178">
        <v>102.09</v>
      </c>
      <c r="E19" s="1180">
        <v>5.57</v>
      </c>
      <c r="F19" s="1180">
        <v>3.16</v>
      </c>
      <c r="G19" s="1180"/>
      <c r="H19" s="1179">
        <v>1.15E-2</v>
      </c>
      <c r="I19" s="1179">
        <v>-7.4000000000000003E-3</v>
      </c>
      <c r="J19" s="1179">
        <v>4.3900000000000002E-2</v>
      </c>
      <c r="K19" s="1179">
        <v>5.8900000000000001E-2</v>
      </c>
      <c r="L19" s="1179">
        <v>1.4999999999999999E-2</v>
      </c>
      <c r="M19" s="1179">
        <v>4.5699999999999998E-2</v>
      </c>
      <c r="N19" s="1179">
        <v>3.09E-2</v>
      </c>
      <c r="O19" s="1179"/>
      <c r="P19" s="1179">
        <v>3.09E-2</v>
      </c>
      <c r="Q19" s="1179"/>
      <c r="R19" s="1183">
        <v>0.52</v>
      </c>
      <c r="S19" s="1182"/>
      <c r="T19" s="1182"/>
      <c r="U19" s="1182"/>
      <c r="V19" s="1182"/>
      <c r="W19" s="1182"/>
      <c r="X19" s="1182"/>
      <c r="Y19" s="1182"/>
      <c r="Z19" s="1182"/>
    </row>
    <row r="20" spans="1:26" ht="36" customHeight="1">
      <c r="A20" s="1178">
        <v>1972</v>
      </c>
      <c r="B20" s="1179">
        <v>5.2299999999999999E-2</v>
      </c>
      <c r="C20" s="1179">
        <v>2.7E-2</v>
      </c>
      <c r="D20" s="1178">
        <v>118.05</v>
      </c>
      <c r="E20" s="1180">
        <v>6.17</v>
      </c>
      <c r="F20" s="1180">
        <v>3.19</v>
      </c>
      <c r="G20" s="1180"/>
      <c r="H20" s="1179">
        <v>0.1076</v>
      </c>
      <c r="I20" s="1179">
        <v>7.1000000000000004E-3</v>
      </c>
      <c r="J20" s="1179">
        <v>3.8399999999999997E-2</v>
      </c>
      <c r="K20" s="1179">
        <v>6.4100000000000004E-2</v>
      </c>
      <c r="L20" s="1179">
        <v>2.5700000000000001E-2</v>
      </c>
      <c r="M20" s="1179">
        <v>5.21E-2</v>
      </c>
      <c r="N20" s="1179">
        <v>2.7199999999999998E-2</v>
      </c>
      <c r="O20" s="1179"/>
      <c r="P20" s="1179">
        <v>2.7199999999999998E-2</v>
      </c>
      <c r="Q20" s="1179"/>
      <c r="R20" s="1183">
        <v>0.42</v>
      </c>
      <c r="S20" s="1182"/>
      <c r="T20" s="1182"/>
      <c r="U20" s="1182"/>
      <c r="V20" s="1182"/>
      <c r="W20" s="1182"/>
      <c r="X20" s="1182"/>
      <c r="Y20" s="1182"/>
      <c r="Z20" s="1182"/>
    </row>
    <row r="21" spans="1:26" ht="36" customHeight="1">
      <c r="A21" s="1178">
        <v>1973</v>
      </c>
      <c r="B21" s="1179">
        <v>8.1600000000000006E-2</v>
      </c>
      <c r="C21" s="1179">
        <v>3.6999999999999998E-2</v>
      </c>
      <c r="D21" s="1178">
        <v>97.55</v>
      </c>
      <c r="E21" s="1180">
        <v>7.96</v>
      </c>
      <c r="F21" s="1180">
        <v>3.61</v>
      </c>
      <c r="G21" s="1180"/>
      <c r="H21" s="1179">
        <v>0.2893</v>
      </c>
      <c r="I21" s="1179">
        <v>0.13239999999999999</v>
      </c>
      <c r="J21" s="1179">
        <v>6.93E-2</v>
      </c>
      <c r="K21" s="1179">
        <v>6.9000000000000006E-2</v>
      </c>
      <c r="L21" s="1179">
        <v>-2.9999999999999997E-4</v>
      </c>
      <c r="M21" s="1179">
        <v>8.3000000000000004E-2</v>
      </c>
      <c r="N21" s="1179">
        <v>4.2999999999999997E-2</v>
      </c>
      <c r="O21" s="1179"/>
      <c r="P21" s="1179">
        <v>4.2999999999999997E-2</v>
      </c>
      <c r="Q21" s="1179"/>
      <c r="R21" s="1183">
        <v>0.62</v>
      </c>
      <c r="S21" s="1182"/>
      <c r="T21" s="1182"/>
      <c r="U21" s="1182"/>
      <c r="V21" s="1182"/>
      <c r="W21" s="1182"/>
      <c r="X21" s="1182"/>
      <c r="Y21" s="1182"/>
      <c r="Z21" s="1182"/>
    </row>
    <row r="22" spans="1:26" ht="36" customHeight="1">
      <c r="A22" s="1178">
        <v>1974</v>
      </c>
      <c r="B22" s="1179">
        <v>0.13639999999999999</v>
      </c>
      <c r="C22" s="1179">
        <v>5.4300000000000001E-2</v>
      </c>
      <c r="D22" s="1178">
        <v>68.56</v>
      </c>
      <c r="E22" s="1180">
        <v>9.35</v>
      </c>
      <c r="F22" s="1180">
        <v>3.72</v>
      </c>
      <c r="G22" s="1180"/>
      <c r="H22" s="1179">
        <v>0.17480000000000001</v>
      </c>
      <c r="I22" s="1179">
        <v>3.1399999999999997E-2</v>
      </c>
      <c r="J22" s="1179">
        <v>0.08</v>
      </c>
      <c r="K22" s="1179">
        <v>7.3999999999999996E-2</v>
      </c>
      <c r="L22" s="1179">
        <v>-6.0000000000000001E-3</v>
      </c>
      <c r="M22" s="1179">
        <v>6.4199999999999993E-2</v>
      </c>
      <c r="N22" s="1179">
        <v>5.5899999999999998E-2</v>
      </c>
      <c r="O22" s="1179"/>
      <c r="P22" s="1179">
        <v>5.5899999999999998E-2</v>
      </c>
      <c r="Q22" s="1179"/>
      <c r="R22" s="1183">
        <v>0.76</v>
      </c>
      <c r="S22" s="1182"/>
      <c r="T22" s="1182"/>
      <c r="U22" s="1182"/>
      <c r="V22" s="1182"/>
      <c r="W22" s="1182"/>
      <c r="X22" s="1182"/>
      <c r="Y22" s="1182"/>
      <c r="Z22" s="1182"/>
    </row>
    <row r="23" spans="1:26" ht="36" customHeight="1">
      <c r="A23" s="1178">
        <v>1975</v>
      </c>
      <c r="B23" s="1179">
        <v>8.5500000000000007E-2</v>
      </c>
      <c r="C23" s="1179">
        <v>4.1399999999999999E-2</v>
      </c>
      <c r="D23" s="1178">
        <v>90.19</v>
      </c>
      <c r="E23" s="1180">
        <v>7.71</v>
      </c>
      <c r="F23" s="1180">
        <v>3.73</v>
      </c>
      <c r="G23" s="1180"/>
      <c r="H23" s="1179">
        <v>-0.1754</v>
      </c>
      <c r="I23" s="1179">
        <v>3.0000000000000001E-3</v>
      </c>
      <c r="J23" s="1179">
        <v>5.8000000000000003E-2</v>
      </c>
      <c r="K23" s="1179">
        <v>7.7600000000000002E-2</v>
      </c>
      <c r="L23" s="1179">
        <v>1.9599999999999999E-2</v>
      </c>
      <c r="M23" s="1179">
        <v>5.9900000000000002E-2</v>
      </c>
      <c r="N23" s="1179">
        <v>4.1300000000000003E-2</v>
      </c>
      <c r="O23" s="1179"/>
      <c r="P23" s="1179">
        <v>4.1300000000000003E-2</v>
      </c>
      <c r="Q23" s="1179"/>
      <c r="R23" s="1183">
        <v>0.53</v>
      </c>
      <c r="S23" s="1182"/>
      <c r="T23" s="1182"/>
      <c r="U23" s="1182"/>
      <c r="V23" s="1182"/>
      <c r="W23" s="1182"/>
      <c r="X23" s="1182"/>
      <c r="Y23" s="1182"/>
      <c r="Z23" s="1182"/>
    </row>
    <row r="24" spans="1:26" ht="36" customHeight="1">
      <c r="A24" s="1178">
        <v>1976</v>
      </c>
      <c r="B24" s="1179">
        <v>9.0700000000000003E-2</v>
      </c>
      <c r="C24" s="1179">
        <v>3.9300000000000002E-2</v>
      </c>
      <c r="D24" s="1178">
        <v>107.46</v>
      </c>
      <c r="E24" s="1180">
        <v>9.75</v>
      </c>
      <c r="F24" s="1180">
        <v>4.22</v>
      </c>
      <c r="G24" s="1180"/>
      <c r="H24" s="1179">
        <v>0.26390000000000002</v>
      </c>
      <c r="I24" s="1179">
        <v>0.13100000000000001</v>
      </c>
      <c r="J24" s="1179">
        <v>5.0799999999999998E-2</v>
      </c>
      <c r="K24" s="1179">
        <v>6.8099999999999994E-2</v>
      </c>
      <c r="L24" s="1179">
        <v>1.7299999999999999E-2</v>
      </c>
      <c r="M24" s="1179">
        <v>8.1900000000000001E-2</v>
      </c>
      <c r="N24" s="1179">
        <v>4.5499999999999999E-2</v>
      </c>
      <c r="O24" s="1179"/>
      <c r="P24" s="1179">
        <v>4.5499999999999999E-2</v>
      </c>
      <c r="Q24" s="1179"/>
      <c r="R24" s="1183">
        <v>0.67</v>
      </c>
      <c r="S24" s="1182"/>
      <c r="T24" s="1182"/>
      <c r="U24" s="1182"/>
      <c r="V24" s="1182"/>
      <c r="W24" s="1182"/>
      <c r="X24" s="1182"/>
      <c r="Y24" s="1182"/>
      <c r="Z24" s="1182"/>
    </row>
    <row r="25" spans="1:26" ht="36" customHeight="1">
      <c r="A25" s="1178">
        <v>1977</v>
      </c>
      <c r="B25" s="1179">
        <v>0.1143</v>
      </c>
      <c r="C25" s="1179">
        <v>5.11E-2</v>
      </c>
      <c r="D25" s="1178">
        <v>95.1</v>
      </c>
      <c r="E25" s="1180">
        <v>10.87</v>
      </c>
      <c r="F25" s="1180">
        <v>4.8600000000000003</v>
      </c>
      <c r="G25" s="1180"/>
      <c r="H25" s="1179">
        <v>0.1153</v>
      </c>
      <c r="I25" s="1179">
        <v>0.1507</v>
      </c>
      <c r="J25" s="1179">
        <v>5.1200000000000002E-2</v>
      </c>
      <c r="K25" s="1179">
        <v>7.7799999999999994E-2</v>
      </c>
      <c r="L25" s="1179">
        <v>2.6599999999999999E-2</v>
      </c>
      <c r="M25" s="1179">
        <v>9.5200000000000007E-2</v>
      </c>
      <c r="N25" s="1179">
        <v>5.9200000000000003E-2</v>
      </c>
      <c r="O25" s="1179"/>
      <c r="P25" s="1179">
        <v>5.9200000000000003E-2</v>
      </c>
      <c r="Q25" s="1179"/>
      <c r="R25" s="1183">
        <v>0.76</v>
      </c>
      <c r="S25" s="1182"/>
      <c r="T25" s="1182"/>
      <c r="U25" s="1182"/>
      <c r="V25" s="1182"/>
      <c r="W25" s="1182"/>
      <c r="X25" s="1182"/>
      <c r="Y25" s="1182"/>
      <c r="Z25" s="1182"/>
    </row>
    <row r="26" spans="1:26" ht="36" customHeight="1">
      <c r="A26" s="1178">
        <v>1978</v>
      </c>
      <c r="B26" s="1179">
        <v>0.1211</v>
      </c>
      <c r="C26" s="1179">
        <v>5.3900000000000003E-2</v>
      </c>
      <c r="D26" s="1178">
        <v>96.11</v>
      </c>
      <c r="E26" s="1180">
        <v>11.64</v>
      </c>
      <c r="F26" s="1180">
        <v>5.18</v>
      </c>
      <c r="G26" s="1180"/>
      <c r="H26" s="1179">
        <v>7.0699999999999999E-2</v>
      </c>
      <c r="I26" s="1179">
        <v>6.6000000000000003E-2</v>
      </c>
      <c r="J26" s="1179">
        <v>7.1800000000000003E-2</v>
      </c>
      <c r="K26" s="1179">
        <v>9.1499999999999998E-2</v>
      </c>
      <c r="L26" s="1179">
        <v>1.9699999999999999E-2</v>
      </c>
      <c r="M26" s="1179">
        <v>8.48E-2</v>
      </c>
      <c r="N26" s="1179">
        <v>5.7200000000000001E-2</v>
      </c>
      <c r="O26" s="1179"/>
      <c r="P26" s="1179">
        <v>5.7200000000000001E-2</v>
      </c>
      <c r="Q26" s="1179"/>
      <c r="R26" s="1183">
        <v>0.63</v>
      </c>
      <c r="S26" s="1182"/>
      <c r="T26" s="1182"/>
      <c r="U26" s="1182"/>
      <c r="V26" s="1182"/>
      <c r="W26" s="1182"/>
      <c r="X26" s="1182"/>
      <c r="Y26" s="1182"/>
      <c r="Z26" s="1182"/>
    </row>
    <row r="27" spans="1:26" ht="36" customHeight="1">
      <c r="A27" s="1178">
        <v>1979</v>
      </c>
      <c r="B27" s="1179">
        <v>0.1348</v>
      </c>
      <c r="C27" s="1179">
        <v>5.5300000000000002E-2</v>
      </c>
      <c r="D27" s="1178">
        <v>107.94</v>
      </c>
      <c r="E27" s="1180">
        <v>14.55</v>
      </c>
      <c r="F27" s="1180">
        <v>5.97</v>
      </c>
      <c r="G27" s="1180"/>
      <c r="H27" s="1179">
        <v>0.25009999999999999</v>
      </c>
      <c r="I27" s="1179">
        <v>0.15229999999999999</v>
      </c>
      <c r="J27" s="1179">
        <v>0.1038</v>
      </c>
      <c r="K27" s="1179">
        <v>0.1033</v>
      </c>
      <c r="L27" s="1179">
        <v>-5.0000000000000001E-4</v>
      </c>
      <c r="M27" s="1179">
        <v>0.11700000000000001</v>
      </c>
      <c r="N27" s="1179">
        <v>6.4500000000000002E-2</v>
      </c>
      <c r="O27" s="1179"/>
      <c r="P27" s="1179">
        <v>6.4500000000000002E-2</v>
      </c>
      <c r="Q27" s="1179"/>
      <c r="R27" s="1183">
        <v>0.62</v>
      </c>
      <c r="S27" s="1182"/>
      <c r="T27" s="1182"/>
      <c r="U27" s="1182"/>
      <c r="V27" s="1182"/>
      <c r="W27" s="1182"/>
      <c r="X27" s="1182"/>
      <c r="Y27" s="1182"/>
      <c r="Z27" s="1182"/>
    </row>
    <row r="28" spans="1:26" ht="36" customHeight="1">
      <c r="A28" s="1178">
        <v>1980</v>
      </c>
      <c r="B28" s="1179">
        <v>0.1104</v>
      </c>
      <c r="C28" s="1179">
        <v>4.7399999999999998E-2</v>
      </c>
      <c r="D28" s="1178">
        <v>135.76</v>
      </c>
      <c r="E28" s="1180">
        <v>14.99</v>
      </c>
      <c r="F28" s="1180">
        <v>6.44</v>
      </c>
      <c r="G28" s="1180"/>
      <c r="H28" s="1179">
        <v>3.0099999999999998E-2</v>
      </c>
      <c r="I28" s="1179">
        <v>7.8100000000000003E-2</v>
      </c>
      <c r="J28" s="1179">
        <v>0.1124</v>
      </c>
      <c r="K28" s="1179">
        <v>0.12429999999999999</v>
      </c>
      <c r="L28" s="1179">
        <v>1.1900000000000001E-2</v>
      </c>
      <c r="M28" s="1179">
        <v>0.1101</v>
      </c>
      <c r="N28" s="1179">
        <v>5.0299999999999997E-2</v>
      </c>
      <c r="O28" s="1179"/>
      <c r="P28" s="1179">
        <v>5.0299999999999997E-2</v>
      </c>
      <c r="Q28" s="1179"/>
      <c r="R28" s="1183">
        <v>0.4</v>
      </c>
      <c r="S28" s="1182"/>
      <c r="T28" s="1182"/>
      <c r="U28" s="1182"/>
      <c r="V28" s="1182"/>
      <c r="W28" s="1182"/>
      <c r="X28" s="1182"/>
      <c r="Y28" s="1182"/>
      <c r="Z28" s="1182"/>
    </row>
    <row r="29" spans="1:26" ht="36" customHeight="1">
      <c r="A29" s="1178">
        <v>1981</v>
      </c>
      <c r="B29" s="1179">
        <v>0.1239</v>
      </c>
      <c r="C29" s="1179">
        <v>5.57E-2</v>
      </c>
      <c r="D29" s="1178">
        <v>122.55</v>
      </c>
      <c r="E29" s="1180">
        <v>15.18</v>
      </c>
      <c r="F29" s="1180">
        <v>6.83</v>
      </c>
      <c r="G29" s="1180"/>
      <c r="H29" s="1179">
        <v>1.3100000000000001E-2</v>
      </c>
      <c r="I29" s="1179">
        <v>6.08E-2</v>
      </c>
      <c r="J29" s="1179">
        <v>0.14710000000000001</v>
      </c>
      <c r="K29" s="1179">
        <v>0.13980000000000001</v>
      </c>
      <c r="L29" s="1179">
        <v>-7.3000000000000001E-3</v>
      </c>
      <c r="M29" s="1179">
        <v>0.1142</v>
      </c>
      <c r="N29" s="1179">
        <v>5.7299999999999997E-2</v>
      </c>
      <c r="O29" s="1179"/>
      <c r="P29" s="1179">
        <v>5.7299999999999997E-2</v>
      </c>
      <c r="Q29" s="1179"/>
      <c r="R29" s="1183">
        <v>0.41</v>
      </c>
      <c r="S29" s="1182"/>
      <c r="T29" s="1182"/>
      <c r="U29" s="1182"/>
      <c r="V29" s="1182"/>
      <c r="W29" s="1182"/>
      <c r="X29" s="1182"/>
      <c r="Y29" s="1182"/>
      <c r="Z29" s="1182"/>
    </row>
    <row r="30" spans="1:26" ht="36" customHeight="1">
      <c r="A30" s="1178">
        <v>1982</v>
      </c>
      <c r="B30" s="1179">
        <v>9.8299999999999998E-2</v>
      </c>
      <c r="C30" s="1179">
        <v>4.9299999999999997E-2</v>
      </c>
      <c r="D30" s="1178">
        <v>140.63999999999999</v>
      </c>
      <c r="E30" s="1180">
        <v>13.82</v>
      </c>
      <c r="F30" s="1180">
        <v>6.93</v>
      </c>
      <c r="G30" s="1180"/>
      <c r="H30" s="1179">
        <v>-8.9499999999999996E-2</v>
      </c>
      <c r="I30" s="1179">
        <v>1.5800000000000002E-2</v>
      </c>
      <c r="J30" s="1179">
        <v>0.10539999999999999</v>
      </c>
      <c r="K30" s="1179">
        <v>0.1047</v>
      </c>
      <c r="L30" s="1179">
        <v>-6.9999999999999999E-4</v>
      </c>
      <c r="M30" s="1179">
        <v>7.9600000000000004E-2</v>
      </c>
      <c r="N30" s="1179">
        <v>4.9000000000000002E-2</v>
      </c>
      <c r="O30" s="1179"/>
      <c r="P30" s="1179">
        <v>4.9000000000000002E-2</v>
      </c>
      <c r="Q30" s="1179"/>
      <c r="R30" s="1183">
        <v>0.47</v>
      </c>
      <c r="S30" s="1182"/>
      <c r="T30" s="1182"/>
      <c r="U30" s="1182"/>
      <c r="V30" s="1182"/>
      <c r="W30" s="1182"/>
      <c r="X30" s="1182"/>
      <c r="Y30" s="1182"/>
      <c r="Z30" s="1182"/>
    </row>
    <row r="31" spans="1:26" ht="36" customHeight="1">
      <c r="A31" s="1178">
        <v>1983</v>
      </c>
      <c r="B31" s="1179">
        <v>8.0600000000000005E-2</v>
      </c>
      <c r="C31" s="1179">
        <v>4.3200000000000002E-2</v>
      </c>
      <c r="D31" s="1178">
        <v>164.93</v>
      </c>
      <c r="E31" s="1180">
        <v>13.29</v>
      </c>
      <c r="F31" s="1180">
        <v>7.12</v>
      </c>
      <c r="G31" s="1180"/>
      <c r="H31" s="1179">
        <v>-3.8399999999999997E-2</v>
      </c>
      <c r="I31" s="1179">
        <v>2.76E-2</v>
      </c>
      <c r="J31" s="1179">
        <v>8.7999999999999995E-2</v>
      </c>
      <c r="K31" s="1179">
        <v>0.11799999999999999</v>
      </c>
      <c r="L31" s="1179">
        <v>0.03</v>
      </c>
      <c r="M31" s="1179">
        <v>9.0899999999999995E-2</v>
      </c>
      <c r="N31" s="1179">
        <v>4.3099999999999999E-2</v>
      </c>
      <c r="O31" s="1179"/>
      <c r="P31" s="1179">
        <v>4.3099999999999999E-2</v>
      </c>
      <c r="Q31" s="1179"/>
      <c r="R31" s="1183">
        <v>0.37</v>
      </c>
      <c r="S31" s="1182"/>
      <c r="T31" s="1182"/>
      <c r="U31" s="1182"/>
      <c r="V31" s="1182"/>
      <c r="W31" s="1182"/>
      <c r="X31" s="1182"/>
      <c r="Y31" s="1182"/>
      <c r="Z31" s="1182"/>
    </row>
    <row r="32" spans="1:26" ht="36" customHeight="1">
      <c r="A32" s="1178">
        <v>1984</v>
      </c>
      <c r="B32" s="1179">
        <v>0.1007</v>
      </c>
      <c r="C32" s="1179">
        <v>4.6800000000000001E-2</v>
      </c>
      <c r="D32" s="1178">
        <v>167.24</v>
      </c>
      <c r="E32" s="1180">
        <v>16.84</v>
      </c>
      <c r="F32" s="1180">
        <v>7.83</v>
      </c>
      <c r="G32" s="1180"/>
      <c r="H32" s="1179">
        <v>0.26690000000000003</v>
      </c>
      <c r="I32" s="1179">
        <v>9.8500000000000004E-2</v>
      </c>
      <c r="J32" s="1179">
        <v>9.8500000000000004E-2</v>
      </c>
      <c r="K32" s="1179">
        <v>0.11509999999999999</v>
      </c>
      <c r="L32" s="1179">
        <v>1.66E-2</v>
      </c>
      <c r="M32" s="1179">
        <v>0.11020000000000001</v>
      </c>
      <c r="N32" s="1179">
        <v>5.11E-2</v>
      </c>
      <c r="O32" s="1179"/>
      <c r="P32" s="1179">
        <v>5.11E-2</v>
      </c>
      <c r="Q32" s="1179"/>
      <c r="R32" s="1183">
        <v>0.44</v>
      </c>
      <c r="S32" s="1182"/>
      <c r="T32" s="1182"/>
      <c r="U32" s="1182"/>
      <c r="V32" s="1182"/>
      <c r="W32" s="1182"/>
      <c r="X32" s="1182"/>
      <c r="Y32" s="1182"/>
      <c r="Z32" s="1182"/>
    </row>
    <row r="33" spans="1:26" ht="36" customHeight="1">
      <c r="A33" s="1178">
        <v>1985</v>
      </c>
      <c r="B33" s="1179">
        <v>7.4200000000000002E-2</v>
      </c>
      <c r="C33" s="1179">
        <v>3.8800000000000001E-2</v>
      </c>
      <c r="D33" s="1178">
        <v>211.28</v>
      </c>
      <c r="E33" s="1180">
        <v>15.68</v>
      </c>
      <c r="F33" s="1180">
        <v>8.1999999999999993</v>
      </c>
      <c r="G33" s="1180"/>
      <c r="H33" s="1179">
        <v>-6.9099999999999995E-2</v>
      </c>
      <c r="I33" s="1179">
        <v>4.7399999999999998E-2</v>
      </c>
      <c r="J33" s="1179">
        <v>7.7200000000000005E-2</v>
      </c>
      <c r="K33" s="1179">
        <v>8.9899999999999994E-2</v>
      </c>
      <c r="L33" s="1179">
        <v>1.2699999999999999E-2</v>
      </c>
      <c r="M33" s="1179">
        <v>7.8899999999999998E-2</v>
      </c>
      <c r="N33" s="1179">
        <v>4.0300000000000002E-2</v>
      </c>
      <c r="O33" s="1179">
        <v>6.7500000000000004E-2</v>
      </c>
      <c r="P33" s="1179">
        <v>3.8399999999999997E-2</v>
      </c>
      <c r="Q33" s="1179"/>
      <c r="R33" s="1183">
        <v>0.43</v>
      </c>
      <c r="S33" s="1182"/>
      <c r="T33" s="1182"/>
      <c r="U33" s="1182"/>
      <c r="V33" s="1182"/>
      <c r="W33" s="1182"/>
      <c r="X33" s="1182"/>
      <c r="Y33" s="1182"/>
      <c r="Z33" s="1182"/>
    </row>
    <row r="34" spans="1:26" ht="36" customHeight="1">
      <c r="A34" s="1178">
        <v>1986</v>
      </c>
      <c r="B34" s="1179">
        <v>5.96E-2</v>
      </c>
      <c r="C34" s="1179">
        <v>3.3799999999999997E-2</v>
      </c>
      <c r="D34" s="1178">
        <v>242.17</v>
      </c>
      <c r="E34" s="1180">
        <v>14.43</v>
      </c>
      <c r="F34" s="1180">
        <v>8.19</v>
      </c>
      <c r="G34" s="1180"/>
      <c r="H34" s="1179">
        <v>-7.9299999999999995E-2</v>
      </c>
      <c r="I34" s="1179">
        <v>-1.5E-3</v>
      </c>
      <c r="J34" s="1179">
        <v>6.1600000000000002E-2</v>
      </c>
      <c r="K34" s="1179">
        <v>7.22E-2</v>
      </c>
      <c r="L34" s="1179">
        <v>1.06E-2</v>
      </c>
      <c r="M34" s="1179">
        <v>5.5399999999999998E-2</v>
      </c>
      <c r="N34" s="1179">
        <v>3.3599999999999998E-2</v>
      </c>
      <c r="O34" s="1179">
        <v>6.9599999999999995E-2</v>
      </c>
      <c r="P34" s="1179">
        <v>3.5799999999999998E-2</v>
      </c>
      <c r="Q34" s="1179"/>
      <c r="R34" s="1183">
        <v>0.5</v>
      </c>
      <c r="S34" s="1182"/>
      <c r="T34" s="1182"/>
      <c r="U34" s="1182"/>
      <c r="V34" s="1182"/>
      <c r="W34" s="1182"/>
      <c r="X34" s="1182"/>
      <c r="Y34" s="1182"/>
      <c r="Z34" s="1182"/>
    </row>
    <row r="35" spans="1:26" ht="36" customHeight="1">
      <c r="A35" s="1178">
        <v>1987</v>
      </c>
      <c r="B35" s="1179">
        <v>6.4899999999999999E-2</v>
      </c>
      <c r="C35" s="1179">
        <v>3.7100000000000001E-2</v>
      </c>
      <c r="D35" s="1178">
        <v>247.08</v>
      </c>
      <c r="E35" s="1180">
        <v>16.04</v>
      </c>
      <c r="F35" s="1180">
        <v>9.17</v>
      </c>
      <c r="G35" s="1180"/>
      <c r="H35" s="1179">
        <v>0.111</v>
      </c>
      <c r="I35" s="1179">
        <v>0.11990000000000001</v>
      </c>
      <c r="J35" s="1179">
        <v>5.4699999999999999E-2</v>
      </c>
      <c r="K35" s="1179">
        <v>8.8599999999999998E-2</v>
      </c>
      <c r="L35" s="1179">
        <v>3.39E-2</v>
      </c>
      <c r="M35" s="1179">
        <v>9.6600000000000005E-2</v>
      </c>
      <c r="N35" s="1179">
        <v>4.1799999999999997E-2</v>
      </c>
      <c r="O35" s="1179">
        <v>8.5800000000000001E-2</v>
      </c>
      <c r="P35" s="1179">
        <v>3.9899999999999998E-2</v>
      </c>
      <c r="Q35" s="1179"/>
      <c r="R35" s="1183">
        <v>0.45</v>
      </c>
      <c r="S35" s="1182"/>
      <c r="T35" s="1182"/>
      <c r="U35" s="1182"/>
      <c r="V35" s="1182"/>
      <c r="W35" s="1182"/>
      <c r="X35" s="1182"/>
      <c r="Y35" s="1182"/>
      <c r="Z35" s="1182"/>
    </row>
    <row r="36" spans="1:26" ht="36" customHeight="1">
      <c r="A36" s="1178">
        <v>1988</v>
      </c>
      <c r="B36" s="1179">
        <v>8.2000000000000003E-2</v>
      </c>
      <c r="C36" s="1179">
        <v>3.6799999999999999E-2</v>
      </c>
      <c r="D36" s="1178">
        <v>277.72000000000003</v>
      </c>
      <c r="E36" s="1180">
        <v>24.12</v>
      </c>
      <c r="F36" s="1180">
        <v>10.220000000000001</v>
      </c>
      <c r="G36" s="1180"/>
      <c r="H36" s="1179">
        <v>0.50419999999999998</v>
      </c>
      <c r="I36" s="1179">
        <v>0.1149</v>
      </c>
      <c r="J36" s="1179">
        <v>6.3500000000000001E-2</v>
      </c>
      <c r="K36" s="1179">
        <v>9.1399999999999995E-2</v>
      </c>
      <c r="L36" s="1179">
        <v>2.7900000000000001E-2</v>
      </c>
      <c r="M36" s="1179">
        <v>9.7600000000000006E-2</v>
      </c>
      <c r="N36" s="1179">
        <v>4.1200000000000001E-2</v>
      </c>
      <c r="O36" s="1179">
        <v>7.6700000000000004E-2</v>
      </c>
      <c r="P36" s="1179">
        <v>3.7699999999999997E-2</v>
      </c>
      <c r="Q36" s="1179"/>
      <c r="R36" s="1183">
        <v>0.41</v>
      </c>
      <c r="S36" s="1182"/>
      <c r="T36" s="1182"/>
      <c r="U36" s="1182"/>
      <c r="V36" s="1182"/>
      <c r="W36" s="1182"/>
      <c r="X36" s="1182"/>
      <c r="Y36" s="1182"/>
      <c r="Z36" s="1182"/>
    </row>
    <row r="37" spans="1:26" ht="36" customHeight="1">
      <c r="A37" s="1178">
        <v>1989</v>
      </c>
      <c r="B37" s="1179">
        <v>6.8000000000000005E-2</v>
      </c>
      <c r="C37" s="1179">
        <v>3.32E-2</v>
      </c>
      <c r="D37" s="1178">
        <v>353.4</v>
      </c>
      <c r="E37" s="1180">
        <v>24.32</v>
      </c>
      <c r="F37" s="1180">
        <v>11.73</v>
      </c>
      <c r="G37" s="1180"/>
      <c r="H37" s="1179">
        <v>8.3000000000000001E-3</v>
      </c>
      <c r="I37" s="1179">
        <v>0.14799999999999999</v>
      </c>
      <c r="J37" s="1179">
        <v>8.3699999999999997E-2</v>
      </c>
      <c r="K37" s="1179">
        <v>7.9299999999999995E-2</v>
      </c>
      <c r="L37" s="1179">
        <v>-4.4000000000000003E-3</v>
      </c>
      <c r="M37" s="1179">
        <v>9.5799999999999996E-2</v>
      </c>
      <c r="N37" s="1179">
        <v>3.85E-2</v>
      </c>
      <c r="O37" s="1179">
        <v>7.46E-2</v>
      </c>
      <c r="P37" s="1179">
        <v>3.5099999999999999E-2</v>
      </c>
      <c r="Q37" s="1179"/>
      <c r="R37" s="1183">
        <v>0.44</v>
      </c>
      <c r="S37" s="1182"/>
      <c r="T37" s="1182"/>
      <c r="U37" s="1182"/>
      <c r="V37" s="1182"/>
      <c r="W37" s="1182"/>
      <c r="X37" s="1182"/>
      <c r="Y37" s="1182"/>
      <c r="Z37" s="1182"/>
    </row>
    <row r="38" spans="1:26" ht="36" customHeight="1">
      <c r="A38" s="1178">
        <v>1990</v>
      </c>
      <c r="B38" s="1179">
        <v>6.5799999999999997E-2</v>
      </c>
      <c r="C38" s="1179">
        <v>3.7400000000000003E-2</v>
      </c>
      <c r="D38" s="1178">
        <v>330.22</v>
      </c>
      <c r="E38" s="1180">
        <v>22.65</v>
      </c>
      <c r="F38" s="1180">
        <v>12.35</v>
      </c>
      <c r="G38" s="1180"/>
      <c r="H38" s="1179">
        <v>-6.8699999999999997E-2</v>
      </c>
      <c r="I38" s="1179">
        <v>5.2600000000000001E-2</v>
      </c>
      <c r="J38" s="1179">
        <v>7.8100000000000003E-2</v>
      </c>
      <c r="K38" s="1179">
        <v>8.0699999999999994E-2</v>
      </c>
      <c r="L38" s="1179">
        <v>2.5999999999999999E-3</v>
      </c>
      <c r="M38" s="1179">
        <v>7.3899999999999993E-2</v>
      </c>
      <c r="N38" s="1179">
        <v>3.9199999999999999E-2</v>
      </c>
      <c r="O38" s="1179">
        <v>7.1900000000000006E-2</v>
      </c>
      <c r="P38" s="1179">
        <v>3.8899999999999997E-2</v>
      </c>
      <c r="Q38" s="1179"/>
      <c r="R38" s="1183">
        <v>0.48</v>
      </c>
      <c r="S38" s="1182"/>
      <c r="T38" s="1182"/>
      <c r="U38" s="1182"/>
      <c r="V38" s="1182"/>
      <c r="W38" s="1182"/>
      <c r="X38" s="1182"/>
      <c r="Y38" s="1182"/>
      <c r="Z38" s="1182"/>
    </row>
    <row r="39" spans="1:26" ht="36" customHeight="1">
      <c r="A39" s="1178">
        <v>1991</v>
      </c>
      <c r="B39" s="1179">
        <v>4.58E-2</v>
      </c>
      <c r="C39" s="1179">
        <v>3.1099999999999999E-2</v>
      </c>
      <c r="D39" s="1178">
        <v>417.09</v>
      </c>
      <c r="E39" s="1180">
        <v>19.3</v>
      </c>
      <c r="F39" s="1180">
        <v>12.97</v>
      </c>
      <c r="G39" s="1180"/>
      <c r="H39" s="1179">
        <v>-0.1479</v>
      </c>
      <c r="I39" s="1179">
        <v>5.0299999999999997E-2</v>
      </c>
      <c r="J39" s="1179">
        <v>7.0000000000000007E-2</v>
      </c>
      <c r="K39" s="1179">
        <v>6.7000000000000004E-2</v>
      </c>
      <c r="L39" s="1179">
        <v>-3.0000000000000001E-3</v>
      </c>
      <c r="M39" s="1179">
        <v>6.3399999999999998E-2</v>
      </c>
      <c r="N39" s="1179">
        <v>3.27E-2</v>
      </c>
      <c r="O39" s="1179">
        <v>7.8100000000000003E-2</v>
      </c>
      <c r="P39" s="1179">
        <v>3.4799999999999998E-2</v>
      </c>
      <c r="Q39" s="1179"/>
      <c r="R39" s="1183">
        <v>0.52</v>
      </c>
      <c r="S39" s="1182"/>
      <c r="T39" s="1182"/>
      <c r="U39" s="1182"/>
      <c r="V39" s="1182"/>
      <c r="W39" s="1182"/>
      <c r="X39" s="1182"/>
      <c r="Y39" s="1182"/>
      <c r="Z39" s="1182"/>
    </row>
    <row r="40" spans="1:26" ht="36" customHeight="1">
      <c r="A40" s="1178">
        <v>1992</v>
      </c>
      <c r="B40" s="1179">
        <v>4.1599999999999998E-2</v>
      </c>
      <c r="C40" s="1179">
        <v>2.9000000000000001E-2</v>
      </c>
      <c r="D40" s="1178">
        <v>435.71</v>
      </c>
      <c r="E40" s="1180">
        <v>20.87</v>
      </c>
      <c r="F40" s="1180">
        <v>12.64</v>
      </c>
      <c r="G40" s="1180"/>
      <c r="H40" s="1179">
        <v>8.1299999999999997E-2</v>
      </c>
      <c r="I40" s="1179">
        <v>-2.5899999999999999E-2</v>
      </c>
      <c r="J40" s="1179">
        <v>5.2999999999999999E-2</v>
      </c>
      <c r="K40" s="1179">
        <v>6.6799999999999998E-2</v>
      </c>
      <c r="L40" s="1179">
        <v>1.38E-2</v>
      </c>
      <c r="M40" s="1179">
        <v>4.6699999999999998E-2</v>
      </c>
      <c r="N40" s="1179">
        <v>2.8299999999999999E-2</v>
      </c>
      <c r="O40" s="1179">
        <v>9.8299999999999998E-2</v>
      </c>
      <c r="P40" s="1179">
        <v>3.5499999999999997E-2</v>
      </c>
      <c r="Q40" s="1179"/>
      <c r="R40" s="1183">
        <v>0.53</v>
      </c>
      <c r="S40" s="1182"/>
      <c r="T40" s="1182"/>
      <c r="U40" s="1182"/>
      <c r="V40" s="1182"/>
      <c r="W40" s="1182"/>
      <c r="X40" s="1182"/>
      <c r="Y40" s="1182"/>
      <c r="Z40" s="1182"/>
    </row>
    <row r="41" spans="1:26" ht="36" customHeight="1">
      <c r="A41" s="1178">
        <v>1993</v>
      </c>
      <c r="B41" s="1179">
        <v>4.2500000000000003E-2</v>
      </c>
      <c r="C41" s="1179">
        <v>2.7199999999999998E-2</v>
      </c>
      <c r="D41" s="1178">
        <v>466.45</v>
      </c>
      <c r="E41" s="1180">
        <v>26.9</v>
      </c>
      <c r="F41" s="1180">
        <v>12.69</v>
      </c>
      <c r="G41" s="1180"/>
      <c r="H41" s="1179">
        <v>0.28889999999999999</v>
      </c>
      <c r="I41" s="1179">
        <v>4.1000000000000003E-3</v>
      </c>
      <c r="J41" s="1179">
        <v>3.5000000000000003E-2</v>
      </c>
      <c r="K41" s="1179">
        <v>5.79E-2</v>
      </c>
      <c r="L41" s="1179">
        <v>2.29E-2</v>
      </c>
      <c r="M41" s="1179">
        <v>4.7300000000000002E-2</v>
      </c>
      <c r="N41" s="1179">
        <v>2.7400000000000001E-2</v>
      </c>
      <c r="O41" s="1179">
        <v>0.08</v>
      </c>
      <c r="P41" s="1179">
        <v>3.1699999999999999E-2</v>
      </c>
      <c r="Q41" s="1179"/>
      <c r="R41" s="1183">
        <v>0.55000000000000004</v>
      </c>
      <c r="S41" s="1182"/>
      <c r="T41" s="1182"/>
      <c r="U41" s="1182"/>
      <c r="V41" s="1182"/>
      <c r="W41" s="1182"/>
      <c r="X41" s="1182"/>
      <c r="Y41" s="1182"/>
      <c r="Z41" s="1182"/>
    </row>
    <row r="42" spans="1:26" ht="36" customHeight="1">
      <c r="A42" s="1178">
        <v>1994</v>
      </c>
      <c r="B42" s="1179">
        <v>5.8900000000000001E-2</v>
      </c>
      <c r="C42" s="1179">
        <v>2.9100000000000001E-2</v>
      </c>
      <c r="D42" s="1178">
        <v>459.27</v>
      </c>
      <c r="E42" s="1180">
        <v>31.75</v>
      </c>
      <c r="F42" s="1180">
        <v>13.36</v>
      </c>
      <c r="G42" s="1180"/>
      <c r="H42" s="1179">
        <v>0.18029999999999999</v>
      </c>
      <c r="I42" s="1179">
        <v>5.3400000000000003E-2</v>
      </c>
      <c r="J42" s="1179">
        <v>0.05</v>
      </c>
      <c r="K42" s="1179">
        <v>7.8200000000000006E-2</v>
      </c>
      <c r="L42" s="1179">
        <v>2.8199999999999999E-2</v>
      </c>
      <c r="M42" s="1179">
        <v>7.2300000000000003E-2</v>
      </c>
      <c r="N42" s="1179">
        <v>3.0599999999999999E-2</v>
      </c>
      <c r="O42" s="1179">
        <v>7.17E-2</v>
      </c>
      <c r="P42" s="1179">
        <v>3.5499999999999997E-2</v>
      </c>
      <c r="Q42" s="1179"/>
      <c r="R42" s="1183">
        <v>0.45</v>
      </c>
      <c r="S42" s="1182"/>
      <c r="T42" s="1182"/>
      <c r="U42" s="1182"/>
      <c r="V42" s="1182"/>
      <c r="W42" s="1182"/>
      <c r="X42" s="1182"/>
      <c r="Y42" s="1182"/>
      <c r="Z42" s="1182"/>
    </row>
    <row r="43" spans="1:26" ht="36" customHeight="1">
      <c r="A43" s="1178">
        <v>1995</v>
      </c>
      <c r="B43" s="1179">
        <v>5.74E-2</v>
      </c>
      <c r="C43" s="1179">
        <v>2.3E-2</v>
      </c>
      <c r="D43" s="1178">
        <v>615.92999999999995</v>
      </c>
      <c r="E43" s="1180">
        <v>37.700000000000003</v>
      </c>
      <c r="F43" s="1180">
        <v>14.17</v>
      </c>
      <c r="G43" s="1180"/>
      <c r="H43" s="1179">
        <v>0.18740000000000001</v>
      </c>
      <c r="I43" s="1179">
        <v>0.06</v>
      </c>
      <c r="J43" s="1179">
        <v>3.5000000000000003E-2</v>
      </c>
      <c r="K43" s="1179">
        <v>5.57E-2</v>
      </c>
      <c r="L43" s="1179">
        <v>2.07E-2</v>
      </c>
      <c r="M43" s="1179">
        <v>5.6500000000000002E-2</v>
      </c>
      <c r="N43" s="1179">
        <v>2.4400000000000002E-2</v>
      </c>
      <c r="O43" s="1179">
        <v>6.5000000000000002E-2</v>
      </c>
      <c r="P43" s="1179">
        <v>3.2899999999999999E-2</v>
      </c>
      <c r="Q43" s="1179"/>
      <c r="R43" s="1183">
        <v>0.59</v>
      </c>
      <c r="S43" s="1182"/>
      <c r="T43" s="1182"/>
      <c r="U43" s="1182"/>
      <c r="V43" s="1182"/>
      <c r="W43" s="1182"/>
      <c r="X43" s="1182"/>
      <c r="Y43" s="1182"/>
      <c r="Z43" s="1182"/>
    </row>
    <row r="44" spans="1:26" ht="36" customHeight="1">
      <c r="A44" s="1178">
        <v>1996</v>
      </c>
      <c r="B44" s="1179">
        <v>4.8300000000000003E-2</v>
      </c>
      <c r="C44" s="1179">
        <v>2.01E-2</v>
      </c>
      <c r="D44" s="1178">
        <v>740.74</v>
      </c>
      <c r="E44" s="1180">
        <v>40.630000000000003</v>
      </c>
      <c r="F44" s="1180">
        <v>14.89</v>
      </c>
      <c r="G44" s="1180"/>
      <c r="H44" s="1179">
        <v>7.7700000000000005E-2</v>
      </c>
      <c r="I44" s="1179">
        <v>5.0999999999999997E-2</v>
      </c>
      <c r="J44" s="1179">
        <v>0.05</v>
      </c>
      <c r="K44" s="1179">
        <v>6.4100000000000004E-2</v>
      </c>
      <c r="L44" s="1179">
        <v>1.41E-2</v>
      </c>
      <c r="M44" s="1179">
        <v>6.13E-2</v>
      </c>
      <c r="N44" s="1179">
        <v>2.1100000000000001E-2</v>
      </c>
      <c r="O44" s="1179">
        <v>7.9200000000000007E-2</v>
      </c>
      <c r="P44" s="1179">
        <v>3.2000000000000001E-2</v>
      </c>
      <c r="Q44" s="1179"/>
      <c r="R44" s="1183">
        <v>0.5</v>
      </c>
      <c r="S44" s="1182"/>
      <c r="T44" s="1182"/>
      <c r="U44" s="1182"/>
      <c r="V44" s="1182"/>
      <c r="W44" s="1182"/>
      <c r="X44" s="1182"/>
      <c r="Y44" s="1182"/>
      <c r="Z44" s="1182"/>
    </row>
    <row r="45" spans="1:26" ht="36" customHeight="1">
      <c r="A45" s="1178">
        <v>1997</v>
      </c>
      <c r="B45" s="1179">
        <v>4.0800000000000003E-2</v>
      </c>
      <c r="C45" s="1179">
        <v>1.6E-2</v>
      </c>
      <c r="D45" s="1178">
        <v>970.43</v>
      </c>
      <c r="E45" s="1180">
        <v>44.09</v>
      </c>
      <c r="F45" s="1180">
        <v>15.52</v>
      </c>
      <c r="G45" s="1180"/>
      <c r="H45" s="1179">
        <v>8.5199999999999998E-2</v>
      </c>
      <c r="I45" s="1179">
        <v>4.2500000000000003E-2</v>
      </c>
      <c r="J45" s="1179">
        <v>5.3499999999999999E-2</v>
      </c>
      <c r="K45" s="1179">
        <v>5.74E-2</v>
      </c>
      <c r="L45" s="1179">
        <v>3.8999999999999998E-3</v>
      </c>
      <c r="M45" s="1179">
        <v>5.45E-2</v>
      </c>
      <c r="N45" s="1179">
        <v>1.67E-2</v>
      </c>
      <c r="O45" s="1179">
        <v>0.08</v>
      </c>
      <c r="P45" s="1179">
        <v>2.7300000000000001E-2</v>
      </c>
      <c r="Q45" s="1179"/>
      <c r="R45" s="1183">
        <v>0.48</v>
      </c>
      <c r="S45" s="1184"/>
      <c r="T45" s="1184"/>
      <c r="U45" s="1184"/>
      <c r="V45" s="1184"/>
      <c r="W45" s="1184"/>
      <c r="X45" s="1184"/>
      <c r="Y45" s="1184"/>
      <c r="Z45" s="1184"/>
    </row>
    <row r="46" spans="1:26" ht="36" customHeight="1">
      <c r="A46" s="1178">
        <v>1998</v>
      </c>
      <c r="B46" s="1179">
        <v>3.1099999999999999E-2</v>
      </c>
      <c r="C46" s="1179">
        <v>1.32E-2</v>
      </c>
      <c r="D46" s="1178">
        <v>1229.23</v>
      </c>
      <c r="E46" s="1180">
        <v>44.27</v>
      </c>
      <c r="F46" s="1180">
        <v>16.2</v>
      </c>
      <c r="G46" s="1180"/>
      <c r="H46" s="1179">
        <v>4.1000000000000003E-3</v>
      </c>
      <c r="I46" s="1179">
        <v>4.3700000000000003E-2</v>
      </c>
      <c r="J46" s="1179">
        <v>4.3299999999999998E-2</v>
      </c>
      <c r="K46" s="1179">
        <v>4.65E-2</v>
      </c>
      <c r="L46" s="1179">
        <v>3.2000000000000002E-3</v>
      </c>
      <c r="M46" s="1179">
        <v>4.5999999999999999E-2</v>
      </c>
      <c r="N46" s="1179">
        <v>1.38E-2</v>
      </c>
      <c r="O46" s="1179">
        <v>7.1999999999999995E-2</v>
      </c>
      <c r="P46" s="1179">
        <v>2.2599999999999999E-2</v>
      </c>
      <c r="Q46" s="1179"/>
      <c r="R46" s="1183">
        <v>0.49</v>
      </c>
      <c r="S46" s="1184"/>
      <c r="T46" s="1184"/>
      <c r="U46" s="1184"/>
      <c r="V46" s="1184"/>
      <c r="W46" s="1184"/>
      <c r="X46" s="1184"/>
      <c r="Y46" s="1184"/>
      <c r="Z46" s="1184"/>
    </row>
    <row r="47" spans="1:26" ht="36" customHeight="1">
      <c r="A47" s="1178">
        <v>1999</v>
      </c>
      <c r="B47" s="1179">
        <v>3.0700000000000002E-2</v>
      </c>
      <c r="C47" s="1179">
        <v>1.14E-2</v>
      </c>
      <c r="D47" s="1178">
        <v>1469.25</v>
      </c>
      <c r="E47" s="1180">
        <v>51.68</v>
      </c>
      <c r="F47" s="1180">
        <v>16.71</v>
      </c>
      <c r="G47" s="1180"/>
      <c r="H47" s="1179">
        <v>0.16739999999999999</v>
      </c>
      <c r="I47" s="1179">
        <v>3.1600000000000003E-2</v>
      </c>
      <c r="J47" s="1179">
        <v>5.3699999999999998E-2</v>
      </c>
      <c r="K47" s="1179">
        <v>6.4399999999999999E-2</v>
      </c>
      <c r="L47" s="1179">
        <v>1.0699999999999999E-2</v>
      </c>
      <c r="M47" s="1179">
        <v>5.7500000000000002E-2</v>
      </c>
      <c r="N47" s="1179">
        <v>1.2E-2</v>
      </c>
      <c r="O47" s="1179">
        <v>0.125</v>
      </c>
      <c r="P47" s="1179">
        <v>2.0500000000000001E-2</v>
      </c>
      <c r="Q47" s="1179"/>
      <c r="R47" s="1183">
        <v>0.32</v>
      </c>
      <c r="S47" s="1184"/>
      <c r="T47" s="1184"/>
      <c r="U47" s="1184"/>
      <c r="V47" s="1184"/>
      <c r="W47" s="1184"/>
      <c r="X47" s="1184"/>
      <c r="Y47" s="1184"/>
      <c r="Z47" s="1184"/>
    </row>
    <row r="48" spans="1:26" ht="36" customHeight="1">
      <c r="A48" s="1178">
        <v>2000</v>
      </c>
      <c r="B48" s="1179">
        <v>3.9399999999999998E-2</v>
      </c>
      <c r="C48" s="1179">
        <v>1.23E-2</v>
      </c>
      <c r="D48" s="1178">
        <v>1320.28</v>
      </c>
      <c r="E48" s="1180">
        <v>56.13</v>
      </c>
      <c r="F48" s="1180">
        <v>16.27</v>
      </c>
      <c r="G48" s="1180"/>
      <c r="H48" s="1179">
        <v>8.6099999999999996E-2</v>
      </c>
      <c r="I48" s="1179">
        <v>-2.6499999999999999E-2</v>
      </c>
      <c r="J48" s="1179">
        <v>5.7299999999999997E-2</v>
      </c>
      <c r="K48" s="1179">
        <v>5.11E-2</v>
      </c>
      <c r="L48" s="1179">
        <v>-6.1999999999999998E-3</v>
      </c>
      <c r="M48" s="1179">
        <v>3.7100000000000001E-2</v>
      </c>
      <c r="N48" s="1179">
        <v>1.6500000000000001E-2</v>
      </c>
      <c r="O48" s="1179">
        <v>0.12</v>
      </c>
      <c r="P48" s="1179">
        <v>2.87E-2</v>
      </c>
      <c r="Q48" s="1179"/>
      <c r="R48" s="1183">
        <v>0.56000000000000005</v>
      </c>
      <c r="S48" s="1184"/>
      <c r="T48" s="1184"/>
      <c r="U48" s="1184"/>
      <c r="V48" s="1184"/>
      <c r="W48" s="1184"/>
      <c r="X48" s="1184"/>
      <c r="Y48" s="1184"/>
      <c r="Z48" s="1184"/>
    </row>
    <row r="49" spans="1:26" ht="36" customHeight="1">
      <c r="A49" s="1178">
        <v>2001</v>
      </c>
      <c r="B49" s="1179">
        <v>3.85E-2</v>
      </c>
      <c r="C49" s="1179">
        <v>1.37E-2</v>
      </c>
      <c r="D49" s="1178">
        <v>1148.0899999999999</v>
      </c>
      <c r="E49" s="1180">
        <v>38.85</v>
      </c>
      <c r="F49" s="1180">
        <v>15.74</v>
      </c>
      <c r="G49" s="4">
        <v>30.08</v>
      </c>
      <c r="H49" s="1179">
        <v>-0.30790000000000001</v>
      </c>
      <c r="I49" s="1179">
        <v>-3.2399999999999998E-2</v>
      </c>
      <c r="J49" s="1179">
        <v>1.7999999999999999E-2</v>
      </c>
      <c r="K49" s="1179">
        <v>5.0500000000000003E-2</v>
      </c>
      <c r="L49" s="1179">
        <v>3.2500000000000001E-2</v>
      </c>
      <c r="M49" s="1179">
        <v>3.56E-2</v>
      </c>
      <c r="N49" s="1179">
        <v>1.7299999999999999E-2</v>
      </c>
      <c r="O49" s="1179">
        <v>0.10299999999999999</v>
      </c>
      <c r="P49" s="1179">
        <v>3.6200000000000003E-2</v>
      </c>
      <c r="Q49" s="1179">
        <v>2.9100000000000001E-2</v>
      </c>
      <c r="R49" s="1183">
        <v>0.72</v>
      </c>
      <c r="S49" s="1184"/>
      <c r="T49" s="1184"/>
      <c r="U49" s="1184"/>
      <c r="V49" s="1184"/>
      <c r="W49" s="1184"/>
      <c r="X49" s="1184"/>
      <c r="Y49" s="1184"/>
      <c r="Z49" s="1184"/>
    </row>
    <row r="50" spans="1:26" ht="36" customHeight="1">
      <c r="A50" s="1178">
        <v>2002</v>
      </c>
      <c r="B50" s="1179">
        <v>5.2299999999999999E-2</v>
      </c>
      <c r="C50" s="1179">
        <v>1.83E-2</v>
      </c>
      <c r="D50" s="1178">
        <v>879.82</v>
      </c>
      <c r="E50" s="1178">
        <v>46.04</v>
      </c>
      <c r="F50" s="1178">
        <v>16.079999999999998</v>
      </c>
      <c r="G50" s="4">
        <v>29.83</v>
      </c>
      <c r="H50" s="1179">
        <v>0.18509999999999999</v>
      </c>
      <c r="I50" s="1179">
        <v>2.1499999999999998E-2</v>
      </c>
      <c r="J50" s="1179">
        <v>1.2E-2</v>
      </c>
      <c r="K50" s="1179">
        <v>3.8100000000000002E-2</v>
      </c>
      <c r="L50" s="1179">
        <v>2.6100000000000002E-2</v>
      </c>
      <c r="M50" s="1179">
        <v>3.5700000000000003E-2</v>
      </c>
      <c r="N50" s="1179">
        <v>2.29E-2</v>
      </c>
      <c r="O50" s="1179">
        <v>0.08</v>
      </c>
      <c r="P50" s="1179">
        <v>4.1000000000000002E-2</v>
      </c>
      <c r="Q50" s="1179">
        <v>4.7300000000000002E-2</v>
      </c>
      <c r="R50" s="1183">
        <v>1.08</v>
      </c>
      <c r="S50" s="1184"/>
      <c r="T50" s="1184"/>
      <c r="U50" s="1184"/>
      <c r="V50" s="1184"/>
      <c r="W50" s="1184"/>
      <c r="X50" s="1184"/>
      <c r="Y50" s="1184"/>
      <c r="Z50" s="1184"/>
    </row>
    <row r="51" spans="1:26" ht="36" customHeight="1">
      <c r="A51" s="1178">
        <v>2003</v>
      </c>
      <c r="B51" s="1179">
        <v>4.87E-2</v>
      </c>
      <c r="C51" s="1179">
        <v>1.61E-2</v>
      </c>
      <c r="D51" s="1178">
        <v>1111.9100000000001</v>
      </c>
      <c r="E51" s="1178">
        <v>54.69</v>
      </c>
      <c r="F51" s="1178">
        <v>17.88</v>
      </c>
      <c r="G51" s="4">
        <v>31.58</v>
      </c>
      <c r="H51" s="1179">
        <v>0.18790000000000001</v>
      </c>
      <c r="I51" s="1179">
        <v>0.1119</v>
      </c>
      <c r="J51" s="1179">
        <v>0.01</v>
      </c>
      <c r="K51" s="1179">
        <v>4.2500000000000003E-2</v>
      </c>
      <c r="L51" s="1179">
        <v>3.2500000000000001E-2</v>
      </c>
      <c r="M51" s="1179">
        <v>5.3499999999999999E-2</v>
      </c>
      <c r="N51" s="1179">
        <v>2.12E-2</v>
      </c>
      <c r="O51" s="1179">
        <v>0.11</v>
      </c>
      <c r="P51" s="1179">
        <v>3.6900000000000002E-2</v>
      </c>
      <c r="Q51" s="1179">
        <v>4.7399999999999998E-2</v>
      </c>
      <c r="R51" s="1183">
        <v>0.87</v>
      </c>
      <c r="S51" s="1184"/>
      <c r="T51" s="1184"/>
      <c r="U51" s="1184"/>
      <c r="V51" s="1184"/>
      <c r="W51" s="1184"/>
      <c r="X51" s="1184"/>
      <c r="Y51" s="1184"/>
      <c r="Z51" s="1184"/>
    </row>
    <row r="52" spans="1:26" ht="36" customHeight="1">
      <c r="A52" s="1178">
        <v>2004</v>
      </c>
      <c r="B52" s="1179">
        <v>5.5800000000000002E-2</v>
      </c>
      <c r="C52" s="1179">
        <v>1.6E-2</v>
      </c>
      <c r="D52" s="1178">
        <v>1211.92</v>
      </c>
      <c r="E52" s="1178">
        <v>67.680000000000007</v>
      </c>
      <c r="F52" s="1178">
        <v>19.407</v>
      </c>
      <c r="G52" s="4">
        <v>40.6</v>
      </c>
      <c r="H52" s="1179">
        <v>0.23749999999999999</v>
      </c>
      <c r="I52" s="1179">
        <v>8.5400000000000004E-2</v>
      </c>
      <c r="J52" s="1179">
        <v>2.18E-2</v>
      </c>
      <c r="K52" s="1179">
        <v>4.2200000000000001E-2</v>
      </c>
      <c r="L52" s="1179">
        <v>2.0400000000000001E-2</v>
      </c>
      <c r="M52" s="1179">
        <v>4.9000000000000002E-2</v>
      </c>
      <c r="N52" s="1179">
        <v>2.0199999999999999E-2</v>
      </c>
      <c r="O52" s="1179">
        <v>8.5000000000000006E-2</v>
      </c>
      <c r="P52" s="1179">
        <v>3.6499999999999998E-2</v>
      </c>
      <c r="Q52" s="1179">
        <v>4.8599999999999997E-2</v>
      </c>
      <c r="R52" s="1183">
        <v>0.86</v>
      </c>
      <c r="S52" s="1185"/>
      <c r="T52" s="1185"/>
      <c r="U52" s="1185"/>
      <c r="V52" s="1185"/>
      <c r="W52" s="1185"/>
      <c r="X52" s="1185"/>
      <c r="Y52" s="1185"/>
      <c r="Z52" s="1185"/>
    </row>
    <row r="53" spans="1:26" ht="36" customHeight="1">
      <c r="A53" s="1178">
        <v>2005</v>
      </c>
      <c r="B53" s="1179">
        <v>5.4699999999999999E-2</v>
      </c>
      <c r="C53" s="1179">
        <v>1.7899999999999999E-2</v>
      </c>
      <c r="D53" s="1178">
        <v>1248.29</v>
      </c>
      <c r="E53" s="1178">
        <v>76.45</v>
      </c>
      <c r="F53" s="1178">
        <v>22.38</v>
      </c>
      <c r="G53" s="4">
        <v>61.17</v>
      </c>
      <c r="H53" s="1179">
        <v>0.12959999999999999</v>
      </c>
      <c r="I53" s="1179">
        <v>0.1532</v>
      </c>
      <c r="J53" s="1179">
        <v>4.3099999999999999E-2</v>
      </c>
      <c r="K53" s="1179">
        <v>4.3900000000000002E-2</v>
      </c>
      <c r="L53" s="1179">
        <v>8.0000000000000004E-4</v>
      </c>
      <c r="M53" s="1179">
        <v>6.1600000000000002E-2</v>
      </c>
      <c r="N53" s="1179">
        <v>2.1999999999999999E-2</v>
      </c>
      <c r="O53" s="1179">
        <v>0.08</v>
      </c>
      <c r="P53" s="1179">
        <v>4.0800000000000003E-2</v>
      </c>
      <c r="Q53" s="1179">
        <v>5.2200000000000003E-2</v>
      </c>
      <c r="R53" s="1183">
        <v>0.93</v>
      </c>
      <c r="S53" s="1182"/>
      <c r="T53" s="1182"/>
      <c r="U53" s="1182"/>
      <c r="V53" s="1182"/>
      <c r="W53" s="1182"/>
      <c r="X53" s="1182"/>
      <c r="Y53" s="1182"/>
      <c r="Z53" s="1182"/>
    </row>
    <row r="54" spans="1:26" ht="36" customHeight="1">
      <c r="A54" s="1178">
        <v>2006</v>
      </c>
      <c r="B54" s="1179">
        <v>6.1800000000000001E-2</v>
      </c>
      <c r="C54" s="1179">
        <v>1.77E-2</v>
      </c>
      <c r="D54" s="1178">
        <v>1418.3</v>
      </c>
      <c r="E54" s="1178">
        <v>87.72</v>
      </c>
      <c r="F54" s="1178">
        <v>25.05</v>
      </c>
      <c r="G54" s="4">
        <v>73.16</v>
      </c>
      <c r="H54" s="1179">
        <v>0.1474</v>
      </c>
      <c r="I54" s="1179">
        <v>0.1193</v>
      </c>
      <c r="J54" s="1179">
        <v>4.8800000000000003E-2</v>
      </c>
      <c r="K54" s="1179">
        <v>4.7E-2</v>
      </c>
      <c r="L54" s="1179">
        <v>-1.8E-3</v>
      </c>
      <c r="M54" s="1179">
        <v>5.9299999999999999E-2</v>
      </c>
      <c r="N54" s="1179">
        <v>1.9699999999999999E-2</v>
      </c>
      <c r="O54" s="1179">
        <v>0.125</v>
      </c>
      <c r="P54" s="1179">
        <v>4.1599999999999998E-2</v>
      </c>
      <c r="Q54" s="1179">
        <v>6.1199999999999997E-2</v>
      </c>
      <c r="R54" s="1183">
        <v>0.89</v>
      </c>
      <c r="S54" s="1182"/>
      <c r="T54" s="1182"/>
      <c r="U54" s="1182"/>
      <c r="V54" s="1182"/>
      <c r="W54" s="1182"/>
      <c r="X54" s="1182"/>
      <c r="Y54" s="1182"/>
      <c r="Z54" s="1182"/>
    </row>
    <row r="55" spans="1:26" ht="36" customHeight="1">
      <c r="A55" s="1178">
        <v>2007</v>
      </c>
      <c r="B55" s="1179">
        <v>5.62E-2</v>
      </c>
      <c r="C55" s="1179">
        <v>1.89E-2</v>
      </c>
      <c r="D55" s="1178">
        <v>1468.36</v>
      </c>
      <c r="E55" s="1178">
        <v>82.54</v>
      </c>
      <c r="F55" s="1178">
        <v>27.73</v>
      </c>
      <c r="G55" s="4">
        <v>95.36</v>
      </c>
      <c r="H55" s="1179">
        <v>-5.91E-2</v>
      </c>
      <c r="I55" s="1179">
        <v>0.107</v>
      </c>
      <c r="J55" s="1179">
        <v>3.3099999999999997E-2</v>
      </c>
      <c r="K55" s="1179">
        <v>4.02E-2</v>
      </c>
      <c r="L55" s="1179">
        <v>7.1000000000000004E-3</v>
      </c>
      <c r="M55" s="1179">
        <v>5.0299999999999997E-2</v>
      </c>
      <c r="N55" s="1179">
        <v>2.06E-2</v>
      </c>
      <c r="O55" s="1179">
        <v>0.05</v>
      </c>
      <c r="P55" s="1179">
        <v>4.3700000000000003E-2</v>
      </c>
      <c r="Q55" s="1179">
        <v>4.5900000000000003E-2</v>
      </c>
      <c r="R55" s="1183">
        <v>1.0900000000000001</v>
      </c>
      <c r="S55" s="1182"/>
      <c r="T55" s="1182"/>
      <c r="U55" s="1182"/>
      <c r="V55" s="1182"/>
      <c r="W55" s="1182"/>
      <c r="X55" s="1182"/>
      <c r="Y55" s="1182"/>
      <c r="Z55" s="1182"/>
    </row>
    <row r="56" spans="1:26" ht="36" customHeight="1">
      <c r="A56" s="1178">
        <v>2008</v>
      </c>
      <c r="B56" s="1179">
        <v>7.2400000000000006E-2</v>
      </c>
      <c r="C56" s="1179">
        <v>3.1099999999999999E-2</v>
      </c>
      <c r="D56" s="1180">
        <v>903.25</v>
      </c>
      <c r="E56" s="1180">
        <v>65.39</v>
      </c>
      <c r="F56" s="1180">
        <v>28.05</v>
      </c>
      <c r="G56" s="4">
        <v>67.52</v>
      </c>
      <c r="H56" s="1179">
        <v>-0.20780000000000001</v>
      </c>
      <c r="I56" s="1179">
        <v>1.15E-2</v>
      </c>
      <c r="J56" s="1179">
        <v>1.5900000000000001E-2</v>
      </c>
      <c r="K56" s="1179">
        <v>2.2100000000000002E-2</v>
      </c>
      <c r="L56" s="1179">
        <v>6.1999999999999998E-3</v>
      </c>
      <c r="M56" s="1179">
        <v>2.1100000000000001E-2</v>
      </c>
      <c r="N56" s="1179">
        <v>4.0500000000000001E-2</v>
      </c>
      <c r="O56" s="1179">
        <v>0.04</v>
      </c>
      <c r="P56" s="1179">
        <v>6.4299999999999996E-2</v>
      </c>
      <c r="Q56" s="1179">
        <v>6.9199999999999998E-2</v>
      </c>
      <c r="R56" s="1183">
        <v>2.91</v>
      </c>
      <c r="S56" s="1182"/>
      <c r="T56" s="1182"/>
      <c r="U56" s="1182"/>
      <c r="V56" s="1182"/>
      <c r="W56" s="1182"/>
      <c r="X56" s="1182"/>
      <c r="Y56" s="1182"/>
      <c r="Z56" s="1182"/>
    </row>
    <row r="57" spans="1:26" ht="36" customHeight="1">
      <c r="A57" s="1186">
        <v>2009</v>
      </c>
      <c r="B57" s="1179">
        <v>5.3499999999999999E-2</v>
      </c>
      <c r="C57" s="1179">
        <v>0.02</v>
      </c>
      <c r="D57" s="1180">
        <v>1115.0999999999999</v>
      </c>
      <c r="E57" s="1180">
        <v>59.65</v>
      </c>
      <c r="F57" s="1180">
        <v>22.31</v>
      </c>
      <c r="G57" s="4">
        <v>37.43</v>
      </c>
      <c r="H57" s="1179">
        <v>-8.7800000000000003E-2</v>
      </c>
      <c r="I57" s="1179">
        <v>-0.2046</v>
      </c>
      <c r="J57" s="1179">
        <v>1.4E-3</v>
      </c>
      <c r="K57" s="1179">
        <v>3.8399999999999997E-2</v>
      </c>
      <c r="L57" s="1179">
        <v>3.6999999999999998E-2</v>
      </c>
      <c r="M57" s="1179">
        <v>2.8E-3</v>
      </c>
      <c r="N57" s="1179">
        <v>2.5999999999999999E-2</v>
      </c>
      <c r="O57" s="1179">
        <v>7.1999999999999995E-2</v>
      </c>
      <c r="P57" s="1179">
        <v>4.36E-2</v>
      </c>
      <c r="Q57" s="1179">
        <v>4.6399999999999997E-2</v>
      </c>
      <c r="R57" s="1183">
        <v>1.1399999999999999</v>
      </c>
      <c r="S57" s="1182"/>
      <c r="T57" s="1182"/>
      <c r="U57" s="1182"/>
      <c r="V57" s="1182"/>
      <c r="W57" s="1182"/>
      <c r="X57" s="1182"/>
      <c r="Y57" s="1182"/>
      <c r="Z57" s="1182"/>
    </row>
    <row r="58" spans="1:26" ht="36" customHeight="1">
      <c r="A58" s="1186">
        <v>2010</v>
      </c>
      <c r="B58" s="1179">
        <v>6.6500000000000004E-2</v>
      </c>
      <c r="C58" s="1179">
        <v>1.84E-2</v>
      </c>
      <c r="D58" s="1180">
        <v>1257.6400000000001</v>
      </c>
      <c r="E58" s="1180">
        <v>83.66</v>
      </c>
      <c r="F58" s="1180">
        <v>23.12</v>
      </c>
      <c r="G58" s="4">
        <v>55.53</v>
      </c>
      <c r="H58" s="1179">
        <v>0.40250000000000002</v>
      </c>
      <c r="I58" s="1179">
        <v>3.6299999999999999E-2</v>
      </c>
      <c r="J58" s="1179">
        <v>1.2999999999999999E-3</v>
      </c>
      <c r="K58" s="1179">
        <v>3.2899999999999999E-2</v>
      </c>
      <c r="L58" s="1179">
        <v>3.1600000000000003E-2</v>
      </c>
      <c r="M58" s="1179">
        <v>3.3300000000000003E-2</v>
      </c>
      <c r="N58" s="1179">
        <v>2.24E-2</v>
      </c>
      <c r="O58" s="1179">
        <v>6.9500000000000006E-2</v>
      </c>
      <c r="P58" s="1179">
        <v>5.1999999999999998E-2</v>
      </c>
      <c r="Q58" s="1179">
        <v>6.0900000000000003E-2</v>
      </c>
      <c r="R58" s="1183">
        <v>1.58</v>
      </c>
      <c r="S58" s="1182"/>
      <c r="T58" s="1182"/>
      <c r="U58" s="1182"/>
      <c r="V58" s="1182"/>
      <c r="W58" s="1182"/>
      <c r="X58" s="1182"/>
      <c r="Y58" s="1182"/>
      <c r="Z58" s="1182"/>
    </row>
    <row r="59" spans="1:26" ht="36" customHeight="1">
      <c r="A59" s="1187">
        <v>2011</v>
      </c>
      <c r="B59" s="1179">
        <v>7.7200000000000005E-2</v>
      </c>
      <c r="C59" s="1179">
        <v>2.07E-2</v>
      </c>
      <c r="D59" s="4">
        <v>1257.5999999999999</v>
      </c>
      <c r="E59" s="4">
        <v>97.05</v>
      </c>
      <c r="F59" s="4">
        <v>26.02</v>
      </c>
      <c r="G59" s="1188">
        <v>71.28</v>
      </c>
      <c r="H59" s="1179">
        <v>0.16009999999999999</v>
      </c>
      <c r="I59" s="1179">
        <v>0.12540000000000001</v>
      </c>
      <c r="J59" s="8">
        <v>2.9999999999999997E-4</v>
      </c>
      <c r="K59" s="8">
        <v>1.8800000000000001E-2</v>
      </c>
      <c r="L59" s="8">
        <v>1.8499999999999999E-2</v>
      </c>
      <c r="M59" s="8">
        <v>2.75E-2</v>
      </c>
      <c r="N59" s="8">
        <v>2.7099999999999999E-2</v>
      </c>
      <c r="O59" s="8">
        <v>7.1800000000000003E-2</v>
      </c>
      <c r="P59" s="8">
        <v>6.0100000000000001E-2</v>
      </c>
      <c r="Q59" s="8">
        <v>8.3400000000000002E-2</v>
      </c>
      <c r="R59" s="1189">
        <v>3.2</v>
      </c>
      <c r="S59" s="1182"/>
      <c r="T59" s="1182"/>
      <c r="U59" s="1182"/>
      <c r="V59" s="1182"/>
      <c r="W59" s="1182"/>
      <c r="X59" s="1182"/>
      <c r="Y59" s="1182"/>
      <c r="Z59" s="1182"/>
    </row>
    <row r="60" spans="1:26" ht="36" customHeight="1">
      <c r="A60" s="1187">
        <v>2012</v>
      </c>
      <c r="B60" s="8">
        <v>7.1800000000000003E-2</v>
      </c>
      <c r="C60" s="8">
        <v>2.1299999999999999E-2</v>
      </c>
      <c r="D60" s="4">
        <v>1426.19</v>
      </c>
      <c r="E60" s="4">
        <v>102.47</v>
      </c>
      <c r="F60" s="4">
        <v>30.44</v>
      </c>
      <c r="G60" s="4">
        <v>75.900000000000006</v>
      </c>
      <c r="H60" s="8">
        <v>5.5800000000000002E-2</v>
      </c>
      <c r="I60" s="8">
        <v>0.1699</v>
      </c>
      <c r="J60" s="8">
        <v>5.0000000000000001E-4</v>
      </c>
      <c r="K60" s="8">
        <v>1.7600000000000001E-2</v>
      </c>
      <c r="L60" s="8">
        <v>1.7100000000000001E-2</v>
      </c>
      <c r="M60" s="8">
        <v>2.93E-2</v>
      </c>
      <c r="N60" s="8">
        <v>2.47E-2</v>
      </c>
      <c r="O60" s="8">
        <v>5.2699999999999997E-2</v>
      </c>
      <c r="P60" s="8">
        <v>5.7799999999999997E-2</v>
      </c>
      <c r="Q60" s="8">
        <v>7.2999999999999995E-2</v>
      </c>
      <c r="R60" s="1189">
        <v>3.28</v>
      </c>
      <c r="S60" s="1182"/>
      <c r="T60" s="1182"/>
      <c r="U60" s="1182"/>
      <c r="V60" s="1182"/>
      <c r="W60" s="1182"/>
      <c r="X60" s="1182"/>
      <c r="Y60" s="1182"/>
      <c r="Z60" s="1182"/>
    </row>
    <row r="61" spans="1:26" ht="36" customHeight="1">
      <c r="A61" s="1187">
        <v>2013</v>
      </c>
      <c r="B61" s="8">
        <v>5.8099999999999999E-2</v>
      </c>
      <c r="C61" s="8">
        <v>1.9599999999999999E-2</v>
      </c>
      <c r="D61" s="4">
        <v>1848.36</v>
      </c>
      <c r="E61" s="4">
        <v>107.45</v>
      </c>
      <c r="F61" s="4">
        <v>36.28</v>
      </c>
      <c r="G61" s="4">
        <v>88.13</v>
      </c>
      <c r="H61" s="8">
        <v>4.8599999999999997E-2</v>
      </c>
      <c r="I61" s="8">
        <v>0.19189999999999999</v>
      </c>
      <c r="J61" s="8">
        <v>6.9999999999999999E-4</v>
      </c>
      <c r="K61" s="8">
        <v>3.04E-2</v>
      </c>
      <c r="L61" s="8">
        <v>2.9700000000000001E-2</v>
      </c>
      <c r="M61" s="8">
        <v>5.0099999999999999E-2</v>
      </c>
      <c r="N61" s="8">
        <v>2.0299999999999999E-2</v>
      </c>
      <c r="O61" s="8">
        <v>4.2799999999999998E-2</v>
      </c>
      <c r="P61" s="8">
        <v>4.9599999999999998E-2</v>
      </c>
      <c r="Q61" s="8">
        <v>4.99E-2</v>
      </c>
      <c r="R61" s="1189">
        <v>1.63</v>
      </c>
      <c r="S61" s="1182"/>
      <c r="T61" s="1182"/>
      <c r="U61" s="1182"/>
      <c r="V61" s="1182"/>
      <c r="W61" s="1182"/>
      <c r="X61" s="1182"/>
      <c r="Y61" s="1182"/>
      <c r="Z61" s="1182"/>
    </row>
    <row r="62" spans="1:26" ht="36" customHeight="1">
      <c r="A62" s="1187">
        <v>2014</v>
      </c>
      <c r="B62" s="8">
        <v>5.4899999999999997E-2</v>
      </c>
      <c r="C62" s="1179">
        <v>1.9199999999999998E-2</v>
      </c>
      <c r="D62" s="4">
        <v>2058.9</v>
      </c>
      <c r="E62" s="4">
        <v>113.01</v>
      </c>
      <c r="F62" s="4">
        <v>39.44</v>
      </c>
      <c r="G62" s="4">
        <v>101.98</v>
      </c>
      <c r="H62" s="8">
        <v>5.1700000000000003E-2</v>
      </c>
      <c r="I62" s="8">
        <v>8.7099999999999997E-2</v>
      </c>
      <c r="J62" s="8">
        <v>5.0000000000000001E-4</v>
      </c>
      <c r="K62" s="8">
        <v>2.1700000000000001E-2</v>
      </c>
      <c r="L62" s="8">
        <v>2.12E-2</v>
      </c>
      <c r="M62" s="8">
        <v>2.7699999999999999E-2</v>
      </c>
      <c r="N62" s="8">
        <v>2.24E-2</v>
      </c>
      <c r="O62" s="8">
        <v>5.5800000000000002E-2</v>
      </c>
      <c r="P62" s="8">
        <v>5.7799999999999997E-2</v>
      </c>
      <c r="Q62" s="8">
        <v>5.4800000000000001E-2</v>
      </c>
      <c r="R62" s="1189">
        <v>2.66</v>
      </c>
      <c r="S62" s="1182"/>
      <c r="T62" s="1182"/>
      <c r="U62" s="1182"/>
      <c r="V62" s="1182"/>
      <c r="W62" s="1182"/>
      <c r="X62" s="1182"/>
      <c r="Y62" s="1182"/>
      <c r="Z62" s="1182"/>
    </row>
    <row r="63" spans="1:26" ht="36" customHeight="1">
      <c r="A63" s="1190">
        <v>2015</v>
      </c>
      <c r="B63" s="8">
        <v>5.1999999999999998E-2</v>
      </c>
      <c r="C63" s="1179">
        <v>2.1100000000000001E-2</v>
      </c>
      <c r="D63" s="1191">
        <v>2043.94</v>
      </c>
      <c r="E63" s="1191">
        <v>106.32</v>
      </c>
      <c r="F63" s="1191">
        <v>43.16</v>
      </c>
      <c r="G63" s="1191">
        <v>106.1</v>
      </c>
      <c r="H63" s="8">
        <v>-5.9200000000000003E-2</v>
      </c>
      <c r="I63" s="8">
        <v>9.4299999999999995E-2</v>
      </c>
      <c r="J63" s="1192">
        <v>2.0999999999999999E-3</v>
      </c>
      <c r="K63" s="1192">
        <v>2.2700000000000001E-2</v>
      </c>
      <c r="L63" s="8">
        <v>2.06E-2</v>
      </c>
      <c r="M63" s="8">
        <v>2.9600000000000001E-2</v>
      </c>
      <c r="N63" s="1192">
        <v>2.46E-2</v>
      </c>
      <c r="O63" s="1192">
        <v>5.5500000000000001E-2</v>
      </c>
      <c r="P63" s="1192">
        <v>6.1199999999999997E-2</v>
      </c>
      <c r="Q63" s="1192">
        <v>5.16E-2</v>
      </c>
      <c r="R63" s="1189">
        <v>2.7</v>
      </c>
      <c r="S63" s="1182"/>
      <c r="T63" s="1182"/>
      <c r="U63" s="1182"/>
      <c r="V63" s="1182"/>
      <c r="W63" s="1182"/>
      <c r="X63" s="1182"/>
      <c r="Y63" s="1182"/>
      <c r="Z63" s="1182"/>
    </row>
    <row r="64" spans="1:26" ht="36" customHeight="1">
      <c r="A64" s="1193">
        <v>2016</v>
      </c>
      <c r="B64" s="8">
        <v>4.8599999999999997E-2</v>
      </c>
      <c r="C64" s="1179">
        <v>2.01E-2</v>
      </c>
      <c r="D64" s="1194">
        <v>2238.83</v>
      </c>
      <c r="E64" s="1194">
        <v>108.86</v>
      </c>
      <c r="F64" s="1194">
        <v>45.03</v>
      </c>
      <c r="G64" s="1191">
        <v>108.67</v>
      </c>
      <c r="H64" s="8">
        <v>2.3900000000000001E-2</v>
      </c>
      <c r="I64" s="8">
        <v>4.3299999999999998E-2</v>
      </c>
      <c r="J64" s="1195">
        <v>5.1000000000000004E-3</v>
      </c>
      <c r="K64" s="1195">
        <v>2.4500000000000001E-2</v>
      </c>
      <c r="L64" s="8">
        <v>1.9400000000000001E-2</v>
      </c>
      <c r="M64" s="8">
        <v>2.64E-2</v>
      </c>
      <c r="N64" s="1195">
        <v>2.3900000000000001E-2</v>
      </c>
      <c r="O64" s="1195">
        <v>5.5399999999999998E-2</v>
      </c>
      <c r="P64" s="1195">
        <v>5.6899999999999999E-2</v>
      </c>
      <c r="Q64" s="1195">
        <v>4.4999999999999998E-2</v>
      </c>
      <c r="R64" s="1189">
        <v>2.3199999999999998</v>
      </c>
      <c r="S64" s="1182"/>
      <c r="T64" s="1182"/>
      <c r="U64" s="1182"/>
      <c r="V64" s="1182"/>
      <c r="W64" s="1182"/>
      <c r="X64" s="1182"/>
      <c r="Y64" s="1182"/>
      <c r="Z64" s="1182"/>
    </row>
    <row r="65" spans="1:26" ht="36" customHeight="1">
      <c r="A65" s="1193">
        <v>2017</v>
      </c>
      <c r="B65" s="8">
        <v>4.6699999999999998E-2</v>
      </c>
      <c r="C65" s="1179">
        <v>1.8599999999999998E-2</v>
      </c>
      <c r="D65" s="1194">
        <v>2673.61</v>
      </c>
      <c r="E65" s="1194">
        <v>124.94</v>
      </c>
      <c r="F65" s="1194">
        <v>49.73</v>
      </c>
      <c r="G65" s="1191">
        <v>108.28</v>
      </c>
      <c r="H65" s="8">
        <v>0.1477</v>
      </c>
      <c r="I65" s="8">
        <v>0.10440000000000001</v>
      </c>
      <c r="J65" s="1195">
        <v>1.3899999999999999E-2</v>
      </c>
      <c r="K65" s="1195">
        <v>2.41E-2</v>
      </c>
      <c r="L65" s="8">
        <v>1.0200000000000001E-2</v>
      </c>
      <c r="M65" s="8">
        <v>3.2199999999999999E-2</v>
      </c>
      <c r="N65" s="1195">
        <v>2.3599999999999999E-2</v>
      </c>
      <c r="O65" s="1195">
        <v>7.0499999999999993E-2</v>
      </c>
      <c r="P65" s="1195">
        <v>5.0799999999999998E-2</v>
      </c>
      <c r="Q65" s="1195">
        <v>4.7500000000000001E-2</v>
      </c>
      <c r="R65" s="1189">
        <v>2.11</v>
      </c>
      <c r="S65" s="1182"/>
      <c r="T65" s="1182"/>
      <c r="U65" s="1182"/>
      <c r="V65" s="1182"/>
      <c r="W65" s="1182"/>
      <c r="X65" s="1182"/>
      <c r="Y65" s="1182"/>
      <c r="Z65" s="1182"/>
    </row>
    <row r="66" spans="1:26" ht="36" customHeight="1">
      <c r="A66" s="1193">
        <v>2018</v>
      </c>
      <c r="B66" s="1195">
        <v>5.9200000000000003E-2</v>
      </c>
      <c r="C66" s="1179">
        <v>2.1399999999999999E-2</v>
      </c>
      <c r="D66" s="1194">
        <v>2506.85</v>
      </c>
      <c r="E66" s="1194">
        <v>148.34</v>
      </c>
      <c r="F66" s="1194">
        <v>53.61</v>
      </c>
      <c r="G66" s="1191">
        <v>136.65</v>
      </c>
      <c r="H66" s="8">
        <v>0.18729999999999999</v>
      </c>
      <c r="I66" s="8">
        <v>7.8E-2</v>
      </c>
      <c r="J66" s="1195">
        <v>2.3699999999999999E-2</v>
      </c>
      <c r="K66" s="1195">
        <v>2.6800000000000001E-2</v>
      </c>
      <c r="L66" s="8">
        <v>3.0999999999999999E-3</v>
      </c>
      <c r="M66" s="8">
        <v>3.2399999999999998E-2</v>
      </c>
      <c r="N66" s="1195">
        <v>2.5000000000000001E-2</v>
      </c>
      <c r="O66" s="1195">
        <v>4.1200000000000001E-2</v>
      </c>
      <c r="P66" s="1195">
        <v>5.96E-2</v>
      </c>
      <c r="Q66" s="1195">
        <v>5.5500000000000001E-2</v>
      </c>
      <c r="R66" s="1189">
        <v>2.2200000000000002</v>
      </c>
      <c r="S66" s="1182"/>
      <c r="T66" s="1182"/>
      <c r="U66" s="1182"/>
      <c r="V66" s="1182"/>
      <c r="W66" s="1182"/>
      <c r="X66" s="1182"/>
      <c r="Y66" s="1182"/>
      <c r="Z66" s="1182"/>
    </row>
    <row r="67" spans="1:26" ht="36" customHeight="1">
      <c r="A67" s="1193">
        <v>2019</v>
      </c>
      <c r="B67" s="1195">
        <v>5.0299999999999997E-2</v>
      </c>
      <c r="C67" s="1179">
        <v>1.8200000000000001E-2</v>
      </c>
      <c r="D67" s="1194">
        <v>3230.78</v>
      </c>
      <c r="E67" s="1196">
        <v>162.35</v>
      </c>
      <c r="F67" s="1196">
        <v>58.8</v>
      </c>
      <c r="G67" s="1191">
        <v>150.5</v>
      </c>
      <c r="H67" s="8">
        <v>9.4399999999999998E-2</v>
      </c>
      <c r="I67" s="8">
        <v>9.6799999999999997E-2</v>
      </c>
      <c r="J67" s="1195">
        <v>1.55E-2</v>
      </c>
      <c r="K67" s="1195">
        <v>1.9199999999999998E-2</v>
      </c>
      <c r="L67" s="8">
        <v>3.7000000000000002E-3</v>
      </c>
      <c r="M67" s="8">
        <v>2.5700000000000001E-2</v>
      </c>
      <c r="N67" s="1195">
        <v>2.0299999999999999E-2</v>
      </c>
      <c r="O67" s="1195">
        <v>3.9600000000000003E-2</v>
      </c>
      <c r="P67" s="1195">
        <v>5.1999999999999998E-2</v>
      </c>
      <c r="Q67" s="1195">
        <v>5.0599999999999999E-2</v>
      </c>
      <c r="R67" s="1189">
        <v>2.71</v>
      </c>
      <c r="S67" s="1182"/>
      <c r="T67" s="1182"/>
      <c r="U67" s="1182"/>
      <c r="V67" s="1182"/>
      <c r="W67" s="1182"/>
      <c r="X67" s="1182"/>
      <c r="Y67" s="1182"/>
      <c r="Z67" s="1182"/>
    </row>
    <row r="68" spans="1:26" ht="36" customHeight="1">
      <c r="A68" s="1193">
        <v>2020</v>
      </c>
      <c r="B68" s="1195">
        <v>3.7199999999999997E-2</v>
      </c>
      <c r="C68" s="1179">
        <v>1.5100000000000001E-2</v>
      </c>
      <c r="D68" s="1194">
        <v>3756.07</v>
      </c>
      <c r="E68" s="1194">
        <v>139.76</v>
      </c>
      <c r="F68" s="1194">
        <v>56.7</v>
      </c>
      <c r="G68" s="1191">
        <v>127.78</v>
      </c>
      <c r="H68" s="8">
        <v>-0.1391</v>
      </c>
      <c r="I68" s="8">
        <v>-3.5700000000000003E-2</v>
      </c>
      <c r="J68" s="1195">
        <v>8.9999999999999998E-4</v>
      </c>
      <c r="K68" s="1195">
        <v>9.2999999999999992E-3</v>
      </c>
      <c r="L68" s="8">
        <v>8.3999999999999995E-3</v>
      </c>
      <c r="M68" s="8">
        <v>7.4000000000000003E-3</v>
      </c>
      <c r="N68" s="1195">
        <v>1.6500000000000001E-2</v>
      </c>
      <c r="O68" s="1195">
        <v>5.4199999999999998E-2</v>
      </c>
      <c r="P68" s="1195">
        <v>4.7199999999999999E-2</v>
      </c>
      <c r="Q68" s="1195">
        <v>4.9399999999999999E-2</v>
      </c>
      <c r="R68" s="1189">
        <v>5.08</v>
      </c>
      <c r="S68" s="1182"/>
      <c r="T68" s="1182"/>
      <c r="U68" s="1182"/>
      <c r="V68" s="1182"/>
      <c r="W68" s="1182"/>
      <c r="X68" s="1182"/>
      <c r="Y68" s="1182"/>
      <c r="Z68" s="1182"/>
    </row>
    <row r="69" spans="1:26" ht="36" customHeight="1">
      <c r="A69" s="1193">
        <v>2021</v>
      </c>
      <c r="B69" s="1195">
        <v>4.3299999999999998E-2</v>
      </c>
      <c r="C69" s="1179">
        <v>1.24E-2</v>
      </c>
      <c r="D69" s="1194">
        <v>4766.18</v>
      </c>
      <c r="E69" s="1194">
        <v>206.38</v>
      </c>
      <c r="F69" s="1194">
        <v>59.2</v>
      </c>
      <c r="G69" s="1191">
        <v>147.24</v>
      </c>
      <c r="H69" s="8">
        <v>0.47670000000000001</v>
      </c>
      <c r="I69" s="8">
        <v>4.41E-2</v>
      </c>
      <c r="J69" s="1195">
        <v>5.9999999999999995E-4</v>
      </c>
      <c r="K69" s="1195">
        <v>1.5100000000000001E-2</v>
      </c>
      <c r="L69" s="8">
        <v>1.4500000000000001E-2</v>
      </c>
      <c r="M69" s="8">
        <v>1.7100000000000001E-2</v>
      </c>
      <c r="N69" s="1195">
        <v>1.72E-2</v>
      </c>
      <c r="O69" s="1195">
        <v>6.4699999999999994E-2</v>
      </c>
      <c r="P69" s="1195">
        <v>4.24E-2</v>
      </c>
      <c r="Q69" s="1195">
        <v>4.9000000000000002E-2</v>
      </c>
      <c r="R69" s="1189">
        <v>2.81</v>
      </c>
      <c r="S69" s="1182"/>
      <c r="T69" s="1182"/>
      <c r="U69" s="1182"/>
      <c r="V69" s="1182"/>
      <c r="W69" s="1182"/>
      <c r="X69" s="1182"/>
      <c r="Y69" s="1182"/>
      <c r="Z69" s="1182"/>
    </row>
    <row r="70" spans="1:26" ht="36" customHeight="1">
      <c r="A70" s="1193">
        <v>2022</v>
      </c>
      <c r="B70" s="1195">
        <v>5.7200000000000001E-2</v>
      </c>
      <c r="C70" s="1179">
        <v>1.78E-2</v>
      </c>
      <c r="D70" s="1194">
        <v>3839.5</v>
      </c>
      <c r="E70" s="1194">
        <v>219.49</v>
      </c>
      <c r="F70" s="1194">
        <v>68.34</v>
      </c>
      <c r="G70" s="1191">
        <v>181.99</v>
      </c>
      <c r="H70" s="8">
        <v>6.3500000000000001E-2</v>
      </c>
      <c r="I70" s="8">
        <v>0.15440000000000001</v>
      </c>
      <c r="J70" s="1195">
        <v>4.4200000000000003E-2</v>
      </c>
      <c r="K70" s="1195">
        <v>3.8800000000000001E-2</v>
      </c>
      <c r="L70" s="8">
        <v>-5.4000000000000003E-3</v>
      </c>
      <c r="M70" s="8">
        <v>5.5899999999999998E-2</v>
      </c>
      <c r="N70" s="1195">
        <v>2.1600000000000001E-2</v>
      </c>
      <c r="O70" s="1195">
        <v>6.4100000000000004E-2</v>
      </c>
      <c r="P70" s="1195">
        <v>5.9400000000000001E-2</v>
      </c>
      <c r="Q70" s="1195">
        <v>5.11E-2</v>
      </c>
      <c r="R70" s="1189">
        <v>1.53</v>
      </c>
      <c r="S70" s="1182"/>
      <c r="T70" s="1182"/>
      <c r="U70" s="1182"/>
      <c r="V70" s="1182"/>
      <c r="W70" s="1182"/>
      <c r="X70" s="1182"/>
      <c r="Y70" s="1182"/>
      <c r="Z70" s="1182"/>
    </row>
    <row r="71" spans="1:26" ht="36" customHeight="1">
      <c r="A71" s="1190">
        <v>2023</v>
      </c>
      <c r="B71" s="1192">
        <v>4.6100000000000002E-2</v>
      </c>
      <c r="C71" s="1197">
        <v>1.47E-2</v>
      </c>
      <c r="D71" s="1191">
        <v>4769.83</v>
      </c>
      <c r="E71" s="1191">
        <v>219.7</v>
      </c>
      <c r="F71" s="1191">
        <v>70.3</v>
      </c>
      <c r="G71" s="1191">
        <v>164.25</v>
      </c>
      <c r="H71" s="1192">
        <v>1E-3</v>
      </c>
      <c r="I71" s="1192">
        <v>2.87E-2</v>
      </c>
      <c r="J71" s="1192">
        <v>5.1999999999999998E-2</v>
      </c>
      <c r="K71" s="1192">
        <v>3.8800000000000001E-2</v>
      </c>
      <c r="L71" s="1192">
        <v>-1.32E-2</v>
      </c>
      <c r="M71" s="1192">
        <v>3.73E-2</v>
      </c>
      <c r="N71" s="1192">
        <v>1.9699999999999999E-2</v>
      </c>
      <c r="O71" s="1192">
        <v>8.7400000000000005E-2</v>
      </c>
      <c r="P71" s="1192">
        <v>4.5999999999999999E-2</v>
      </c>
      <c r="Q71" s="1192">
        <v>4.5699999999999998E-2</v>
      </c>
      <c r="R71" s="1191">
        <v>1.19</v>
      </c>
      <c r="S71" s="1182"/>
      <c r="T71" s="1182"/>
      <c r="U71" s="1182"/>
      <c r="V71" s="1182"/>
      <c r="W71" s="1182"/>
      <c r="X71" s="1182"/>
      <c r="Y71" s="1182"/>
      <c r="Z71" s="1182"/>
    </row>
    <row r="72" spans="1:26" ht="36" customHeight="1">
      <c r="A72" s="1190"/>
      <c r="B72" s="1192"/>
      <c r="C72" s="1197"/>
      <c r="D72" s="1191"/>
      <c r="E72" s="1191"/>
      <c r="F72" s="1191"/>
      <c r="G72" s="1191"/>
      <c r="H72" s="1192"/>
      <c r="I72" s="1192"/>
      <c r="J72" s="1192"/>
      <c r="K72" s="1192">
        <f>+AVERAGE(K51:K70)</f>
        <v>2.8910000000000002E-2</v>
      </c>
      <c r="L72" s="1192"/>
      <c r="M72" s="1192"/>
      <c r="N72" s="1192"/>
      <c r="O72" s="1192"/>
      <c r="P72" s="1192"/>
      <c r="Q72" s="1192"/>
      <c r="R72" s="1191"/>
      <c r="S72" s="1182"/>
      <c r="T72" s="1182"/>
      <c r="U72" s="1182"/>
      <c r="V72" s="1182"/>
      <c r="W72" s="1182"/>
      <c r="X72" s="1182"/>
      <c r="Y72" s="1182"/>
      <c r="Z72" s="1182"/>
    </row>
    <row r="73" spans="1:26" ht="36" customHeight="1">
      <c r="A73" s="1190"/>
      <c r="B73" s="1192"/>
      <c r="C73" s="1197"/>
      <c r="D73" s="1191"/>
      <c r="E73" s="1191"/>
      <c r="F73" s="1191"/>
      <c r="G73" s="1191"/>
      <c r="H73" s="1192"/>
      <c r="I73" s="1192"/>
      <c r="J73" s="1192"/>
      <c r="K73" s="1192"/>
      <c r="L73" s="1192"/>
      <c r="M73" s="1192"/>
      <c r="N73" s="1192"/>
      <c r="O73" s="1192"/>
      <c r="P73" s="1192"/>
      <c r="Q73" s="1192"/>
      <c r="R73" s="1191"/>
      <c r="S73" s="1182"/>
      <c r="T73" s="1182"/>
      <c r="U73" s="1182"/>
      <c r="V73" s="1182"/>
      <c r="W73" s="1182"/>
      <c r="X73" s="1182"/>
      <c r="Y73" s="1182"/>
      <c r="Z73" s="1182"/>
    </row>
    <row r="74" spans="1:26" ht="36" customHeight="1">
      <c r="A74" s="1190"/>
      <c r="B74" s="1192"/>
      <c r="C74" s="1197"/>
      <c r="D74" s="1191"/>
      <c r="E74" s="1191"/>
      <c r="F74" s="1191"/>
      <c r="G74" s="1191"/>
      <c r="H74" s="1192"/>
      <c r="I74" s="1192"/>
      <c r="J74" s="1192"/>
      <c r="K74" s="1192"/>
      <c r="L74" s="1192"/>
      <c r="M74" s="1192"/>
      <c r="N74" s="1192"/>
      <c r="O74" s="1192"/>
      <c r="P74" s="1192"/>
      <c r="Q74" s="1192"/>
      <c r="R74" s="1191"/>
      <c r="S74" s="1182"/>
      <c r="T74" s="1182"/>
      <c r="U74" s="1182"/>
      <c r="V74" s="1182"/>
      <c r="W74" s="1182"/>
      <c r="X74" s="1182"/>
      <c r="Y74" s="1182"/>
      <c r="Z74" s="1182"/>
    </row>
    <row r="75" spans="1:26" ht="36" customHeight="1">
      <c r="A75" s="1198" t="s">
        <v>736</v>
      </c>
      <c r="B75" s="1199"/>
      <c r="C75" s="1199"/>
      <c r="D75" s="1199"/>
      <c r="E75" s="1199"/>
      <c r="F75" s="1199"/>
      <c r="G75" s="1199"/>
      <c r="H75" s="1199"/>
      <c r="I75" s="1199"/>
      <c r="J75" s="1199"/>
      <c r="K75" s="1199"/>
      <c r="L75" s="1199"/>
      <c r="M75" s="1199"/>
      <c r="N75" s="1199"/>
      <c r="O75" s="1199"/>
      <c r="P75" s="1199"/>
      <c r="Q75" s="1199"/>
      <c r="R75" s="1199"/>
      <c r="S75" s="1199"/>
      <c r="T75" s="1199"/>
      <c r="U75" s="1199"/>
      <c r="V75" s="1199"/>
      <c r="W75" s="1199"/>
      <c r="X75" s="1199"/>
      <c r="Y75" s="1199"/>
      <c r="Z75" s="1199"/>
    </row>
    <row r="76" spans="1:26" ht="36" customHeight="1">
      <c r="A76" s="1198"/>
      <c r="B76" s="1199"/>
      <c r="C76" s="1199"/>
      <c r="D76" s="1199"/>
      <c r="E76" s="1199"/>
      <c r="F76" s="1199"/>
      <c r="G76" s="1199"/>
      <c r="H76" s="1199"/>
      <c r="I76" s="1199"/>
      <c r="J76" s="1199"/>
      <c r="K76" s="1199"/>
      <c r="L76" s="1199"/>
      <c r="M76" s="1199"/>
      <c r="N76" s="1199"/>
      <c r="O76" s="1199"/>
      <c r="P76" s="1199"/>
      <c r="Q76" s="1199"/>
      <c r="R76" s="1199"/>
      <c r="S76" s="1199"/>
      <c r="T76" s="1199"/>
      <c r="U76" s="1199"/>
      <c r="V76" s="1199"/>
      <c r="W76" s="1199"/>
      <c r="X76" s="1199"/>
      <c r="Y76" s="1199"/>
      <c r="Z76" s="1199"/>
    </row>
    <row r="77" spans="1:26" ht="36" customHeight="1">
      <c r="A77" s="1200"/>
      <c r="B77" s="1201" t="s">
        <v>737</v>
      </c>
      <c r="C77" s="1201" t="s">
        <v>738</v>
      </c>
      <c r="D77" s="1202" t="s">
        <v>739</v>
      </c>
      <c r="E77" s="1200"/>
      <c r="F77" s="1200"/>
      <c r="G77" s="1200"/>
      <c r="H77" s="1200"/>
      <c r="I77" s="1200"/>
      <c r="J77" s="1200"/>
      <c r="K77" s="1200"/>
      <c r="L77" s="1200"/>
      <c r="M77" s="1200"/>
      <c r="N77" s="1200"/>
      <c r="O77" s="1200"/>
      <c r="P77" s="1200"/>
      <c r="Q77" s="1200"/>
      <c r="R77" s="1200"/>
      <c r="S77" s="1200"/>
      <c r="T77" s="1200"/>
      <c r="U77" s="1200"/>
      <c r="V77" s="1200"/>
      <c r="W77" s="1200"/>
      <c r="X77" s="1200"/>
      <c r="Y77" s="1200"/>
      <c r="Z77" s="1200"/>
    </row>
    <row r="78" spans="1:26" ht="36" customHeight="1">
      <c r="A78" s="1200"/>
      <c r="B78" s="1203" t="s">
        <v>740</v>
      </c>
      <c r="C78" s="1204">
        <f>AVERAGE(P9:P69)</f>
        <v>4.213114754098362E-2</v>
      </c>
      <c r="D78" s="1204">
        <f>C78+AVERAGE(K9:K68)</f>
        <v>0.10064948087431697</v>
      </c>
      <c r="E78" s="1200"/>
      <c r="F78" s="1200"/>
      <c r="G78" s="1200"/>
      <c r="H78" s="1200"/>
      <c r="I78" s="1200"/>
      <c r="J78" s="1200"/>
      <c r="K78" s="1200"/>
      <c r="L78" s="1200"/>
      <c r="M78" s="1200"/>
      <c r="N78" s="1200"/>
      <c r="O78" s="1200"/>
      <c r="P78" s="1200"/>
      <c r="Q78" s="1200"/>
      <c r="R78" s="1200"/>
      <c r="S78" s="1200"/>
      <c r="T78" s="1200"/>
      <c r="U78" s="1200"/>
      <c r="V78" s="1200"/>
      <c r="W78" s="1200"/>
      <c r="X78" s="1200"/>
      <c r="Y78" s="1200"/>
      <c r="Z78" s="1200"/>
    </row>
    <row r="79" spans="1:26" ht="36" customHeight="1">
      <c r="A79" s="1200"/>
      <c r="B79" s="1203" t="s">
        <v>741</v>
      </c>
      <c r="C79" s="1204">
        <f>AVERAGE(P50:P69)</f>
        <v>4.9789999999999987E-2</v>
      </c>
      <c r="D79" s="1204">
        <f>C79+AVERAGE(K49:K68)</f>
        <v>8.0434999999999979E-2</v>
      </c>
      <c r="E79" s="1200"/>
      <c r="F79" s="1200"/>
      <c r="G79" s="1200"/>
      <c r="H79" s="1200"/>
      <c r="I79" s="1200"/>
      <c r="J79" s="1200"/>
      <c r="K79" s="1200"/>
      <c r="L79" s="1200"/>
      <c r="M79" s="1200"/>
      <c r="N79" s="1200"/>
      <c r="O79" s="1200"/>
      <c r="P79" s="1200"/>
      <c r="Q79" s="1200"/>
      <c r="R79" s="1200"/>
      <c r="S79" s="1200"/>
      <c r="T79" s="1200"/>
      <c r="U79" s="1200"/>
      <c r="V79" s="1200"/>
      <c r="W79" s="1200"/>
      <c r="X79" s="1200"/>
      <c r="Y79" s="1200"/>
      <c r="Z79" s="1200"/>
    </row>
    <row r="80" spans="1:26" ht="36" customHeight="1">
      <c r="A80" s="1200"/>
      <c r="B80" s="1203" t="s">
        <v>742</v>
      </c>
      <c r="C80" s="1204">
        <f>AVERAGE(P60:P69)</f>
        <v>5.3530000000000001E-2</v>
      </c>
      <c r="D80" s="1204">
        <f>C80+AVERAGE(K59:K68)</f>
        <v>7.5039999999999996E-2</v>
      </c>
      <c r="E80" s="1200"/>
      <c r="F80" s="1200"/>
      <c r="G80" s="1200"/>
      <c r="H80" s="1200"/>
      <c r="I80" s="1200"/>
      <c r="J80" s="1200"/>
      <c r="K80" s="1200"/>
      <c r="L80" s="1200"/>
      <c r="M80" s="1200"/>
      <c r="N80" s="1200"/>
      <c r="O80" s="1200"/>
      <c r="P80" s="1200"/>
      <c r="Q80" s="1200"/>
      <c r="R80" s="1200"/>
      <c r="S80" s="1200"/>
      <c r="T80" s="1200"/>
      <c r="U80" s="1200"/>
      <c r="V80" s="1200"/>
      <c r="W80" s="1200"/>
      <c r="X80" s="1200"/>
      <c r="Y80" s="1200"/>
      <c r="Z80" s="1200"/>
    </row>
    <row r="81" spans="1:26" ht="36" customHeight="1">
      <c r="A81" s="1200"/>
      <c r="B81" s="1205" t="s">
        <v>743</v>
      </c>
      <c r="C81" s="1204">
        <v>5.9400000000000001E-2</v>
      </c>
      <c r="D81" s="1204">
        <f>C81+K70</f>
        <v>9.820000000000001E-2</v>
      </c>
      <c r="E81" s="1200"/>
      <c r="F81" s="1200"/>
      <c r="G81" s="1200"/>
      <c r="H81" s="1200"/>
      <c r="I81" s="1200"/>
      <c r="J81" s="1200"/>
      <c r="K81" s="1200"/>
      <c r="L81" s="1200"/>
      <c r="M81" s="1200"/>
      <c r="N81" s="1200"/>
      <c r="O81" s="1200"/>
      <c r="P81" s="1200"/>
      <c r="Q81" s="1200"/>
      <c r="R81" s="1200"/>
      <c r="S81" s="1200"/>
      <c r="T81" s="1200"/>
      <c r="U81" s="1200"/>
      <c r="V81" s="1200"/>
      <c r="W81" s="1200"/>
      <c r="X81" s="1200"/>
      <c r="Y81" s="1200"/>
      <c r="Z81" s="1200"/>
    </row>
    <row r="82" spans="1:26" ht="36" customHeight="1">
      <c r="A82" s="1172"/>
      <c r="B82" s="1172"/>
      <c r="C82" s="1172"/>
      <c r="D82" s="1172"/>
      <c r="E82" s="1172"/>
      <c r="F82" s="1172"/>
      <c r="G82" s="1172"/>
      <c r="H82" s="1172"/>
      <c r="I82" s="1172"/>
      <c r="J82" s="1172"/>
      <c r="K82" s="1172"/>
      <c r="L82" s="1172"/>
      <c r="M82" s="1172"/>
      <c r="N82" s="1172"/>
      <c r="O82" s="1172"/>
      <c r="P82" s="1172"/>
      <c r="Q82" s="1172"/>
      <c r="R82" s="1172"/>
      <c r="S82" s="1172"/>
      <c r="T82" s="1172"/>
      <c r="U82" s="1172"/>
      <c r="V82" s="1172"/>
      <c r="W82" s="1172"/>
      <c r="X82" s="1172"/>
      <c r="Y82" s="1172"/>
      <c r="Z82" s="1172"/>
    </row>
    <row r="83" spans="1:26" ht="36" customHeight="1">
      <c r="A83" s="1172"/>
      <c r="B83" s="1172"/>
      <c r="C83" s="1172"/>
      <c r="D83" s="1172"/>
      <c r="E83" s="1172"/>
      <c r="F83" s="1172"/>
      <c r="G83" s="1172"/>
      <c r="H83" s="1172"/>
      <c r="I83" s="1172"/>
      <c r="J83" s="1172"/>
      <c r="K83" s="1172"/>
      <c r="L83" s="1172"/>
      <c r="M83" s="1172"/>
      <c r="N83" s="1172"/>
      <c r="O83" s="1172"/>
      <c r="P83" s="1172"/>
      <c r="Q83" s="1172"/>
      <c r="R83" s="1172"/>
      <c r="S83" s="1172"/>
      <c r="T83" s="1172"/>
      <c r="U83" s="1172"/>
      <c r="V83" s="1172"/>
      <c r="W83" s="1172"/>
      <c r="X83" s="1172"/>
      <c r="Y83" s="1172"/>
      <c r="Z83" s="1172"/>
    </row>
    <row r="84" spans="1:26" ht="36" customHeight="1">
      <c r="A84" s="1172"/>
      <c r="B84" s="1172"/>
      <c r="C84" s="1172"/>
      <c r="D84" s="1172"/>
      <c r="E84" s="1172"/>
      <c r="F84" s="1172"/>
      <c r="G84" s="1172"/>
      <c r="H84" s="1172"/>
      <c r="I84" s="1172"/>
      <c r="J84" s="1172"/>
      <c r="K84" s="1172"/>
      <c r="L84" s="1172"/>
      <c r="M84" s="1172"/>
      <c r="N84" s="1172"/>
      <c r="O84" s="1172"/>
      <c r="P84" s="1172"/>
      <c r="Q84" s="1172"/>
      <c r="R84" s="1172"/>
      <c r="S84" s="1172"/>
      <c r="T84" s="1172"/>
      <c r="U84" s="1172"/>
      <c r="V84" s="1172"/>
      <c r="W84" s="1172"/>
      <c r="X84" s="1172"/>
      <c r="Y84" s="1172"/>
      <c r="Z84" s="1172"/>
    </row>
    <row r="85" spans="1:26" ht="36" customHeight="1">
      <c r="A85" s="1172"/>
      <c r="B85" s="1172"/>
      <c r="C85" s="1172"/>
      <c r="D85" s="1172"/>
      <c r="E85" s="1172"/>
      <c r="F85" s="1172"/>
      <c r="G85" s="1172"/>
      <c r="H85" s="1172"/>
      <c r="I85" s="1172"/>
      <c r="J85" s="1172"/>
      <c r="K85" s="1172"/>
      <c r="L85" s="1172"/>
      <c r="M85" s="1172"/>
      <c r="N85" s="1172"/>
      <c r="O85" s="1172"/>
      <c r="P85" s="1172"/>
      <c r="Q85" s="1172"/>
      <c r="R85" s="1172"/>
      <c r="S85" s="1172"/>
      <c r="T85" s="1172"/>
      <c r="U85" s="1172"/>
      <c r="V85" s="1172"/>
      <c r="W85" s="1172"/>
      <c r="X85" s="1172"/>
      <c r="Y85" s="1172"/>
      <c r="Z85" s="1172"/>
    </row>
    <row r="86" spans="1:26" ht="36" customHeight="1">
      <c r="A86" s="1172"/>
      <c r="B86" s="1172"/>
      <c r="C86" s="1172"/>
      <c r="D86" s="1172"/>
      <c r="E86" s="1172"/>
      <c r="F86" s="1172"/>
      <c r="G86" s="1172"/>
      <c r="H86" s="1172"/>
      <c r="I86" s="1172"/>
      <c r="J86" s="1172"/>
      <c r="K86" s="1172"/>
      <c r="L86" s="1172"/>
      <c r="M86" s="1172"/>
      <c r="N86" s="1172"/>
      <c r="O86" s="1172"/>
      <c r="P86" s="1172"/>
      <c r="Q86" s="1172"/>
      <c r="R86" s="1172"/>
      <c r="S86" s="1172"/>
      <c r="T86" s="1172"/>
      <c r="U86" s="1172"/>
      <c r="V86" s="1172"/>
      <c r="W86" s="1172"/>
      <c r="X86" s="1172"/>
      <c r="Y86" s="1172"/>
      <c r="Z86" s="1172"/>
    </row>
    <row r="87" spans="1:26" ht="36" customHeight="1">
      <c r="A87" s="1172"/>
      <c r="B87" s="1172"/>
      <c r="C87" s="1172"/>
      <c r="D87" s="1172"/>
      <c r="E87" s="1172"/>
      <c r="F87" s="1172"/>
      <c r="G87" s="1172"/>
      <c r="H87" s="1172"/>
      <c r="I87" s="1172"/>
      <c r="J87" s="1172"/>
      <c r="K87" s="1172"/>
      <c r="L87" s="1172"/>
      <c r="M87" s="1172"/>
      <c r="N87" s="1172"/>
      <c r="O87" s="1172"/>
      <c r="P87" s="1172"/>
      <c r="Q87" s="1172"/>
      <c r="R87" s="1172"/>
      <c r="S87" s="1172"/>
      <c r="T87" s="1172"/>
      <c r="U87" s="1172"/>
      <c r="V87" s="1172"/>
      <c r="W87" s="1172"/>
      <c r="X87" s="1172"/>
      <c r="Y87" s="1172"/>
      <c r="Z87" s="1172"/>
    </row>
    <row r="88" spans="1:26" ht="36" customHeight="1">
      <c r="A88" s="1172"/>
      <c r="B88" s="1172"/>
      <c r="C88" s="1172"/>
      <c r="D88" s="1172"/>
      <c r="E88" s="1172"/>
      <c r="F88" s="1172"/>
      <c r="G88" s="1172"/>
      <c r="H88" s="1172"/>
      <c r="I88" s="1172"/>
      <c r="J88" s="1172"/>
      <c r="K88" s="1172"/>
      <c r="L88" s="1172"/>
      <c r="M88" s="1172"/>
      <c r="N88" s="1172"/>
      <c r="O88" s="1172"/>
      <c r="P88" s="1172"/>
      <c r="Q88" s="1172"/>
      <c r="R88" s="1172"/>
      <c r="S88" s="1172"/>
      <c r="T88" s="1172"/>
      <c r="U88" s="1172"/>
      <c r="V88" s="1172"/>
      <c r="W88" s="1172"/>
      <c r="X88" s="1172"/>
      <c r="Y88" s="1172"/>
      <c r="Z88" s="1172"/>
    </row>
    <row r="89" spans="1:26" ht="36" customHeight="1">
      <c r="A89" s="1172"/>
      <c r="B89" s="1172"/>
      <c r="C89" s="1172"/>
      <c r="D89" s="1172"/>
      <c r="E89" s="1172"/>
      <c r="F89" s="1172"/>
      <c r="G89" s="1172"/>
      <c r="H89" s="1172"/>
      <c r="I89" s="1172"/>
      <c r="J89" s="1172"/>
      <c r="K89" s="1172"/>
      <c r="L89" s="1172"/>
      <c r="M89" s="1172"/>
      <c r="N89" s="1172"/>
      <c r="O89" s="1172"/>
      <c r="P89" s="1172"/>
      <c r="Q89" s="1172"/>
      <c r="R89" s="1172"/>
      <c r="S89" s="1172"/>
      <c r="T89" s="1172"/>
      <c r="U89" s="1172"/>
      <c r="V89" s="1172"/>
      <c r="W89" s="1172"/>
      <c r="X89" s="1172"/>
      <c r="Y89" s="1172"/>
      <c r="Z89" s="1172"/>
    </row>
    <row r="90" spans="1:26" ht="36" customHeight="1">
      <c r="A90" s="1172"/>
      <c r="B90" s="1172"/>
      <c r="C90" s="1172"/>
      <c r="D90" s="1172"/>
      <c r="E90" s="1172"/>
      <c r="F90" s="1172"/>
      <c r="G90" s="1172"/>
      <c r="H90" s="1172"/>
      <c r="I90" s="1172"/>
      <c r="J90" s="1172"/>
      <c r="K90" s="1172"/>
      <c r="L90" s="1172"/>
      <c r="M90" s="1172"/>
      <c r="N90" s="1172"/>
      <c r="O90" s="1172"/>
      <c r="P90" s="1172"/>
      <c r="Q90" s="1172"/>
      <c r="R90" s="1172"/>
      <c r="S90" s="1172"/>
      <c r="T90" s="1172"/>
      <c r="U90" s="1172"/>
      <c r="V90" s="1172"/>
      <c r="W90" s="1172"/>
      <c r="X90" s="1172"/>
      <c r="Y90" s="1172"/>
      <c r="Z90" s="1172"/>
    </row>
    <row r="91" spans="1:26" ht="36" customHeight="1">
      <c r="A91" s="1172"/>
      <c r="B91" s="1172"/>
      <c r="C91" s="1172"/>
      <c r="D91" s="1172"/>
      <c r="E91" s="1172"/>
      <c r="F91" s="1172"/>
      <c r="G91" s="1172"/>
      <c r="H91" s="1172"/>
      <c r="I91" s="1172"/>
      <c r="J91" s="1172"/>
      <c r="K91" s="1172"/>
      <c r="L91" s="1172"/>
      <c r="M91" s="1172"/>
      <c r="N91" s="1172"/>
      <c r="O91" s="1172"/>
      <c r="P91" s="1172"/>
      <c r="Q91" s="1172"/>
      <c r="R91" s="1172"/>
      <c r="S91" s="1172"/>
      <c r="T91" s="1172"/>
      <c r="U91" s="1172"/>
      <c r="V91" s="1172"/>
      <c r="W91" s="1172"/>
      <c r="X91" s="1172"/>
      <c r="Y91" s="1172"/>
      <c r="Z91" s="1172"/>
    </row>
    <row r="92" spans="1:26" ht="36" customHeight="1">
      <c r="A92" s="1172"/>
      <c r="B92" s="1172"/>
      <c r="C92" s="1172"/>
      <c r="D92" s="1172"/>
      <c r="E92" s="1172"/>
      <c r="F92" s="1172"/>
      <c r="G92" s="1172"/>
      <c r="H92" s="1172"/>
      <c r="I92" s="1172"/>
      <c r="J92" s="1172"/>
      <c r="K92" s="1172"/>
      <c r="L92" s="1172"/>
      <c r="M92" s="1172"/>
      <c r="N92" s="1172"/>
      <c r="O92" s="1172"/>
      <c r="P92" s="1172"/>
      <c r="Q92" s="1172"/>
      <c r="R92" s="1172"/>
      <c r="S92" s="1172"/>
      <c r="T92" s="1172"/>
      <c r="U92" s="1172"/>
      <c r="V92" s="1172"/>
      <c r="W92" s="1172"/>
      <c r="X92" s="1172"/>
      <c r="Y92" s="1172"/>
      <c r="Z92" s="1172"/>
    </row>
    <row r="93" spans="1:26" ht="36" customHeight="1">
      <c r="A93" s="1172"/>
      <c r="B93" s="1172"/>
      <c r="C93" s="1172"/>
      <c r="D93" s="1172"/>
      <c r="E93" s="1172"/>
      <c r="F93" s="1172"/>
      <c r="G93" s="1172"/>
      <c r="H93" s="1172"/>
      <c r="I93" s="1172"/>
      <c r="J93" s="1172"/>
      <c r="K93" s="1172"/>
      <c r="L93" s="1172"/>
      <c r="M93" s="1172"/>
      <c r="N93" s="1172"/>
      <c r="O93" s="1172"/>
      <c r="P93" s="1172"/>
      <c r="Q93" s="1172"/>
      <c r="R93" s="1172"/>
      <c r="S93" s="1172"/>
      <c r="T93" s="1172"/>
      <c r="U93" s="1172"/>
      <c r="V93" s="1172"/>
      <c r="W93" s="1172"/>
      <c r="X93" s="1172"/>
      <c r="Y93" s="1172"/>
      <c r="Z93" s="1172"/>
    </row>
    <row r="94" spans="1:26" ht="36" customHeight="1">
      <c r="A94" s="1172"/>
      <c r="B94" s="1172"/>
      <c r="C94" s="1172"/>
      <c r="D94" s="1172"/>
      <c r="E94" s="1172"/>
      <c r="F94" s="1172"/>
      <c r="G94" s="1172"/>
      <c r="H94" s="1172"/>
      <c r="I94" s="1172"/>
      <c r="J94" s="1172"/>
      <c r="K94" s="1172"/>
      <c r="L94" s="1172"/>
      <c r="M94" s="1172"/>
      <c r="N94" s="1172"/>
      <c r="O94" s="1172"/>
      <c r="P94" s="1172"/>
      <c r="Q94" s="1172"/>
      <c r="R94" s="1172"/>
      <c r="S94" s="1172"/>
      <c r="T94" s="1172"/>
      <c r="U94" s="1172"/>
      <c r="V94" s="1172"/>
      <c r="W94" s="1172"/>
      <c r="X94" s="1172"/>
      <c r="Y94" s="1172"/>
      <c r="Z94" s="1172"/>
    </row>
    <row r="95" spans="1:26" ht="36" customHeight="1">
      <c r="A95" s="1172"/>
      <c r="B95" s="1172"/>
      <c r="C95" s="1172"/>
      <c r="D95" s="1172"/>
      <c r="E95" s="1172"/>
      <c r="F95" s="1172"/>
      <c r="G95" s="1172"/>
      <c r="H95" s="1172"/>
      <c r="I95" s="1172"/>
      <c r="J95" s="1172"/>
      <c r="K95" s="1172"/>
      <c r="L95" s="1172"/>
      <c r="M95" s="1172"/>
      <c r="N95" s="1172"/>
      <c r="O95" s="1172"/>
      <c r="P95" s="1172"/>
      <c r="Q95" s="1172"/>
      <c r="R95" s="1172"/>
      <c r="S95" s="1172"/>
      <c r="T95" s="1172"/>
      <c r="U95" s="1172"/>
      <c r="V95" s="1172"/>
      <c r="W95" s="1172"/>
      <c r="X95" s="1172"/>
      <c r="Y95" s="1172"/>
      <c r="Z95" s="1172"/>
    </row>
    <row r="96" spans="1:26" ht="36" customHeight="1">
      <c r="A96" s="1172"/>
      <c r="B96" s="1172"/>
      <c r="C96" s="1172"/>
      <c r="D96" s="1172"/>
      <c r="E96" s="1172"/>
      <c r="F96" s="1172"/>
      <c r="G96" s="1172"/>
      <c r="H96" s="1172"/>
      <c r="I96" s="1172"/>
      <c r="J96" s="1172"/>
      <c r="K96" s="1172"/>
      <c r="L96" s="1172"/>
      <c r="M96" s="1172"/>
      <c r="N96" s="1172"/>
      <c r="O96" s="1172"/>
      <c r="P96" s="1172"/>
      <c r="Q96" s="1172"/>
      <c r="R96" s="1172"/>
      <c r="S96" s="1172"/>
      <c r="T96" s="1172"/>
      <c r="U96" s="1172"/>
      <c r="V96" s="1172"/>
      <c r="W96" s="1172"/>
      <c r="X96" s="1172"/>
      <c r="Y96" s="1172"/>
      <c r="Z96" s="1172"/>
    </row>
    <row r="97" spans="1:26" ht="36" customHeight="1">
      <c r="A97" s="1172"/>
      <c r="B97" s="1172"/>
      <c r="C97" s="1172"/>
      <c r="D97" s="1172"/>
      <c r="E97" s="1172"/>
      <c r="F97" s="1172"/>
      <c r="G97" s="1172"/>
      <c r="H97" s="1172"/>
      <c r="I97" s="1172"/>
      <c r="J97" s="1172"/>
      <c r="K97" s="1172"/>
      <c r="L97" s="1172"/>
      <c r="M97" s="1172"/>
      <c r="N97" s="1172"/>
      <c r="O97" s="1172"/>
      <c r="P97" s="1172"/>
      <c r="Q97" s="1172"/>
      <c r="R97" s="1172"/>
      <c r="S97" s="1172"/>
      <c r="T97" s="1172"/>
      <c r="U97" s="1172"/>
      <c r="V97" s="1172"/>
      <c r="W97" s="1172"/>
      <c r="X97" s="1172"/>
      <c r="Y97" s="1172"/>
      <c r="Z97" s="1172"/>
    </row>
    <row r="98" spans="1:26" ht="36" customHeight="1">
      <c r="A98" s="1172"/>
      <c r="B98" s="1172"/>
      <c r="C98" s="1172"/>
      <c r="D98" s="1172"/>
      <c r="E98" s="1172"/>
      <c r="F98" s="1172"/>
      <c r="G98" s="1172"/>
      <c r="H98" s="1172"/>
      <c r="I98" s="1172"/>
      <c r="J98" s="1172"/>
      <c r="K98" s="1172"/>
      <c r="L98" s="1172"/>
      <c r="M98" s="1172"/>
      <c r="N98" s="1172"/>
      <c r="O98" s="1172"/>
      <c r="P98" s="1172"/>
      <c r="Q98" s="1172"/>
      <c r="R98" s="1172"/>
      <c r="S98" s="1172"/>
      <c r="T98" s="1172"/>
      <c r="U98" s="1172"/>
      <c r="V98" s="1172"/>
      <c r="W98" s="1172"/>
      <c r="X98" s="1172"/>
      <c r="Y98" s="1172"/>
      <c r="Z98" s="1172"/>
    </row>
    <row r="99" spans="1:26" ht="36" customHeight="1">
      <c r="A99" s="1172"/>
      <c r="B99" s="1172"/>
      <c r="C99" s="1172"/>
      <c r="D99" s="1172"/>
      <c r="E99" s="1172"/>
      <c r="F99" s="1172"/>
      <c r="G99" s="1172"/>
      <c r="H99" s="1172"/>
      <c r="I99" s="1172"/>
      <c r="J99" s="1172"/>
      <c r="K99" s="1172"/>
      <c r="L99" s="1172"/>
      <c r="M99" s="1172"/>
      <c r="N99" s="1172"/>
      <c r="O99" s="1172"/>
      <c r="P99" s="1172"/>
      <c r="Q99" s="1172"/>
      <c r="R99" s="1172"/>
      <c r="S99" s="1172"/>
      <c r="T99" s="1172"/>
      <c r="U99" s="1172"/>
      <c r="V99" s="1172"/>
      <c r="W99" s="1172"/>
      <c r="X99" s="1172"/>
      <c r="Y99" s="1172"/>
      <c r="Z99" s="1172"/>
    </row>
    <row r="100" spans="1:26" ht="36" customHeight="1">
      <c r="A100" s="1172"/>
      <c r="B100" s="1172"/>
      <c r="C100" s="1172"/>
      <c r="D100" s="1172"/>
      <c r="E100" s="1172"/>
      <c r="F100" s="1172"/>
      <c r="G100" s="1172"/>
      <c r="H100" s="1172"/>
      <c r="I100" s="1172"/>
      <c r="J100" s="1172"/>
      <c r="K100" s="1172"/>
      <c r="L100" s="1172"/>
      <c r="M100" s="1172"/>
      <c r="N100" s="1172"/>
      <c r="O100" s="1172"/>
      <c r="P100" s="1172"/>
      <c r="Q100" s="1172"/>
      <c r="R100" s="1172"/>
      <c r="S100" s="1172"/>
      <c r="T100" s="1172"/>
      <c r="U100" s="1172"/>
      <c r="V100" s="1172"/>
      <c r="W100" s="1172"/>
      <c r="X100" s="1172"/>
      <c r="Y100" s="1172"/>
      <c r="Z100" s="1172"/>
    </row>
    <row r="101" spans="1:26" ht="36" customHeight="1">
      <c r="A101" s="1172"/>
      <c r="B101" s="1172"/>
      <c r="C101" s="1172"/>
      <c r="D101" s="1172"/>
      <c r="E101" s="1172"/>
      <c r="F101" s="1172"/>
      <c r="G101" s="1172"/>
      <c r="H101" s="1172"/>
      <c r="I101" s="1172"/>
      <c r="J101" s="1172"/>
      <c r="K101" s="1172"/>
      <c r="L101" s="1172"/>
      <c r="M101" s="1172"/>
      <c r="N101" s="1172"/>
      <c r="O101" s="1172"/>
      <c r="P101" s="1172"/>
      <c r="Q101" s="1172"/>
      <c r="R101" s="1172"/>
      <c r="S101" s="1172"/>
      <c r="T101" s="1172"/>
      <c r="U101" s="1172"/>
      <c r="V101" s="1172"/>
      <c r="W101" s="1172"/>
      <c r="X101" s="1172"/>
      <c r="Y101" s="1172"/>
      <c r="Z101" s="1172"/>
    </row>
    <row r="102" spans="1:26" ht="36" customHeight="1">
      <c r="A102" s="1172"/>
      <c r="B102" s="1172"/>
      <c r="C102" s="1172"/>
      <c r="D102" s="1172"/>
      <c r="E102" s="1172"/>
      <c r="F102" s="1172"/>
      <c r="G102" s="1172"/>
      <c r="H102" s="1172"/>
      <c r="I102" s="1172"/>
      <c r="J102" s="1172"/>
      <c r="K102" s="1172"/>
      <c r="L102" s="1172"/>
      <c r="M102" s="1172"/>
      <c r="N102" s="1172"/>
      <c r="O102" s="1172"/>
      <c r="P102" s="1172"/>
      <c r="Q102" s="1172"/>
      <c r="R102" s="1172"/>
      <c r="S102" s="1172"/>
      <c r="T102" s="1172"/>
      <c r="U102" s="1172"/>
      <c r="V102" s="1172"/>
      <c r="W102" s="1172"/>
      <c r="X102" s="1172"/>
      <c r="Y102" s="1172"/>
      <c r="Z102" s="1172"/>
    </row>
    <row r="103" spans="1:26" ht="36" customHeight="1">
      <c r="A103" s="1172"/>
      <c r="B103" s="1172"/>
      <c r="C103" s="1172"/>
      <c r="D103" s="1172"/>
      <c r="E103" s="1172"/>
      <c r="F103" s="1172"/>
      <c r="G103" s="1172"/>
      <c r="H103" s="1172"/>
      <c r="I103" s="1172"/>
      <c r="J103" s="1172"/>
      <c r="K103" s="1172"/>
      <c r="L103" s="1172"/>
      <c r="M103" s="1172"/>
      <c r="N103" s="1172"/>
      <c r="O103" s="1172"/>
      <c r="P103" s="1172"/>
      <c r="Q103" s="1172"/>
      <c r="R103" s="1172"/>
      <c r="S103" s="1172"/>
      <c r="T103" s="1172"/>
      <c r="U103" s="1172"/>
      <c r="V103" s="1172"/>
      <c r="W103" s="1172"/>
      <c r="X103" s="1172"/>
      <c r="Y103" s="1172"/>
      <c r="Z103" s="1172"/>
    </row>
    <row r="104" spans="1:26" ht="36" customHeight="1">
      <c r="A104" s="1172"/>
      <c r="B104" s="1172"/>
      <c r="C104" s="1172"/>
      <c r="D104" s="1172"/>
      <c r="E104" s="1172"/>
      <c r="F104" s="1172"/>
      <c r="G104" s="1172"/>
      <c r="H104" s="1172"/>
      <c r="I104" s="1172"/>
      <c r="J104" s="1172"/>
      <c r="K104" s="1172"/>
      <c r="L104" s="1172"/>
      <c r="M104" s="1172"/>
      <c r="N104" s="1172"/>
      <c r="O104" s="1172"/>
      <c r="P104" s="1172"/>
      <c r="Q104" s="1172"/>
      <c r="R104" s="1172"/>
      <c r="S104" s="1172"/>
      <c r="T104" s="1172"/>
      <c r="U104" s="1172"/>
      <c r="V104" s="1172"/>
      <c r="W104" s="1172"/>
      <c r="X104" s="1172"/>
      <c r="Y104" s="1172"/>
      <c r="Z104" s="1172"/>
    </row>
    <row r="105" spans="1:26" ht="36" customHeight="1">
      <c r="A105" s="1172"/>
      <c r="B105" s="1172"/>
      <c r="C105" s="1172"/>
      <c r="D105" s="1172"/>
      <c r="E105" s="1172"/>
      <c r="F105" s="1172"/>
      <c r="G105" s="1172"/>
      <c r="H105" s="1172"/>
      <c r="I105" s="1172"/>
      <c r="J105" s="1172"/>
      <c r="K105" s="1172"/>
      <c r="L105" s="1172"/>
      <c r="M105" s="1172"/>
      <c r="N105" s="1172"/>
      <c r="O105" s="1172"/>
      <c r="P105" s="1172"/>
      <c r="Q105" s="1172"/>
      <c r="R105" s="1172"/>
      <c r="S105" s="1172"/>
      <c r="T105" s="1172"/>
      <c r="U105" s="1172"/>
      <c r="V105" s="1172"/>
      <c r="W105" s="1172"/>
      <c r="X105" s="1172"/>
      <c r="Y105" s="1172"/>
      <c r="Z105" s="1172"/>
    </row>
    <row r="106" spans="1:26" ht="36" customHeight="1">
      <c r="A106" s="1172"/>
      <c r="B106" s="1172"/>
      <c r="C106" s="1172"/>
      <c r="D106" s="1172"/>
      <c r="E106" s="1172"/>
      <c r="F106" s="1172"/>
      <c r="G106" s="1172"/>
      <c r="H106" s="1172"/>
      <c r="I106" s="1172"/>
      <c r="J106" s="1172"/>
      <c r="K106" s="1172"/>
      <c r="L106" s="1172"/>
      <c r="M106" s="1172"/>
      <c r="N106" s="1172"/>
      <c r="O106" s="1172"/>
      <c r="P106" s="1172"/>
      <c r="Q106" s="1172"/>
      <c r="R106" s="1172"/>
      <c r="S106" s="1172"/>
      <c r="T106" s="1172"/>
      <c r="U106" s="1172"/>
      <c r="V106" s="1172"/>
      <c r="W106" s="1172"/>
      <c r="X106" s="1172"/>
      <c r="Y106" s="1172"/>
      <c r="Z106" s="1172"/>
    </row>
    <row r="107" spans="1:26" ht="36" customHeight="1">
      <c r="A107" s="1172"/>
      <c r="B107" s="1172"/>
      <c r="C107" s="1172"/>
      <c r="D107" s="1172"/>
      <c r="E107" s="1172"/>
      <c r="F107" s="1172"/>
      <c r="G107" s="1172"/>
      <c r="H107" s="1172"/>
      <c r="I107" s="1172"/>
      <c r="J107" s="1172"/>
      <c r="K107" s="1172"/>
      <c r="L107" s="1172"/>
      <c r="M107" s="1172"/>
      <c r="N107" s="1172"/>
      <c r="O107" s="1172"/>
      <c r="P107" s="1172"/>
      <c r="Q107" s="1172"/>
      <c r="R107" s="1172"/>
      <c r="S107" s="1172"/>
      <c r="T107" s="1172"/>
      <c r="U107" s="1172"/>
      <c r="V107" s="1172"/>
      <c r="W107" s="1172"/>
      <c r="X107" s="1172"/>
      <c r="Y107" s="1172"/>
      <c r="Z107" s="1172"/>
    </row>
    <row r="108" spans="1:26" ht="36" customHeight="1">
      <c r="A108" s="1172"/>
      <c r="B108" s="1172"/>
      <c r="C108" s="1172"/>
      <c r="D108" s="1172"/>
      <c r="E108" s="1172"/>
      <c r="F108" s="1172"/>
      <c r="G108" s="1172"/>
      <c r="H108" s="1172"/>
      <c r="I108" s="1172"/>
      <c r="J108" s="1172"/>
      <c r="K108" s="1172"/>
      <c r="L108" s="1172"/>
      <c r="M108" s="1172"/>
      <c r="N108" s="1172"/>
      <c r="O108" s="1172"/>
      <c r="P108" s="1172"/>
      <c r="Q108" s="1172"/>
      <c r="R108" s="1172"/>
      <c r="S108" s="1172"/>
      <c r="T108" s="1172"/>
      <c r="U108" s="1172"/>
      <c r="V108" s="1172"/>
      <c r="W108" s="1172"/>
      <c r="X108" s="1172"/>
      <c r="Y108" s="1172"/>
      <c r="Z108" s="1172"/>
    </row>
    <row r="109" spans="1:26" ht="36" customHeight="1">
      <c r="A109" s="1172"/>
      <c r="B109" s="1172"/>
      <c r="C109" s="1172"/>
      <c r="D109" s="1172"/>
      <c r="E109" s="1172"/>
      <c r="F109" s="1172"/>
      <c r="G109" s="1172"/>
      <c r="H109" s="1172"/>
      <c r="I109" s="1172"/>
      <c r="J109" s="1172"/>
      <c r="K109" s="1172"/>
      <c r="L109" s="1172"/>
      <c r="M109" s="1172"/>
      <c r="N109" s="1172"/>
      <c r="O109" s="1172"/>
      <c r="P109" s="1172"/>
      <c r="Q109" s="1172"/>
      <c r="R109" s="1172"/>
      <c r="S109" s="1172"/>
      <c r="T109" s="1172"/>
      <c r="U109" s="1172"/>
      <c r="V109" s="1172"/>
      <c r="W109" s="1172"/>
      <c r="X109" s="1172"/>
      <c r="Y109" s="1172"/>
      <c r="Z109" s="1172"/>
    </row>
    <row r="110" spans="1:26" ht="36" customHeight="1">
      <c r="A110" s="1172"/>
      <c r="B110" s="1172"/>
      <c r="C110" s="1172"/>
      <c r="D110" s="1172"/>
      <c r="E110" s="1172"/>
      <c r="F110" s="1172"/>
      <c r="G110" s="1172"/>
      <c r="H110" s="1172"/>
      <c r="I110" s="1172"/>
      <c r="J110" s="1172"/>
      <c r="K110" s="1172"/>
      <c r="L110" s="1172"/>
      <c r="M110" s="1172"/>
      <c r="N110" s="1172"/>
      <c r="O110" s="1172"/>
      <c r="P110" s="1172"/>
      <c r="Q110" s="1172"/>
      <c r="R110" s="1172"/>
      <c r="S110" s="1172"/>
      <c r="T110" s="1172"/>
      <c r="U110" s="1172"/>
      <c r="V110" s="1172"/>
      <c r="W110" s="1172"/>
      <c r="X110" s="1172"/>
      <c r="Y110" s="1172"/>
      <c r="Z110" s="1172"/>
    </row>
    <row r="111" spans="1:26" ht="36" customHeight="1">
      <c r="A111" s="1172"/>
      <c r="B111" s="1172"/>
      <c r="C111" s="1172"/>
      <c r="D111" s="1172"/>
      <c r="E111" s="1172"/>
      <c r="F111" s="1172"/>
      <c r="G111" s="1172"/>
      <c r="H111" s="1172"/>
      <c r="I111" s="1172"/>
      <c r="J111" s="1172"/>
      <c r="K111" s="1172"/>
      <c r="L111" s="1172"/>
      <c r="M111" s="1172"/>
      <c r="N111" s="1172"/>
      <c r="O111" s="1172"/>
      <c r="P111" s="1172"/>
      <c r="Q111" s="1172"/>
      <c r="R111" s="1172"/>
      <c r="S111" s="1172"/>
      <c r="T111" s="1172"/>
      <c r="U111" s="1172"/>
      <c r="V111" s="1172"/>
      <c r="W111" s="1172"/>
      <c r="X111" s="1172"/>
      <c r="Y111" s="1172"/>
      <c r="Z111" s="1172"/>
    </row>
    <row r="112" spans="1:26" ht="36" customHeight="1">
      <c r="A112" s="1172"/>
      <c r="B112" s="1172"/>
      <c r="C112" s="1172"/>
      <c r="D112" s="1172"/>
      <c r="E112" s="1172"/>
      <c r="F112" s="1172"/>
      <c r="G112" s="1172"/>
      <c r="H112" s="1172"/>
      <c r="I112" s="1172"/>
      <c r="J112" s="1172"/>
      <c r="K112" s="1172"/>
      <c r="L112" s="1172"/>
      <c r="M112" s="1172"/>
      <c r="N112" s="1172"/>
      <c r="O112" s="1172"/>
      <c r="P112" s="1172"/>
      <c r="Q112" s="1172"/>
      <c r="R112" s="1172"/>
      <c r="S112" s="1172"/>
      <c r="T112" s="1172"/>
      <c r="U112" s="1172"/>
      <c r="V112" s="1172"/>
      <c r="W112" s="1172"/>
      <c r="X112" s="1172"/>
      <c r="Y112" s="1172"/>
      <c r="Z112" s="1172"/>
    </row>
    <row r="113" spans="1:26" ht="36" customHeight="1">
      <c r="A113" s="1172"/>
      <c r="B113" s="1172"/>
      <c r="C113" s="1172"/>
      <c r="D113" s="1172"/>
      <c r="E113" s="1172"/>
      <c r="F113" s="1172"/>
      <c r="G113" s="1172"/>
      <c r="H113" s="1172"/>
      <c r="I113" s="1172"/>
      <c r="J113" s="1172"/>
      <c r="K113" s="1172"/>
      <c r="L113" s="1172"/>
      <c r="M113" s="1172"/>
      <c r="N113" s="1172"/>
      <c r="O113" s="1172"/>
      <c r="P113" s="1172"/>
      <c r="Q113" s="1172"/>
      <c r="R113" s="1172"/>
      <c r="S113" s="1172"/>
      <c r="T113" s="1172"/>
      <c r="U113" s="1172"/>
      <c r="V113" s="1172"/>
      <c r="W113" s="1172"/>
      <c r="X113" s="1172"/>
      <c r="Y113" s="1172"/>
      <c r="Z113" s="1172"/>
    </row>
    <row r="114" spans="1:26" ht="36" customHeight="1">
      <c r="A114" s="1172"/>
      <c r="B114" s="1172"/>
      <c r="C114" s="1172"/>
      <c r="D114" s="1172"/>
      <c r="E114" s="1172"/>
      <c r="F114" s="1172"/>
      <c r="G114" s="1172"/>
      <c r="H114" s="1172"/>
      <c r="I114" s="1172"/>
      <c r="J114" s="1172"/>
      <c r="K114" s="1172"/>
      <c r="L114" s="1172"/>
      <c r="M114" s="1172"/>
      <c r="N114" s="1172"/>
      <c r="O114" s="1172"/>
      <c r="P114" s="1172"/>
      <c r="Q114" s="1172"/>
      <c r="R114" s="1172"/>
      <c r="S114" s="1172"/>
      <c r="T114" s="1172"/>
      <c r="U114" s="1172"/>
      <c r="V114" s="1172"/>
      <c r="W114" s="1172"/>
      <c r="X114" s="1172"/>
      <c r="Y114" s="1172"/>
      <c r="Z114" s="1172"/>
    </row>
    <row r="115" spans="1:26" ht="36" customHeight="1">
      <c r="A115" s="1172"/>
      <c r="B115" s="1172"/>
      <c r="C115" s="1172"/>
      <c r="D115" s="1172"/>
      <c r="E115" s="1172"/>
      <c r="F115" s="1172"/>
      <c r="G115" s="1172"/>
      <c r="H115" s="1172"/>
      <c r="I115" s="1172"/>
      <c r="J115" s="1172"/>
      <c r="K115" s="1172"/>
      <c r="L115" s="1172"/>
      <c r="M115" s="1172"/>
      <c r="N115" s="1172"/>
      <c r="O115" s="1172"/>
      <c r="P115" s="1172"/>
      <c r="Q115" s="1172"/>
      <c r="R115" s="1172"/>
      <c r="S115" s="1172"/>
      <c r="T115" s="1172"/>
      <c r="U115" s="1172"/>
      <c r="V115" s="1172"/>
      <c r="W115" s="1172"/>
      <c r="X115" s="1172"/>
      <c r="Y115" s="1172"/>
      <c r="Z115" s="1172"/>
    </row>
    <row r="116" spans="1:26" ht="36" customHeight="1">
      <c r="A116" s="1172"/>
      <c r="B116" s="1172"/>
      <c r="C116" s="1172"/>
      <c r="D116" s="1172"/>
      <c r="E116" s="1172"/>
      <c r="F116" s="1172"/>
      <c r="G116" s="1172"/>
      <c r="H116" s="1172"/>
      <c r="I116" s="1172"/>
      <c r="J116" s="1172"/>
      <c r="K116" s="1172"/>
      <c r="L116" s="1172"/>
      <c r="M116" s="1172"/>
      <c r="N116" s="1172"/>
      <c r="O116" s="1172"/>
      <c r="P116" s="1172"/>
      <c r="Q116" s="1172"/>
      <c r="R116" s="1172"/>
      <c r="S116" s="1172"/>
      <c r="T116" s="1172"/>
      <c r="U116" s="1172"/>
      <c r="V116" s="1172"/>
      <c r="W116" s="1172"/>
      <c r="X116" s="1172"/>
      <c r="Y116" s="1172"/>
      <c r="Z116" s="1172"/>
    </row>
    <row r="117" spans="1:26" ht="36" customHeight="1">
      <c r="A117" s="1172"/>
      <c r="B117" s="1172"/>
      <c r="C117" s="1172"/>
      <c r="D117" s="1172"/>
      <c r="E117" s="1172"/>
      <c r="F117" s="1172"/>
      <c r="G117" s="1172"/>
      <c r="H117" s="1172"/>
      <c r="I117" s="1172"/>
      <c r="J117" s="1172"/>
      <c r="K117" s="1172"/>
      <c r="L117" s="1172"/>
      <c r="M117" s="1172"/>
      <c r="N117" s="1172"/>
      <c r="O117" s="1172"/>
      <c r="P117" s="1172"/>
      <c r="Q117" s="1172"/>
      <c r="R117" s="1172"/>
      <c r="S117" s="1172"/>
      <c r="T117" s="1172"/>
      <c r="U117" s="1172"/>
      <c r="V117" s="1172"/>
      <c r="W117" s="1172"/>
      <c r="X117" s="1172"/>
      <c r="Y117" s="1172"/>
      <c r="Z117" s="1172"/>
    </row>
    <row r="118" spans="1:26" ht="36" customHeight="1">
      <c r="A118" s="1172"/>
      <c r="B118" s="1172"/>
      <c r="C118" s="1172"/>
      <c r="D118" s="1172"/>
      <c r="E118" s="1172"/>
      <c r="F118" s="1172"/>
      <c r="G118" s="1172"/>
      <c r="H118" s="1172"/>
      <c r="I118" s="1172"/>
      <c r="J118" s="1172"/>
      <c r="K118" s="1172"/>
      <c r="L118" s="1172"/>
      <c r="M118" s="1172"/>
      <c r="N118" s="1172"/>
      <c r="O118" s="1172"/>
      <c r="P118" s="1172"/>
      <c r="Q118" s="1172"/>
      <c r="R118" s="1172"/>
      <c r="S118" s="1172"/>
      <c r="T118" s="1172"/>
      <c r="U118" s="1172"/>
      <c r="V118" s="1172"/>
      <c r="W118" s="1172"/>
      <c r="X118" s="1172"/>
      <c r="Y118" s="1172"/>
      <c r="Z118" s="1172"/>
    </row>
    <row r="119" spans="1:26" ht="36" customHeight="1">
      <c r="A119" s="1172"/>
      <c r="B119" s="1172"/>
      <c r="C119" s="1172"/>
      <c r="D119" s="1172"/>
      <c r="E119" s="1172"/>
      <c r="F119" s="1172"/>
      <c r="G119" s="1172"/>
      <c r="H119" s="1172"/>
      <c r="I119" s="1172"/>
      <c r="J119" s="1172"/>
      <c r="K119" s="1172"/>
      <c r="L119" s="1172"/>
      <c r="M119" s="1172"/>
      <c r="N119" s="1172"/>
      <c r="O119" s="1172"/>
      <c r="P119" s="1172"/>
      <c r="Q119" s="1172"/>
      <c r="R119" s="1172"/>
      <c r="S119" s="1172"/>
      <c r="T119" s="1172"/>
      <c r="U119" s="1172"/>
      <c r="V119" s="1172"/>
      <c r="W119" s="1172"/>
      <c r="X119" s="1172"/>
      <c r="Y119" s="1172"/>
      <c r="Z119" s="1172"/>
    </row>
    <row r="120" spans="1:26" ht="36" customHeight="1">
      <c r="A120" s="1172"/>
      <c r="B120" s="1172"/>
      <c r="C120" s="1172"/>
      <c r="D120" s="1172"/>
      <c r="E120" s="1172"/>
      <c r="F120" s="1172"/>
      <c r="G120" s="1172"/>
      <c r="H120" s="1172"/>
      <c r="I120" s="1172"/>
      <c r="J120" s="1172"/>
      <c r="K120" s="1172"/>
      <c r="L120" s="1172"/>
      <c r="M120" s="1172"/>
      <c r="N120" s="1172"/>
      <c r="O120" s="1172"/>
      <c r="P120" s="1172"/>
      <c r="Q120" s="1172"/>
      <c r="R120" s="1172"/>
      <c r="S120" s="1172"/>
      <c r="T120" s="1172"/>
      <c r="U120" s="1172"/>
      <c r="V120" s="1172"/>
      <c r="W120" s="1172"/>
      <c r="X120" s="1172"/>
      <c r="Y120" s="1172"/>
      <c r="Z120" s="1172"/>
    </row>
    <row r="121" spans="1:26" ht="36" customHeight="1">
      <c r="A121" s="1172"/>
      <c r="B121" s="1172"/>
      <c r="C121" s="1172"/>
      <c r="D121" s="1172"/>
      <c r="E121" s="1172"/>
      <c r="F121" s="1172"/>
      <c r="G121" s="1172"/>
      <c r="H121" s="1172"/>
      <c r="I121" s="1172"/>
      <c r="J121" s="1172"/>
      <c r="K121" s="1172"/>
      <c r="L121" s="1172"/>
      <c r="M121" s="1172"/>
      <c r="N121" s="1172"/>
      <c r="O121" s="1172"/>
      <c r="P121" s="1172"/>
      <c r="Q121" s="1172"/>
      <c r="R121" s="1172"/>
      <c r="S121" s="1172"/>
      <c r="T121" s="1172"/>
      <c r="U121" s="1172"/>
      <c r="V121" s="1172"/>
      <c r="W121" s="1172"/>
      <c r="X121" s="1172"/>
      <c r="Y121" s="1172"/>
      <c r="Z121" s="1172"/>
    </row>
    <row r="122" spans="1:26" ht="36" customHeight="1">
      <c r="A122" s="1172"/>
      <c r="B122" s="1172"/>
      <c r="C122" s="1172"/>
      <c r="D122" s="1172"/>
      <c r="E122" s="1172"/>
      <c r="F122" s="1172"/>
      <c r="G122" s="1172"/>
      <c r="H122" s="1172"/>
      <c r="I122" s="1172"/>
      <c r="J122" s="1172"/>
      <c r="K122" s="1172"/>
      <c r="L122" s="1172"/>
      <c r="M122" s="1172"/>
      <c r="N122" s="1172"/>
      <c r="O122" s="1172"/>
      <c r="P122" s="1172"/>
      <c r="Q122" s="1172"/>
      <c r="R122" s="1172"/>
      <c r="S122" s="1172"/>
      <c r="T122" s="1172"/>
      <c r="U122" s="1172"/>
      <c r="V122" s="1172"/>
      <c r="W122" s="1172"/>
      <c r="X122" s="1172"/>
      <c r="Y122" s="1172"/>
      <c r="Z122" s="1172"/>
    </row>
    <row r="123" spans="1:26" ht="36" customHeight="1">
      <c r="A123" s="1172"/>
      <c r="B123" s="1172"/>
      <c r="C123" s="1172"/>
      <c r="D123" s="1172"/>
      <c r="E123" s="1172"/>
      <c r="F123" s="1172"/>
      <c r="G123" s="1172"/>
      <c r="H123" s="1172"/>
      <c r="I123" s="1172"/>
      <c r="J123" s="1172"/>
      <c r="K123" s="1172"/>
      <c r="L123" s="1172"/>
      <c r="M123" s="1172"/>
      <c r="N123" s="1172"/>
      <c r="O123" s="1172"/>
      <c r="P123" s="1172"/>
      <c r="Q123" s="1172"/>
      <c r="R123" s="1172"/>
      <c r="S123" s="1172"/>
      <c r="T123" s="1172"/>
      <c r="U123" s="1172"/>
      <c r="V123" s="1172"/>
      <c r="W123" s="1172"/>
      <c r="X123" s="1172"/>
      <c r="Y123" s="1172"/>
      <c r="Z123" s="1172"/>
    </row>
    <row r="124" spans="1:26" ht="36" customHeight="1">
      <c r="A124" s="1172"/>
      <c r="B124" s="1172"/>
      <c r="C124" s="1172"/>
      <c r="D124" s="1172"/>
      <c r="E124" s="1172"/>
      <c r="F124" s="1172"/>
      <c r="G124" s="1172"/>
      <c r="H124" s="1172"/>
      <c r="I124" s="1172"/>
      <c r="J124" s="1172"/>
      <c r="K124" s="1172"/>
      <c r="L124" s="1172"/>
      <c r="M124" s="1172"/>
      <c r="N124" s="1172"/>
      <c r="O124" s="1172"/>
      <c r="P124" s="1172"/>
      <c r="Q124" s="1172"/>
      <c r="R124" s="1172"/>
      <c r="S124" s="1172"/>
      <c r="T124" s="1172"/>
      <c r="U124" s="1172"/>
      <c r="V124" s="1172"/>
      <c r="W124" s="1172"/>
      <c r="X124" s="1172"/>
      <c r="Y124" s="1172"/>
      <c r="Z124" s="1172"/>
    </row>
    <row r="125" spans="1:26" ht="36" customHeight="1">
      <c r="A125" s="1172"/>
      <c r="B125" s="1172"/>
      <c r="C125" s="1172"/>
      <c r="D125" s="1172"/>
      <c r="E125" s="1172"/>
      <c r="F125" s="1172"/>
      <c r="G125" s="1172"/>
      <c r="H125" s="1172"/>
      <c r="I125" s="1172"/>
      <c r="J125" s="1172"/>
      <c r="K125" s="1172"/>
      <c r="L125" s="1172"/>
      <c r="M125" s="1172"/>
      <c r="N125" s="1172"/>
      <c r="O125" s="1172"/>
      <c r="P125" s="1172"/>
      <c r="Q125" s="1172"/>
      <c r="R125" s="1172"/>
      <c r="S125" s="1172"/>
      <c r="T125" s="1172"/>
      <c r="U125" s="1172"/>
      <c r="V125" s="1172"/>
      <c r="W125" s="1172"/>
      <c r="X125" s="1172"/>
      <c r="Y125" s="1172"/>
      <c r="Z125" s="1172"/>
    </row>
    <row r="126" spans="1:26" ht="36" customHeight="1">
      <c r="A126" s="1172"/>
      <c r="B126" s="1172"/>
      <c r="C126" s="1172"/>
      <c r="D126" s="1172"/>
      <c r="E126" s="1172"/>
      <c r="F126" s="1172"/>
      <c r="G126" s="1172"/>
      <c r="H126" s="1172"/>
      <c r="I126" s="1172"/>
      <c r="J126" s="1172"/>
      <c r="K126" s="1172"/>
      <c r="L126" s="1172"/>
      <c r="M126" s="1172"/>
      <c r="N126" s="1172"/>
      <c r="O126" s="1172"/>
      <c r="P126" s="1172"/>
      <c r="Q126" s="1172"/>
      <c r="R126" s="1172"/>
      <c r="S126" s="1172"/>
      <c r="T126" s="1172"/>
      <c r="U126" s="1172"/>
      <c r="V126" s="1172"/>
      <c r="W126" s="1172"/>
      <c r="X126" s="1172"/>
      <c r="Y126" s="1172"/>
      <c r="Z126" s="1172"/>
    </row>
    <row r="127" spans="1:26" ht="36" customHeight="1">
      <c r="A127" s="1172"/>
      <c r="B127" s="1172"/>
      <c r="C127" s="1172"/>
      <c r="D127" s="1172"/>
      <c r="E127" s="1172"/>
      <c r="F127" s="1172"/>
      <c r="G127" s="1172"/>
      <c r="H127" s="1172"/>
      <c r="I127" s="1172"/>
      <c r="J127" s="1172"/>
      <c r="K127" s="1172"/>
      <c r="L127" s="1172"/>
      <c r="M127" s="1172"/>
      <c r="N127" s="1172"/>
      <c r="O127" s="1172"/>
      <c r="P127" s="1172"/>
      <c r="Q127" s="1172"/>
      <c r="R127" s="1172"/>
      <c r="S127" s="1172"/>
      <c r="T127" s="1172"/>
      <c r="U127" s="1172"/>
      <c r="V127" s="1172"/>
      <c r="W127" s="1172"/>
      <c r="X127" s="1172"/>
      <c r="Y127" s="1172"/>
      <c r="Z127" s="1172"/>
    </row>
    <row r="128" spans="1:26" ht="36" customHeight="1">
      <c r="A128" s="1172"/>
      <c r="B128" s="1172"/>
      <c r="C128" s="1172"/>
      <c r="D128" s="1172"/>
      <c r="E128" s="1172"/>
      <c r="F128" s="1172"/>
      <c r="G128" s="1172"/>
      <c r="H128" s="1172"/>
      <c r="I128" s="1172"/>
      <c r="J128" s="1172"/>
      <c r="K128" s="1172"/>
      <c r="L128" s="1172"/>
      <c r="M128" s="1172"/>
      <c r="N128" s="1172"/>
      <c r="O128" s="1172"/>
      <c r="P128" s="1172"/>
      <c r="Q128" s="1172"/>
      <c r="R128" s="1172"/>
      <c r="S128" s="1172"/>
      <c r="T128" s="1172"/>
      <c r="U128" s="1172"/>
      <c r="V128" s="1172"/>
      <c r="W128" s="1172"/>
      <c r="X128" s="1172"/>
      <c r="Y128" s="1172"/>
      <c r="Z128" s="1172"/>
    </row>
    <row r="129" spans="1:26" ht="36" customHeight="1">
      <c r="A129" s="1172"/>
      <c r="B129" s="1172"/>
      <c r="C129" s="1172"/>
      <c r="D129" s="1172"/>
      <c r="E129" s="1172"/>
      <c r="F129" s="1172"/>
      <c r="G129" s="1172"/>
      <c r="H129" s="1172"/>
      <c r="I129" s="1172"/>
      <c r="J129" s="1172"/>
      <c r="K129" s="1172"/>
      <c r="L129" s="1172"/>
      <c r="M129" s="1172"/>
      <c r="N129" s="1172"/>
      <c r="O129" s="1172"/>
      <c r="P129" s="1172"/>
      <c r="Q129" s="1172"/>
      <c r="R129" s="1172"/>
      <c r="S129" s="1172"/>
      <c r="T129" s="1172"/>
      <c r="U129" s="1172"/>
      <c r="V129" s="1172"/>
      <c r="W129" s="1172"/>
      <c r="X129" s="1172"/>
      <c r="Y129" s="1172"/>
      <c r="Z129" s="1172"/>
    </row>
    <row r="130" spans="1:26" ht="36" customHeight="1">
      <c r="A130" s="1172"/>
      <c r="B130" s="1172"/>
      <c r="C130" s="1172"/>
      <c r="D130" s="1172"/>
      <c r="E130" s="1172"/>
      <c r="F130" s="1172"/>
      <c r="G130" s="1172"/>
      <c r="H130" s="1172"/>
      <c r="I130" s="1172"/>
      <c r="J130" s="1172"/>
      <c r="K130" s="1172"/>
      <c r="L130" s="1172"/>
      <c r="M130" s="1172"/>
      <c r="N130" s="1172"/>
      <c r="O130" s="1172"/>
      <c r="P130" s="1172"/>
      <c r="Q130" s="1172"/>
      <c r="R130" s="1172"/>
      <c r="S130" s="1172"/>
      <c r="T130" s="1172"/>
      <c r="U130" s="1172"/>
      <c r="V130" s="1172"/>
      <c r="W130" s="1172"/>
      <c r="X130" s="1172"/>
      <c r="Y130" s="1172"/>
      <c r="Z130" s="1172"/>
    </row>
    <row r="131" spans="1:26" ht="36" customHeight="1">
      <c r="A131" s="1172"/>
      <c r="B131" s="1172"/>
      <c r="C131" s="1172"/>
      <c r="D131" s="1172"/>
      <c r="E131" s="1172"/>
      <c r="F131" s="1172"/>
      <c r="G131" s="1172"/>
      <c r="H131" s="1172"/>
      <c r="I131" s="1172"/>
      <c r="J131" s="1172"/>
      <c r="K131" s="1172"/>
      <c r="L131" s="1172"/>
      <c r="M131" s="1172"/>
      <c r="N131" s="1172"/>
      <c r="O131" s="1172"/>
      <c r="P131" s="1172"/>
      <c r="Q131" s="1172"/>
      <c r="R131" s="1172"/>
      <c r="S131" s="1172"/>
      <c r="T131" s="1172"/>
      <c r="U131" s="1172"/>
      <c r="V131" s="1172"/>
      <c r="W131" s="1172"/>
      <c r="X131" s="1172"/>
      <c r="Y131" s="1172"/>
      <c r="Z131" s="1172"/>
    </row>
    <row r="132" spans="1:26" ht="36" customHeight="1">
      <c r="A132" s="1172"/>
      <c r="B132" s="1172"/>
      <c r="C132" s="1172"/>
      <c r="D132" s="1172"/>
      <c r="E132" s="1172"/>
      <c r="F132" s="1172"/>
      <c r="G132" s="1172"/>
      <c r="H132" s="1172"/>
      <c r="I132" s="1172"/>
      <c r="J132" s="1172"/>
      <c r="K132" s="1172"/>
      <c r="L132" s="1172"/>
      <c r="M132" s="1172"/>
      <c r="N132" s="1172"/>
      <c r="O132" s="1172"/>
      <c r="P132" s="1172"/>
      <c r="Q132" s="1172"/>
      <c r="R132" s="1172"/>
      <c r="S132" s="1172"/>
      <c r="T132" s="1172"/>
      <c r="U132" s="1172"/>
      <c r="V132" s="1172"/>
      <c r="W132" s="1172"/>
      <c r="X132" s="1172"/>
      <c r="Y132" s="1172"/>
      <c r="Z132" s="1172"/>
    </row>
    <row r="133" spans="1:26" ht="36" customHeight="1">
      <c r="A133" s="1172"/>
      <c r="B133" s="1172"/>
      <c r="C133" s="1172"/>
      <c r="D133" s="1172"/>
      <c r="E133" s="1172"/>
      <c r="F133" s="1172"/>
      <c r="G133" s="1172"/>
      <c r="H133" s="1172"/>
      <c r="I133" s="1172"/>
      <c r="J133" s="1172"/>
      <c r="K133" s="1172"/>
      <c r="L133" s="1172"/>
      <c r="M133" s="1172"/>
      <c r="N133" s="1172"/>
      <c r="O133" s="1172"/>
      <c r="P133" s="1172"/>
      <c r="Q133" s="1172"/>
      <c r="R133" s="1172"/>
      <c r="S133" s="1172"/>
      <c r="T133" s="1172"/>
      <c r="U133" s="1172"/>
      <c r="V133" s="1172"/>
      <c r="W133" s="1172"/>
      <c r="X133" s="1172"/>
      <c r="Y133" s="1172"/>
      <c r="Z133" s="1172"/>
    </row>
    <row r="134" spans="1:26" ht="36" customHeight="1">
      <c r="A134" s="1172"/>
      <c r="B134" s="1172"/>
      <c r="C134" s="1172"/>
      <c r="D134" s="1172"/>
      <c r="E134" s="1172"/>
      <c r="F134" s="1172"/>
      <c r="G134" s="1172"/>
      <c r="H134" s="1172"/>
      <c r="I134" s="1172"/>
      <c r="J134" s="1172"/>
      <c r="K134" s="1172"/>
      <c r="L134" s="1172"/>
      <c r="M134" s="1172"/>
      <c r="N134" s="1172"/>
      <c r="O134" s="1172"/>
      <c r="P134" s="1172"/>
      <c r="Q134" s="1172"/>
      <c r="R134" s="1172"/>
      <c r="S134" s="1172"/>
      <c r="T134" s="1172"/>
      <c r="U134" s="1172"/>
      <c r="V134" s="1172"/>
      <c r="W134" s="1172"/>
      <c r="X134" s="1172"/>
      <c r="Y134" s="1172"/>
      <c r="Z134" s="1172"/>
    </row>
    <row r="135" spans="1:26" ht="36" customHeight="1">
      <c r="A135" s="1172"/>
      <c r="B135" s="1172"/>
      <c r="C135" s="1172"/>
      <c r="D135" s="1172"/>
      <c r="E135" s="1172"/>
      <c r="F135" s="1172"/>
      <c r="G135" s="1172"/>
      <c r="H135" s="1172"/>
      <c r="I135" s="1172"/>
      <c r="J135" s="1172"/>
      <c r="K135" s="1172"/>
      <c r="L135" s="1172"/>
      <c r="M135" s="1172"/>
      <c r="N135" s="1172"/>
      <c r="O135" s="1172"/>
      <c r="P135" s="1172"/>
      <c r="Q135" s="1172"/>
      <c r="R135" s="1172"/>
      <c r="S135" s="1172"/>
      <c r="T135" s="1172"/>
      <c r="U135" s="1172"/>
      <c r="V135" s="1172"/>
      <c r="W135" s="1172"/>
      <c r="X135" s="1172"/>
      <c r="Y135" s="1172"/>
      <c r="Z135" s="1172"/>
    </row>
    <row r="136" spans="1:26" ht="36" customHeight="1">
      <c r="A136" s="1172"/>
      <c r="B136" s="1172"/>
      <c r="C136" s="1172"/>
      <c r="D136" s="1172"/>
      <c r="E136" s="1172"/>
      <c r="F136" s="1172"/>
      <c r="G136" s="1172"/>
      <c r="H136" s="1172"/>
      <c r="I136" s="1172"/>
      <c r="J136" s="1172"/>
      <c r="K136" s="1172"/>
      <c r="L136" s="1172"/>
      <c r="M136" s="1172"/>
      <c r="N136" s="1172"/>
      <c r="O136" s="1172"/>
      <c r="P136" s="1172"/>
      <c r="Q136" s="1172"/>
      <c r="R136" s="1172"/>
      <c r="S136" s="1172"/>
      <c r="T136" s="1172"/>
      <c r="U136" s="1172"/>
      <c r="V136" s="1172"/>
      <c r="W136" s="1172"/>
      <c r="X136" s="1172"/>
      <c r="Y136" s="1172"/>
      <c r="Z136" s="1172"/>
    </row>
    <row r="137" spans="1:26" ht="36" customHeight="1">
      <c r="A137" s="1172"/>
      <c r="B137" s="1172"/>
      <c r="C137" s="1172"/>
      <c r="D137" s="1172"/>
      <c r="E137" s="1172"/>
      <c r="F137" s="1172"/>
      <c r="G137" s="1172"/>
      <c r="H137" s="1172"/>
      <c r="I137" s="1172"/>
      <c r="J137" s="1172"/>
      <c r="K137" s="1172"/>
      <c r="L137" s="1172"/>
      <c r="M137" s="1172"/>
      <c r="N137" s="1172"/>
      <c r="O137" s="1172"/>
      <c r="P137" s="1172"/>
      <c r="Q137" s="1172"/>
      <c r="R137" s="1172"/>
      <c r="S137" s="1172"/>
      <c r="T137" s="1172"/>
      <c r="U137" s="1172"/>
      <c r="V137" s="1172"/>
      <c r="W137" s="1172"/>
      <c r="X137" s="1172"/>
      <c r="Y137" s="1172"/>
      <c r="Z137" s="1172"/>
    </row>
    <row r="138" spans="1:26" ht="36" customHeight="1">
      <c r="A138" s="1172"/>
      <c r="B138" s="1172"/>
      <c r="C138" s="1172"/>
      <c r="D138" s="1172"/>
      <c r="E138" s="1172"/>
      <c r="F138" s="1172"/>
      <c r="G138" s="1172"/>
      <c r="H138" s="1172"/>
      <c r="I138" s="1172"/>
      <c r="J138" s="1172"/>
      <c r="K138" s="1172"/>
      <c r="L138" s="1172"/>
      <c r="M138" s="1172"/>
      <c r="N138" s="1172"/>
      <c r="O138" s="1172"/>
      <c r="P138" s="1172"/>
      <c r="Q138" s="1172"/>
      <c r="R138" s="1172"/>
      <c r="S138" s="1172"/>
      <c r="T138" s="1172"/>
      <c r="U138" s="1172"/>
      <c r="V138" s="1172"/>
      <c r="W138" s="1172"/>
      <c r="X138" s="1172"/>
      <c r="Y138" s="1172"/>
      <c r="Z138" s="1172"/>
    </row>
    <row r="139" spans="1:26" ht="36" customHeight="1">
      <c r="A139" s="1172"/>
      <c r="B139" s="1172"/>
      <c r="C139" s="1172"/>
      <c r="D139" s="1172"/>
      <c r="E139" s="1172"/>
      <c r="F139" s="1172"/>
      <c r="G139" s="1172"/>
      <c r="H139" s="1172"/>
      <c r="I139" s="1172"/>
      <c r="J139" s="1172"/>
      <c r="K139" s="1172"/>
      <c r="L139" s="1172"/>
      <c r="M139" s="1172"/>
      <c r="N139" s="1172"/>
      <c r="O139" s="1172"/>
      <c r="P139" s="1172"/>
      <c r="Q139" s="1172"/>
      <c r="R139" s="1172"/>
      <c r="S139" s="1172"/>
      <c r="T139" s="1172"/>
      <c r="U139" s="1172"/>
      <c r="V139" s="1172"/>
      <c r="W139" s="1172"/>
      <c r="X139" s="1172"/>
      <c r="Y139" s="1172"/>
      <c r="Z139" s="1172"/>
    </row>
    <row r="140" spans="1:26" ht="36" customHeight="1">
      <c r="A140" s="1172"/>
      <c r="B140" s="1172"/>
      <c r="C140" s="1172"/>
      <c r="D140" s="1172"/>
      <c r="E140" s="1172"/>
      <c r="F140" s="1172"/>
      <c r="G140" s="1172"/>
      <c r="H140" s="1172"/>
      <c r="I140" s="1172"/>
      <c r="J140" s="1172"/>
      <c r="K140" s="1172"/>
      <c r="L140" s="1172"/>
      <c r="M140" s="1172"/>
      <c r="N140" s="1172"/>
      <c r="O140" s="1172"/>
      <c r="P140" s="1172"/>
      <c r="Q140" s="1172"/>
      <c r="R140" s="1172"/>
      <c r="S140" s="1172"/>
      <c r="T140" s="1172"/>
      <c r="U140" s="1172"/>
      <c r="V140" s="1172"/>
      <c r="W140" s="1172"/>
      <c r="X140" s="1172"/>
      <c r="Y140" s="1172"/>
      <c r="Z140" s="1172"/>
    </row>
    <row r="141" spans="1:26" ht="36" customHeight="1">
      <c r="A141" s="1172"/>
      <c r="B141" s="1172"/>
      <c r="C141" s="1172"/>
      <c r="D141" s="1172"/>
      <c r="E141" s="1172"/>
      <c r="F141" s="1172"/>
      <c r="G141" s="1172"/>
      <c r="H141" s="1172"/>
      <c r="I141" s="1172"/>
      <c r="J141" s="1172"/>
      <c r="K141" s="1172"/>
      <c r="L141" s="1172"/>
      <c r="M141" s="1172"/>
      <c r="N141" s="1172"/>
      <c r="O141" s="1172"/>
      <c r="P141" s="1172"/>
      <c r="Q141" s="1172"/>
      <c r="R141" s="1172"/>
      <c r="S141" s="1172"/>
      <c r="T141" s="1172"/>
      <c r="U141" s="1172"/>
      <c r="V141" s="1172"/>
      <c r="W141" s="1172"/>
      <c r="X141" s="1172"/>
      <c r="Y141" s="1172"/>
      <c r="Z141" s="1172"/>
    </row>
    <row r="142" spans="1:26" ht="36" customHeight="1">
      <c r="A142" s="1172"/>
      <c r="B142" s="1172"/>
      <c r="C142" s="1172"/>
      <c r="D142" s="1172"/>
      <c r="E142" s="1172"/>
      <c r="F142" s="1172"/>
      <c r="G142" s="1172"/>
      <c r="H142" s="1172"/>
      <c r="I142" s="1172"/>
      <c r="J142" s="1172"/>
      <c r="K142" s="1172"/>
      <c r="L142" s="1172"/>
      <c r="M142" s="1172"/>
      <c r="N142" s="1172"/>
      <c r="O142" s="1172"/>
      <c r="P142" s="1172"/>
      <c r="Q142" s="1172"/>
      <c r="R142" s="1172"/>
      <c r="S142" s="1172"/>
      <c r="T142" s="1172"/>
      <c r="U142" s="1172"/>
      <c r="V142" s="1172"/>
      <c r="W142" s="1172"/>
      <c r="X142" s="1172"/>
      <c r="Y142" s="1172"/>
      <c r="Z142" s="1172"/>
    </row>
    <row r="143" spans="1:26" ht="36" customHeight="1">
      <c r="A143" s="1172"/>
      <c r="B143" s="1172"/>
      <c r="C143" s="1172"/>
      <c r="D143" s="1172"/>
      <c r="E143" s="1172"/>
      <c r="F143" s="1172"/>
      <c r="G143" s="1172"/>
      <c r="H143" s="1172"/>
      <c r="I143" s="1172"/>
      <c r="J143" s="1172"/>
      <c r="K143" s="1172"/>
      <c r="L143" s="1172"/>
      <c r="M143" s="1172"/>
      <c r="N143" s="1172"/>
      <c r="O143" s="1172"/>
      <c r="P143" s="1172"/>
      <c r="Q143" s="1172"/>
      <c r="R143" s="1172"/>
      <c r="S143" s="1172"/>
      <c r="T143" s="1172"/>
      <c r="U143" s="1172"/>
      <c r="V143" s="1172"/>
      <c r="W143" s="1172"/>
      <c r="X143" s="1172"/>
      <c r="Y143" s="1172"/>
      <c r="Z143" s="1172"/>
    </row>
    <row r="144" spans="1:26" ht="36" customHeight="1">
      <c r="A144" s="1172"/>
      <c r="B144" s="1172"/>
      <c r="C144" s="1172"/>
      <c r="D144" s="1172"/>
      <c r="E144" s="1172"/>
      <c r="F144" s="1172"/>
      <c r="G144" s="1172"/>
      <c r="H144" s="1172"/>
      <c r="I144" s="1172"/>
      <c r="J144" s="1172"/>
      <c r="K144" s="1172"/>
      <c r="L144" s="1172"/>
      <c r="M144" s="1172"/>
      <c r="N144" s="1172"/>
      <c r="O144" s="1172"/>
      <c r="P144" s="1172"/>
      <c r="Q144" s="1172"/>
      <c r="R144" s="1172"/>
      <c r="S144" s="1172"/>
      <c r="T144" s="1172"/>
      <c r="U144" s="1172"/>
      <c r="V144" s="1172"/>
      <c r="W144" s="1172"/>
      <c r="X144" s="1172"/>
      <c r="Y144" s="1172"/>
      <c r="Z144" s="1172"/>
    </row>
    <row r="145" spans="1:26" ht="36" customHeight="1">
      <c r="A145" s="1172"/>
      <c r="B145" s="1172"/>
      <c r="C145" s="1172"/>
      <c r="D145" s="1172"/>
      <c r="E145" s="1172"/>
      <c r="F145" s="1172"/>
      <c r="G145" s="1172"/>
      <c r="H145" s="1172"/>
      <c r="I145" s="1172"/>
      <c r="J145" s="1172"/>
      <c r="K145" s="1172"/>
      <c r="L145" s="1172"/>
      <c r="M145" s="1172"/>
      <c r="N145" s="1172"/>
      <c r="O145" s="1172"/>
      <c r="P145" s="1172"/>
      <c r="Q145" s="1172"/>
      <c r="R145" s="1172"/>
      <c r="S145" s="1172"/>
      <c r="T145" s="1172"/>
      <c r="U145" s="1172"/>
      <c r="V145" s="1172"/>
      <c r="W145" s="1172"/>
      <c r="X145" s="1172"/>
      <c r="Y145" s="1172"/>
      <c r="Z145" s="1172"/>
    </row>
    <row r="146" spans="1:26" ht="36" customHeight="1">
      <c r="A146" s="1172"/>
      <c r="B146" s="1172"/>
      <c r="C146" s="1172"/>
      <c r="D146" s="1172"/>
      <c r="E146" s="1172"/>
      <c r="F146" s="1172"/>
      <c r="G146" s="1172"/>
      <c r="H146" s="1172"/>
      <c r="I146" s="1172"/>
      <c r="J146" s="1172"/>
      <c r="K146" s="1172"/>
      <c r="L146" s="1172"/>
      <c r="M146" s="1172"/>
      <c r="N146" s="1172"/>
      <c r="O146" s="1172"/>
      <c r="P146" s="1172"/>
      <c r="Q146" s="1172"/>
      <c r="R146" s="1172"/>
      <c r="S146" s="1172"/>
      <c r="T146" s="1172"/>
      <c r="U146" s="1172"/>
      <c r="V146" s="1172"/>
      <c r="W146" s="1172"/>
      <c r="X146" s="1172"/>
      <c r="Y146" s="1172"/>
      <c r="Z146" s="1172"/>
    </row>
    <row r="147" spans="1:26" ht="36" customHeight="1">
      <c r="A147" s="1172"/>
      <c r="B147" s="1172"/>
      <c r="C147" s="1172"/>
      <c r="D147" s="1172"/>
      <c r="E147" s="1172"/>
      <c r="F147" s="1172"/>
      <c r="G147" s="1172"/>
      <c r="H147" s="1172"/>
      <c r="I147" s="1172"/>
      <c r="J147" s="1172"/>
      <c r="K147" s="1172"/>
      <c r="L147" s="1172"/>
      <c r="M147" s="1172"/>
      <c r="N147" s="1172"/>
      <c r="O147" s="1172"/>
      <c r="P147" s="1172"/>
      <c r="Q147" s="1172"/>
      <c r="R147" s="1172"/>
      <c r="S147" s="1172"/>
      <c r="T147" s="1172"/>
      <c r="U147" s="1172"/>
      <c r="V147" s="1172"/>
      <c r="W147" s="1172"/>
      <c r="X147" s="1172"/>
      <c r="Y147" s="1172"/>
      <c r="Z147" s="1172"/>
    </row>
    <row r="148" spans="1:26" ht="36" customHeight="1">
      <c r="A148" s="1172"/>
      <c r="B148" s="1172"/>
      <c r="C148" s="1172"/>
      <c r="D148" s="1172"/>
      <c r="E148" s="1172"/>
      <c r="F148" s="1172"/>
      <c r="G148" s="1172"/>
      <c r="H148" s="1172"/>
      <c r="I148" s="1172"/>
      <c r="J148" s="1172"/>
      <c r="K148" s="1172"/>
      <c r="L148" s="1172"/>
      <c r="M148" s="1172"/>
      <c r="N148" s="1172"/>
      <c r="O148" s="1172"/>
      <c r="P148" s="1172"/>
      <c r="Q148" s="1172"/>
      <c r="R148" s="1172"/>
      <c r="S148" s="1172"/>
      <c r="T148" s="1172"/>
      <c r="U148" s="1172"/>
      <c r="V148" s="1172"/>
      <c r="W148" s="1172"/>
      <c r="X148" s="1172"/>
      <c r="Y148" s="1172"/>
      <c r="Z148" s="1172"/>
    </row>
    <row r="149" spans="1:26" ht="36" customHeight="1">
      <c r="A149" s="1172"/>
      <c r="B149" s="1172"/>
      <c r="C149" s="1172"/>
      <c r="D149" s="1172"/>
      <c r="E149" s="1172"/>
      <c r="F149" s="1172"/>
      <c r="G149" s="1172"/>
      <c r="H149" s="1172"/>
      <c r="I149" s="1172"/>
      <c r="J149" s="1172"/>
      <c r="K149" s="1172"/>
      <c r="L149" s="1172"/>
      <c r="M149" s="1172"/>
      <c r="N149" s="1172"/>
      <c r="O149" s="1172"/>
      <c r="P149" s="1172"/>
      <c r="Q149" s="1172"/>
      <c r="R149" s="1172"/>
      <c r="S149" s="1172"/>
      <c r="T149" s="1172"/>
      <c r="U149" s="1172"/>
      <c r="V149" s="1172"/>
      <c r="W149" s="1172"/>
      <c r="X149" s="1172"/>
      <c r="Y149" s="1172"/>
      <c r="Z149" s="1172"/>
    </row>
    <row r="150" spans="1:26" ht="36" customHeight="1">
      <c r="A150" s="1172"/>
      <c r="B150" s="1172"/>
      <c r="C150" s="1172"/>
      <c r="D150" s="1172"/>
      <c r="E150" s="1172"/>
      <c r="F150" s="1172"/>
      <c r="G150" s="1172"/>
      <c r="H150" s="1172"/>
      <c r="I150" s="1172"/>
      <c r="J150" s="1172"/>
      <c r="K150" s="1172"/>
      <c r="L150" s="1172"/>
      <c r="M150" s="1172"/>
      <c r="N150" s="1172"/>
      <c r="O150" s="1172"/>
      <c r="P150" s="1172"/>
      <c r="Q150" s="1172"/>
      <c r="R150" s="1172"/>
      <c r="S150" s="1172"/>
      <c r="T150" s="1172"/>
      <c r="U150" s="1172"/>
      <c r="V150" s="1172"/>
      <c r="W150" s="1172"/>
      <c r="X150" s="1172"/>
      <c r="Y150" s="1172"/>
      <c r="Z150" s="1172"/>
    </row>
    <row r="151" spans="1:26" ht="36" customHeight="1">
      <c r="A151" s="1172"/>
      <c r="B151" s="1172"/>
      <c r="C151" s="1172"/>
      <c r="D151" s="1172"/>
      <c r="E151" s="1172"/>
      <c r="F151" s="1172"/>
      <c r="G151" s="1172"/>
      <c r="H151" s="1172"/>
      <c r="I151" s="1172"/>
      <c r="J151" s="1172"/>
      <c r="K151" s="1172"/>
      <c r="L151" s="1172"/>
      <c r="M151" s="1172"/>
      <c r="N151" s="1172"/>
      <c r="O151" s="1172"/>
      <c r="P151" s="1172"/>
      <c r="Q151" s="1172"/>
      <c r="R151" s="1172"/>
      <c r="S151" s="1172"/>
      <c r="T151" s="1172"/>
      <c r="U151" s="1172"/>
      <c r="V151" s="1172"/>
      <c r="W151" s="1172"/>
      <c r="X151" s="1172"/>
      <c r="Y151" s="1172"/>
      <c r="Z151" s="1172"/>
    </row>
    <row r="152" spans="1:26" ht="36" customHeight="1">
      <c r="A152" s="1172"/>
      <c r="B152" s="1172"/>
      <c r="C152" s="1172"/>
      <c r="D152" s="1172"/>
      <c r="E152" s="1172"/>
      <c r="F152" s="1172"/>
      <c r="G152" s="1172"/>
      <c r="H152" s="1172"/>
      <c r="I152" s="1172"/>
      <c r="J152" s="1172"/>
      <c r="K152" s="1172"/>
      <c r="L152" s="1172"/>
      <c r="M152" s="1172"/>
      <c r="N152" s="1172"/>
      <c r="O152" s="1172"/>
      <c r="P152" s="1172"/>
      <c r="Q152" s="1172"/>
      <c r="R152" s="1172"/>
      <c r="S152" s="1172"/>
      <c r="T152" s="1172"/>
      <c r="U152" s="1172"/>
      <c r="V152" s="1172"/>
      <c r="W152" s="1172"/>
      <c r="X152" s="1172"/>
      <c r="Y152" s="1172"/>
      <c r="Z152" s="1172"/>
    </row>
    <row r="153" spans="1:26" ht="36" customHeight="1">
      <c r="A153" s="1172"/>
      <c r="B153" s="1172"/>
      <c r="C153" s="1172"/>
      <c r="D153" s="1172"/>
      <c r="E153" s="1172"/>
      <c r="F153" s="1172"/>
      <c r="G153" s="1172"/>
      <c r="H153" s="1172"/>
      <c r="I153" s="1172"/>
      <c r="J153" s="1172"/>
      <c r="K153" s="1172"/>
      <c r="L153" s="1172"/>
      <c r="M153" s="1172"/>
      <c r="N153" s="1172"/>
      <c r="O153" s="1172"/>
      <c r="P153" s="1172"/>
      <c r="Q153" s="1172"/>
      <c r="R153" s="1172"/>
      <c r="S153" s="1172"/>
      <c r="T153" s="1172"/>
      <c r="U153" s="1172"/>
      <c r="V153" s="1172"/>
      <c r="W153" s="1172"/>
      <c r="X153" s="1172"/>
      <c r="Y153" s="1172"/>
      <c r="Z153" s="1172"/>
    </row>
    <row r="154" spans="1:26" ht="36" customHeight="1">
      <c r="A154" s="1172"/>
      <c r="B154" s="1172"/>
      <c r="C154" s="1172"/>
      <c r="D154" s="1172"/>
      <c r="E154" s="1172"/>
      <c r="F154" s="1172"/>
      <c r="G154" s="1172"/>
      <c r="H154" s="1172"/>
      <c r="I154" s="1172"/>
      <c r="J154" s="1172"/>
      <c r="K154" s="1172"/>
      <c r="L154" s="1172"/>
      <c r="M154" s="1172"/>
      <c r="N154" s="1172"/>
      <c r="O154" s="1172"/>
      <c r="P154" s="1172"/>
      <c r="Q154" s="1172"/>
      <c r="R154" s="1172"/>
      <c r="S154" s="1172"/>
      <c r="T154" s="1172"/>
      <c r="U154" s="1172"/>
      <c r="V154" s="1172"/>
      <c r="W154" s="1172"/>
      <c r="X154" s="1172"/>
      <c r="Y154" s="1172"/>
      <c r="Z154" s="1172"/>
    </row>
    <row r="155" spans="1:26" ht="36" customHeight="1">
      <c r="A155" s="1172"/>
      <c r="B155" s="1172"/>
      <c r="C155" s="1172"/>
      <c r="D155" s="1172"/>
      <c r="E155" s="1172"/>
      <c r="F155" s="1172"/>
      <c r="G155" s="1172"/>
      <c r="H155" s="1172"/>
      <c r="I155" s="1172"/>
      <c r="J155" s="1172"/>
      <c r="K155" s="1172"/>
      <c r="L155" s="1172"/>
      <c r="M155" s="1172"/>
      <c r="N155" s="1172"/>
      <c r="O155" s="1172"/>
      <c r="P155" s="1172"/>
      <c r="Q155" s="1172"/>
      <c r="R155" s="1172"/>
      <c r="S155" s="1172"/>
      <c r="T155" s="1172"/>
      <c r="U155" s="1172"/>
      <c r="V155" s="1172"/>
      <c r="W155" s="1172"/>
      <c r="X155" s="1172"/>
      <c r="Y155" s="1172"/>
      <c r="Z155" s="1172"/>
    </row>
    <row r="156" spans="1:26" ht="36" customHeight="1">
      <c r="A156" s="1172"/>
      <c r="B156" s="1172"/>
      <c r="C156" s="1172"/>
      <c r="D156" s="1172"/>
      <c r="E156" s="1172"/>
      <c r="F156" s="1172"/>
      <c r="G156" s="1172"/>
      <c r="H156" s="1172"/>
      <c r="I156" s="1172"/>
      <c r="J156" s="1172"/>
      <c r="K156" s="1172"/>
      <c r="L156" s="1172"/>
      <c r="M156" s="1172"/>
      <c r="N156" s="1172"/>
      <c r="O156" s="1172"/>
      <c r="P156" s="1172"/>
      <c r="Q156" s="1172"/>
      <c r="R156" s="1172"/>
      <c r="S156" s="1172"/>
      <c r="T156" s="1172"/>
      <c r="U156" s="1172"/>
      <c r="V156" s="1172"/>
      <c r="W156" s="1172"/>
      <c r="X156" s="1172"/>
      <c r="Y156" s="1172"/>
      <c r="Z156" s="1172"/>
    </row>
    <row r="157" spans="1:26" ht="36" customHeight="1">
      <c r="A157" s="1172"/>
      <c r="B157" s="1172"/>
      <c r="C157" s="1172"/>
      <c r="D157" s="1172"/>
      <c r="E157" s="1172"/>
      <c r="F157" s="1172"/>
      <c r="G157" s="1172"/>
      <c r="H157" s="1172"/>
      <c r="I157" s="1172"/>
      <c r="J157" s="1172"/>
      <c r="K157" s="1172"/>
      <c r="L157" s="1172"/>
      <c r="M157" s="1172"/>
      <c r="N157" s="1172"/>
      <c r="O157" s="1172"/>
      <c r="P157" s="1172"/>
      <c r="Q157" s="1172"/>
      <c r="R157" s="1172"/>
      <c r="S157" s="1172"/>
      <c r="T157" s="1172"/>
      <c r="U157" s="1172"/>
      <c r="V157" s="1172"/>
      <c r="W157" s="1172"/>
      <c r="X157" s="1172"/>
      <c r="Y157" s="1172"/>
      <c r="Z157" s="1172"/>
    </row>
    <row r="158" spans="1:26" ht="36" customHeight="1">
      <c r="A158" s="1172"/>
      <c r="B158" s="1172"/>
      <c r="C158" s="1172"/>
      <c r="D158" s="1172"/>
      <c r="E158" s="1172"/>
      <c r="F158" s="1172"/>
      <c r="G158" s="1172"/>
      <c r="H158" s="1172"/>
      <c r="I158" s="1172"/>
      <c r="J158" s="1172"/>
      <c r="K158" s="1172"/>
      <c r="L158" s="1172"/>
      <c r="M158" s="1172"/>
      <c r="N158" s="1172"/>
      <c r="O158" s="1172"/>
      <c r="P158" s="1172"/>
      <c r="Q158" s="1172"/>
      <c r="R158" s="1172"/>
      <c r="S158" s="1172"/>
      <c r="T158" s="1172"/>
      <c r="U158" s="1172"/>
      <c r="V158" s="1172"/>
      <c r="W158" s="1172"/>
      <c r="X158" s="1172"/>
      <c r="Y158" s="1172"/>
      <c r="Z158" s="1172"/>
    </row>
    <row r="159" spans="1:26" ht="36" customHeight="1">
      <c r="A159" s="1172"/>
      <c r="B159" s="1172"/>
      <c r="C159" s="1172"/>
      <c r="D159" s="1172"/>
      <c r="E159" s="1172"/>
      <c r="F159" s="1172"/>
      <c r="G159" s="1172"/>
      <c r="H159" s="1172"/>
      <c r="I159" s="1172"/>
      <c r="J159" s="1172"/>
      <c r="K159" s="1172"/>
      <c r="L159" s="1172"/>
      <c r="M159" s="1172"/>
      <c r="N159" s="1172"/>
      <c r="O159" s="1172"/>
      <c r="P159" s="1172"/>
      <c r="Q159" s="1172"/>
      <c r="R159" s="1172"/>
      <c r="S159" s="1172"/>
      <c r="T159" s="1172"/>
      <c r="U159" s="1172"/>
      <c r="V159" s="1172"/>
      <c r="W159" s="1172"/>
      <c r="X159" s="1172"/>
      <c r="Y159" s="1172"/>
      <c r="Z159" s="1172"/>
    </row>
    <row r="160" spans="1:26" ht="36" customHeight="1">
      <c r="A160" s="1172"/>
      <c r="B160" s="1172"/>
      <c r="C160" s="1172"/>
      <c r="D160" s="1172"/>
      <c r="E160" s="1172"/>
      <c r="F160" s="1172"/>
      <c r="G160" s="1172"/>
      <c r="H160" s="1172"/>
      <c r="I160" s="1172"/>
      <c r="J160" s="1172"/>
      <c r="K160" s="1172"/>
      <c r="L160" s="1172"/>
      <c r="M160" s="1172"/>
      <c r="N160" s="1172"/>
      <c r="O160" s="1172"/>
      <c r="P160" s="1172"/>
      <c r="Q160" s="1172"/>
      <c r="R160" s="1172"/>
      <c r="S160" s="1172"/>
      <c r="T160" s="1172"/>
      <c r="U160" s="1172"/>
      <c r="V160" s="1172"/>
      <c r="W160" s="1172"/>
      <c r="X160" s="1172"/>
      <c r="Y160" s="1172"/>
      <c r="Z160" s="1172"/>
    </row>
    <row r="161" spans="1:26" ht="36" customHeight="1">
      <c r="A161" s="1172"/>
      <c r="B161" s="1172"/>
      <c r="C161" s="1172"/>
      <c r="D161" s="1172"/>
      <c r="E161" s="1172"/>
      <c r="F161" s="1172"/>
      <c r="G161" s="1172"/>
      <c r="H161" s="1172"/>
      <c r="I161" s="1172"/>
      <c r="J161" s="1172"/>
      <c r="K161" s="1172"/>
      <c r="L161" s="1172"/>
      <c r="M161" s="1172"/>
      <c r="N161" s="1172"/>
      <c r="O161" s="1172"/>
      <c r="P161" s="1172"/>
      <c r="Q161" s="1172"/>
      <c r="R161" s="1172"/>
      <c r="S161" s="1172"/>
      <c r="T161" s="1172"/>
      <c r="U161" s="1172"/>
      <c r="V161" s="1172"/>
      <c r="W161" s="1172"/>
      <c r="X161" s="1172"/>
      <c r="Y161" s="1172"/>
      <c r="Z161" s="1172"/>
    </row>
    <row r="162" spans="1:26" ht="36" customHeight="1">
      <c r="A162" s="1172"/>
      <c r="B162" s="1172"/>
      <c r="C162" s="1172"/>
      <c r="D162" s="1172"/>
      <c r="E162" s="1172"/>
      <c r="F162" s="1172"/>
      <c r="G162" s="1172"/>
      <c r="H162" s="1172"/>
      <c r="I162" s="1172"/>
      <c r="J162" s="1172"/>
      <c r="K162" s="1172"/>
      <c r="L162" s="1172"/>
      <c r="M162" s="1172"/>
      <c r="N162" s="1172"/>
      <c r="O162" s="1172"/>
      <c r="P162" s="1172"/>
      <c r="Q162" s="1172"/>
      <c r="R162" s="1172"/>
      <c r="S162" s="1172"/>
      <c r="T162" s="1172"/>
      <c r="U162" s="1172"/>
      <c r="V162" s="1172"/>
      <c r="W162" s="1172"/>
      <c r="X162" s="1172"/>
      <c r="Y162" s="1172"/>
      <c r="Z162" s="1172"/>
    </row>
    <row r="163" spans="1:26" ht="36" customHeight="1">
      <c r="A163" s="1172"/>
      <c r="B163" s="1172"/>
      <c r="C163" s="1172"/>
      <c r="D163" s="1172"/>
      <c r="E163" s="1172"/>
      <c r="F163" s="1172"/>
      <c r="G163" s="1172"/>
      <c r="H163" s="1172"/>
      <c r="I163" s="1172"/>
      <c r="J163" s="1172"/>
      <c r="K163" s="1172"/>
      <c r="L163" s="1172"/>
      <c r="M163" s="1172"/>
      <c r="N163" s="1172"/>
      <c r="O163" s="1172"/>
      <c r="P163" s="1172"/>
      <c r="Q163" s="1172"/>
      <c r="R163" s="1172"/>
      <c r="S163" s="1172"/>
      <c r="T163" s="1172"/>
      <c r="U163" s="1172"/>
      <c r="V163" s="1172"/>
      <c r="W163" s="1172"/>
      <c r="X163" s="1172"/>
      <c r="Y163" s="1172"/>
      <c r="Z163" s="1172"/>
    </row>
    <row r="164" spans="1:26" ht="36" customHeight="1">
      <c r="A164" s="1172"/>
      <c r="B164" s="1172"/>
      <c r="C164" s="1172"/>
      <c r="D164" s="1172"/>
      <c r="E164" s="1172"/>
      <c r="F164" s="1172"/>
      <c r="G164" s="1172"/>
      <c r="H164" s="1172"/>
      <c r="I164" s="1172"/>
      <c r="J164" s="1172"/>
      <c r="K164" s="1172"/>
      <c r="L164" s="1172"/>
      <c r="M164" s="1172"/>
      <c r="N164" s="1172"/>
      <c r="O164" s="1172"/>
      <c r="P164" s="1172"/>
      <c r="Q164" s="1172"/>
      <c r="R164" s="1172"/>
      <c r="S164" s="1172"/>
      <c r="T164" s="1172"/>
      <c r="U164" s="1172"/>
      <c r="V164" s="1172"/>
      <c r="W164" s="1172"/>
      <c r="X164" s="1172"/>
      <c r="Y164" s="1172"/>
      <c r="Z164" s="1172"/>
    </row>
    <row r="165" spans="1:26" ht="36" customHeight="1">
      <c r="A165" s="1172"/>
      <c r="B165" s="1172"/>
      <c r="C165" s="1172"/>
      <c r="D165" s="1172"/>
      <c r="E165" s="1172"/>
      <c r="F165" s="1172"/>
      <c r="G165" s="1172"/>
      <c r="H165" s="1172"/>
      <c r="I165" s="1172"/>
      <c r="J165" s="1172"/>
      <c r="K165" s="1172"/>
      <c r="L165" s="1172"/>
      <c r="M165" s="1172"/>
      <c r="N165" s="1172"/>
      <c r="O165" s="1172"/>
      <c r="P165" s="1172"/>
      <c r="Q165" s="1172"/>
      <c r="R165" s="1172"/>
      <c r="S165" s="1172"/>
      <c r="T165" s="1172"/>
      <c r="U165" s="1172"/>
      <c r="V165" s="1172"/>
      <c r="W165" s="1172"/>
      <c r="X165" s="1172"/>
      <c r="Y165" s="1172"/>
      <c r="Z165" s="1172"/>
    </row>
    <row r="166" spans="1:26" ht="36" customHeight="1">
      <c r="A166" s="1172"/>
      <c r="B166" s="1172"/>
      <c r="C166" s="1172"/>
      <c r="D166" s="1172"/>
      <c r="E166" s="1172"/>
      <c r="F166" s="1172"/>
      <c r="G166" s="1172"/>
      <c r="H166" s="1172"/>
      <c r="I166" s="1172"/>
      <c r="J166" s="1172"/>
      <c r="K166" s="1172"/>
      <c r="L166" s="1172"/>
      <c r="M166" s="1172"/>
      <c r="N166" s="1172"/>
      <c r="O166" s="1172"/>
      <c r="P166" s="1172"/>
      <c r="Q166" s="1172"/>
      <c r="R166" s="1172"/>
      <c r="S166" s="1172"/>
      <c r="T166" s="1172"/>
      <c r="U166" s="1172"/>
      <c r="V166" s="1172"/>
      <c r="W166" s="1172"/>
      <c r="X166" s="1172"/>
      <c r="Y166" s="1172"/>
      <c r="Z166" s="1172"/>
    </row>
    <row r="167" spans="1:26" ht="36" customHeight="1">
      <c r="A167" s="1172"/>
      <c r="B167" s="1172"/>
      <c r="C167" s="1172"/>
      <c r="D167" s="1172"/>
      <c r="E167" s="1172"/>
      <c r="F167" s="1172"/>
      <c r="G167" s="1172"/>
      <c r="H167" s="1172"/>
      <c r="I167" s="1172"/>
      <c r="J167" s="1172"/>
      <c r="K167" s="1172"/>
      <c r="L167" s="1172"/>
      <c r="M167" s="1172"/>
      <c r="N167" s="1172"/>
      <c r="O167" s="1172"/>
      <c r="P167" s="1172"/>
      <c r="Q167" s="1172"/>
      <c r="R167" s="1172"/>
      <c r="S167" s="1172"/>
      <c r="T167" s="1172"/>
      <c r="U167" s="1172"/>
      <c r="V167" s="1172"/>
      <c r="W167" s="1172"/>
      <c r="X167" s="1172"/>
      <c r="Y167" s="1172"/>
      <c r="Z167" s="1172"/>
    </row>
    <row r="168" spans="1:26" ht="36" customHeight="1">
      <c r="A168" s="1172"/>
      <c r="B168" s="1172"/>
      <c r="C168" s="1172"/>
      <c r="D168" s="1172"/>
      <c r="E168" s="1172"/>
      <c r="F168" s="1172"/>
      <c r="G168" s="1172"/>
      <c r="H168" s="1172"/>
      <c r="I168" s="1172"/>
      <c r="J168" s="1172"/>
      <c r="K168" s="1172"/>
      <c r="L168" s="1172"/>
      <c r="M168" s="1172"/>
      <c r="N168" s="1172"/>
      <c r="O168" s="1172"/>
      <c r="P168" s="1172"/>
      <c r="Q168" s="1172"/>
      <c r="R168" s="1172"/>
      <c r="S168" s="1172"/>
      <c r="T168" s="1172"/>
      <c r="U168" s="1172"/>
      <c r="V168" s="1172"/>
      <c r="W168" s="1172"/>
      <c r="X168" s="1172"/>
      <c r="Y168" s="1172"/>
      <c r="Z168" s="1172"/>
    </row>
    <row r="169" spans="1:26" ht="36" customHeight="1">
      <c r="A169" s="1172"/>
      <c r="B169" s="1172"/>
      <c r="C169" s="1172"/>
      <c r="D169" s="1172"/>
      <c r="E169" s="1172"/>
      <c r="F169" s="1172"/>
      <c r="G169" s="1172"/>
      <c r="H169" s="1172"/>
      <c r="I169" s="1172"/>
      <c r="J169" s="1172"/>
      <c r="K169" s="1172"/>
      <c r="L169" s="1172"/>
      <c r="M169" s="1172"/>
      <c r="N169" s="1172"/>
      <c r="O169" s="1172"/>
      <c r="P169" s="1172"/>
      <c r="Q169" s="1172"/>
      <c r="R169" s="1172"/>
      <c r="S169" s="1172"/>
      <c r="T169" s="1172"/>
      <c r="U169" s="1172"/>
      <c r="V169" s="1172"/>
      <c r="W169" s="1172"/>
      <c r="X169" s="1172"/>
      <c r="Y169" s="1172"/>
      <c r="Z169" s="1172"/>
    </row>
    <row r="170" spans="1:26" ht="36" customHeight="1">
      <c r="A170" s="1172"/>
      <c r="B170" s="1172"/>
      <c r="C170" s="1172"/>
      <c r="D170" s="1172"/>
      <c r="E170" s="1172"/>
      <c r="F170" s="1172"/>
      <c r="G170" s="1172"/>
      <c r="H170" s="1172"/>
      <c r="I170" s="1172"/>
      <c r="J170" s="1172"/>
      <c r="K170" s="1172"/>
      <c r="L170" s="1172"/>
      <c r="M170" s="1172"/>
      <c r="N170" s="1172"/>
      <c r="O170" s="1172"/>
      <c r="P170" s="1172"/>
      <c r="Q170" s="1172"/>
      <c r="R170" s="1172"/>
      <c r="S170" s="1172"/>
      <c r="T170" s="1172"/>
      <c r="U170" s="1172"/>
      <c r="V170" s="1172"/>
      <c r="W170" s="1172"/>
      <c r="X170" s="1172"/>
      <c r="Y170" s="1172"/>
      <c r="Z170" s="1172"/>
    </row>
    <row r="171" spans="1:26" ht="36" customHeight="1">
      <c r="A171" s="1172"/>
      <c r="B171" s="1172"/>
      <c r="C171" s="1172"/>
      <c r="D171" s="1172"/>
      <c r="E171" s="1172"/>
      <c r="F171" s="1172"/>
      <c r="G171" s="1172"/>
      <c r="H171" s="1172"/>
      <c r="I171" s="1172"/>
      <c r="J171" s="1172"/>
      <c r="K171" s="1172"/>
      <c r="L171" s="1172"/>
      <c r="M171" s="1172"/>
      <c r="N171" s="1172"/>
      <c r="O171" s="1172"/>
      <c r="P171" s="1172"/>
      <c r="Q171" s="1172"/>
      <c r="R171" s="1172"/>
      <c r="S171" s="1172"/>
      <c r="T171" s="1172"/>
      <c r="U171" s="1172"/>
      <c r="V171" s="1172"/>
      <c r="W171" s="1172"/>
      <c r="X171" s="1172"/>
      <c r="Y171" s="1172"/>
      <c r="Z171" s="1172"/>
    </row>
    <row r="172" spans="1:26" ht="36" customHeight="1">
      <c r="A172" s="1172"/>
      <c r="B172" s="1172"/>
      <c r="C172" s="1172"/>
      <c r="D172" s="1172"/>
      <c r="E172" s="1172"/>
      <c r="F172" s="1172"/>
      <c r="G172" s="1172"/>
      <c r="H172" s="1172"/>
      <c r="I172" s="1172"/>
      <c r="J172" s="1172"/>
      <c r="K172" s="1172"/>
      <c r="L172" s="1172"/>
      <c r="M172" s="1172"/>
      <c r="N172" s="1172"/>
      <c r="O172" s="1172"/>
      <c r="P172" s="1172"/>
      <c r="Q172" s="1172"/>
      <c r="R172" s="1172"/>
      <c r="S172" s="1172"/>
      <c r="T172" s="1172"/>
      <c r="U172" s="1172"/>
      <c r="V172" s="1172"/>
      <c r="W172" s="1172"/>
      <c r="X172" s="1172"/>
      <c r="Y172" s="1172"/>
      <c r="Z172" s="1172"/>
    </row>
    <row r="173" spans="1:26" ht="36" customHeight="1">
      <c r="A173" s="1172"/>
      <c r="B173" s="1172"/>
      <c r="C173" s="1172"/>
      <c r="D173" s="1172"/>
      <c r="E173" s="1172"/>
      <c r="F173" s="1172"/>
      <c r="G173" s="1172"/>
      <c r="H173" s="1172"/>
      <c r="I173" s="1172"/>
      <c r="J173" s="1172"/>
      <c r="K173" s="1172"/>
      <c r="L173" s="1172"/>
      <c r="M173" s="1172"/>
      <c r="N173" s="1172"/>
      <c r="O173" s="1172"/>
      <c r="P173" s="1172"/>
      <c r="Q173" s="1172"/>
      <c r="R173" s="1172"/>
      <c r="S173" s="1172"/>
      <c r="T173" s="1172"/>
      <c r="U173" s="1172"/>
      <c r="V173" s="1172"/>
      <c r="W173" s="1172"/>
      <c r="X173" s="1172"/>
      <c r="Y173" s="1172"/>
      <c r="Z173" s="1172"/>
    </row>
    <row r="174" spans="1:26" ht="36" customHeight="1">
      <c r="A174" s="1172"/>
      <c r="B174" s="1172"/>
      <c r="C174" s="1172"/>
      <c r="D174" s="1172"/>
      <c r="E174" s="1172"/>
      <c r="F174" s="1172"/>
      <c r="G174" s="1172"/>
      <c r="H174" s="1172"/>
      <c r="I174" s="1172"/>
      <c r="J174" s="1172"/>
      <c r="K174" s="1172"/>
      <c r="L174" s="1172"/>
      <c r="M174" s="1172"/>
      <c r="N174" s="1172"/>
      <c r="O174" s="1172"/>
      <c r="P174" s="1172"/>
      <c r="Q174" s="1172"/>
      <c r="R174" s="1172"/>
      <c r="S174" s="1172"/>
      <c r="T174" s="1172"/>
      <c r="U174" s="1172"/>
      <c r="V174" s="1172"/>
      <c r="W174" s="1172"/>
      <c r="X174" s="1172"/>
      <c r="Y174" s="1172"/>
      <c r="Z174" s="1172"/>
    </row>
    <row r="175" spans="1:26" ht="36" customHeight="1">
      <c r="A175" s="1172"/>
      <c r="B175" s="1172"/>
      <c r="C175" s="1172"/>
      <c r="D175" s="1172"/>
      <c r="E175" s="1172"/>
      <c r="F175" s="1172"/>
      <c r="G175" s="1172"/>
      <c r="H175" s="1172"/>
      <c r="I175" s="1172"/>
      <c r="J175" s="1172"/>
      <c r="K175" s="1172"/>
      <c r="L175" s="1172"/>
      <c r="M175" s="1172"/>
      <c r="N175" s="1172"/>
      <c r="O175" s="1172"/>
      <c r="P175" s="1172"/>
      <c r="Q175" s="1172"/>
      <c r="R175" s="1172"/>
      <c r="S175" s="1172"/>
      <c r="T175" s="1172"/>
      <c r="U175" s="1172"/>
      <c r="V175" s="1172"/>
      <c r="W175" s="1172"/>
      <c r="X175" s="1172"/>
      <c r="Y175" s="1172"/>
      <c r="Z175" s="1172"/>
    </row>
    <row r="176" spans="1:26" ht="36" customHeight="1">
      <c r="A176" s="1172"/>
      <c r="B176" s="1172"/>
      <c r="C176" s="1172"/>
      <c r="D176" s="1172"/>
      <c r="E176" s="1172"/>
      <c r="F176" s="1172"/>
      <c r="G176" s="1172"/>
      <c r="H176" s="1172"/>
      <c r="I176" s="1172"/>
      <c r="J176" s="1172"/>
      <c r="K176" s="1172"/>
      <c r="L176" s="1172"/>
      <c r="M176" s="1172"/>
      <c r="N176" s="1172"/>
      <c r="O176" s="1172"/>
      <c r="P176" s="1172"/>
      <c r="Q176" s="1172"/>
      <c r="R176" s="1172"/>
      <c r="S176" s="1172"/>
      <c r="T176" s="1172"/>
      <c r="U176" s="1172"/>
      <c r="V176" s="1172"/>
      <c r="W176" s="1172"/>
      <c r="X176" s="1172"/>
      <c r="Y176" s="1172"/>
      <c r="Z176" s="1172"/>
    </row>
    <row r="177" spans="1:26" ht="36" customHeight="1">
      <c r="A177" s="1172"/>
      <c r="B177" s="1172"/>
      <c r="C177" s="1172"/>
      <c r="D177" s="1172"/>
      <c r="E177" s="1172"/>
      <c r="F177" s="1172"/>
      <c r="G177" s="1172"/>
      <c r="H177" s="1172"/>
      <c r="I177" s="1172"/>
      <c r="J177" s="1172"/>
      <c r="K177" s="1172"/>
      <c r="L177" s="1172"/>
      <c r="M177" s="1172"/>
      <c r="N177" s="1172"/>
      <c r="O177" s="1172"/>
      <c r="P177" s="1172"/>
      <c r="Q177" s="1172"/>
      <c r="R177" s="1172"/>
      <c r="S177" s="1172"/>
      <c r="T177" s="1172"/>
      <c r="U177" s="1172"/>
      <c r="V177" s="1172"/>
      <c r="W177" s="1172"/>
      <c r="X177" s="1172"/>
      <c r="Y177" s="1172"/>
      <c r="Z177" s="1172"/>
    </row>
    <row r="178" spans="1:26" ht="36" customHeight="1">
      <c r="A178" s="1172"/>
      <c r="B178" s="1172"/>
      <c r="C178" s="1172"/>
      <c r="D178" s="1172"/>
      <c r="E178" s="1172"/>
      <c r="F178" s="1172"/>
      <c r="G178" s="1172"/>
      <c r="H178" s="1172"/>
      <c r="I178" s="1172"/>
      <c r="J178" s="1172"/>
      <c r="K178" s="1172"/>
      <c r="L178" s="1172"/>
      <c r="M178" s="1172"/>
      <c r="N178" s="1172"/>
      <c r="O178" s="1172"/>
      <c r="P178" s="1172"/>
      <c r="Q178" s="1172"/>
      <c r="R178" s="1172"/>
      <c r="S178" s="1172"/>
      <c r="T178" s="1172"/>
      <c r="U178" s="1172"/>
      <c r="V178" s="1172"/>
      <c r="W178" s="1172"/>
      <c r="X178" s="1172"/>
      <c r="Y178" s="1172"/>
      <c r="Z178" s="1172"/>
    </row>
    <row r="179" spans="1:26" ht="36" customHeight="1">
      <c r="A179" s="1172"/>
      <c r="B179" s="1172"/>
      <c r="C179" s="1172"/>
      <c r="D179" s="1172"/>
      <c r="E179" s="1172"/>
      <c r="F179" s="1172"/>
      <c r="G179" s="1172"/>
      <c r="H179" s="1172"/>
      <c r="I179" s="1172"/>
      <c r="J179" s="1172"/>
      <c r="K179" s="1172"/>
      <c r="L179" s="1172"/>
      <c r="M179" s="1172"/>
      <c r="N179" s="1172"/>
      <c r="O179" s="1172"/>
      <c r="P179" s="1172"/>
      <c r="Q179" s="1172"/>
      <c r="R179" s="1172"/>
      <c r="S179" s="1172"/>
      <c r="T179" s="1172"/>
      <c r="U179" s="1172"/>
      <c r="V179" s="1172"/>
      <c r="W179" s="1172"/>
      <c r="X179" s="1172"/>
      <c r="Y179" s="1172"/>
      <c r="Z179" s="1172"/>
    </row>
    <row r="180" spans="1:26" ht="36" customHeight="1">
      <c r="A180" s="1172"/>
      <c r="B180" s="1172"/>
      <c r="C180" s="1172"/>
      <c r="D180" s="1172"/>
      <c r="E180" s="1172"/>
      <c r="F180" s="1172"/>
      <c r="G180" s="1172"/>
      <c r="H180" s="1172"/>
      <c r="I180" s="1172"/>
      <c r="J180" s="1172"/>
      <c r="K180" s="1172"/>
      <c r="L180" s="1172"/>
      <c r="M180" s="1172"/>
      <c r="N180" s="1172"/>
      <c r="O180" s="1172"/>
      <c r="P180" s="1172"/>
      <c r="Q180" s="1172"/>
      <c r="R180" s="1172"/>
      <c r="S180" s="1172"/>
      <c r="T180" s="1172"/>
      <c r="U180" s="1172"/>
      <c r="V180" s="1172"/>
      <c r="W180" s="1172"/>
      <c r="X180" s="1172"/>
      <c r="Y180" s="1172"/>
      <c r="Z180" s="1172"/>
    </row>
    <row r="181" spans="1:26" ht="36" customHeight="1">
      <c r="A181" s="1172"/>
      <c r="B181" s="1172"/>
      <c r="C181" s="1172"/>
      <c r="D181" s="1172"/>
      <c r="E181" s="1172"/>
      <c r="F181" s="1172"/>
      <c r="G181" s="1172"/>
      <c r="H181" s="1172"/>
      <c r="I181" s="1172"/>
      <c r="J181" s="1172"/>
      <c r="K181" s="1172"/>
      <c r="L181" s="1172"/>
      <c r="M181" s="1172"/>
      <c r="N181" s="1172"/>
      <c r="O181" s="1172"/>
      <c r="P181" s="1172"/>
      <c r="Q181" s="1172"/>
      <c r="R181" s="1172"/>
      <c r="S181" s="1172"/>
      <c r="T181" s="1172"/>
      <c r="U181" s="1172"/>
      <c r="V181" s="1172"/>
      <c r="W181" s="1172"/>
      <c r="X181" s="1172"/>
      <c r="Y181" s="1172"/>
      <c r="Z181" s="1172"/>
    </row>
    <row r="182" spans="1:26" ht="36" customHeight="1">
      <c r="A182" s="1172"/>
      <c r="B182" s="1172"/>
      <c r="C182" s="1172"/>
      <c r="D182" s="1172"/>
      <c r="E182" s="1172"/>
      <c r="F182" s="1172"/>
      <c r="G182" s="1172"/>
      <c r="H182" s="1172"/>
      <c r="I182" s="1172"/>
      <c r="J182" s="1172"/>
      <c r="K182" s="1172"/>
      <c r="L182" s="1172"/>
      <c r="M182" s="1172"/>
      <c r="N182" s="1172"/>
      <c r="O182" s="1172"/>
      <c r="P182" s="1172"/>
      <c r="Q182" s="1172"/>
      <c r="R182" s="1172"/>
      <c r="S182" s="1172"/>
      <c r="T182" s="1172"/>
      <c r="U182" s="1172"/>
      <c r="V182" s="1172"/>
      <c r="W182" s="1172"/>
      <c r="X182" s="1172"/>
      <c r="Y182" s="1172"/>
      <c r="Z182" s="1172"/>
    </row>
    <row r="183" spans="1:26" ht="36" customHeight="1">
      <c r="A183" s="1172"/>
      <c r="B183" s="1172"/>
      <c r="C183" s="1172"/>
      <c r="D183" s="1172"/>
      <c r="E183" s="1172"/>
      <c r="F183" s="1172"/>
      <c r="G183" s="1172"/>
      <c r="H183" s="1172"/>
      <c r="I183" s="1172"/>
      <c r="J183" s="1172"/>
      <c r="K183" s="1172"/>
      <c r="L183" s="1172"/>
      <c r="M183" s="1172"/>
      <c r="N183" s="1172"/>
      <c r="O183" s="1172"/>
      <c r="P183" s="1172"/>
      <c r="Q183" s="1172"/>
      <c r="R183" s="1172"/>
      <c r="S183" s="1172"/>
      <c r="T183" s="1172"/>
      <c r="U183" s="1172"/>
      <c r="V183" s="1172"/>
      <c r="W183" s="1172"/>
      <c r="X183" s="1172"/>
      <c r="Y183" s="1172"/>
      <c r="Z183" s="1172"/>
    </row>
    <row r="184" spans="1:26" ht="36" customHeight="1">
      <c r="A184" s="1172"/>
      <c r="B184" s="1172"/>
      <c r="C184" s="1172"/>
      <c r="D184" s="1172"/>
      <c r="E184" s="1172"/>
      <c r="F184" s="1172"/>
      <c r="G184" s="1172"/>
      <c r="H184" s="1172"/>
      <c r="I184" s="1172"/>
      <c r="J184" s="1172"/>
      <c r="K184" s="1172"/>
      <c r="L184" s="1172"/>
      <c r="M184" s="1172"/>
      <c r="N184" s="1172"/>
      <c r="O184" s="1172"/>
      <c r="P184" s="1172"/>
      <c r="Q184" s="1172"/>
      <c r="R184" s="1172"/>
      <c r="S184" s="1172"/>
      <c r="T184" s="1172"/>
      <c r="U184" s="1172"/>
      <c r="V184" s="1172"/>
      <c r="W184" s="1172"/>
      <c r="X184" s="1172"/>
      <c r="Y184" s="1172"/>
      <c r="Z184" s="1172"/>
    </row>
    <row r="185" spans="1:26" ht="36" customHeight="1">
      <c r="A185" s="1172"/>
      <c r="B185" s="1172"/>
      <c r="C185" s="1172"/>
      <c r="D185" s="1172"/>
      <c r="E185" s="1172"/>
      <c r="F185" s="1172"/>
      <c r="G185" s="1172"/>
      <c r="H185" s="1172"/>
      <c r="I185" s="1172"/>
      <c r="J185" s="1172"/>
      <c r="K185" s="1172"/>
      <c r="L185" s="1172"/>
      <c r="M185" s="1172"/>
      <c r="N185" s="1172"/>
      <c r="O185" s="1172"/>
      <c r="P185" s="1172"/>
      <c r="Q185" s="1172"/>
      <c r="R185" s="1172"/>
      <c r="S185" s="1172"/>
      <c r="T185" s="1172"/>
      <c r="U185" s="1172"/>
      <c r="V185" s="1172"/>
      <c r="W185" s="1172"/>
      <c r="X185" s="1172"/>
      <c r="Y185" s="1172"/>
      <c r="Z185" s="1172"/>
    </row>
    <row r="186" spans="1:26" ht="36" customHeight="1">
      <c r="A186" s="1172"/>
      <c r="B186" s="1172"/>
      <c r="C186" s="1172"/>
      <c r="D186" s="1172"/>
      <c r="E186" s="1172"/>
      <c r="F186" s="1172"/>
      <c r="G186" s="1172"/>
      <c r="H186" s="1172"/>
      <c r="I186" s="1172"/>
      <c r="J186" s="1172"/>
      <c r="K186" s="1172"/>
      <c r="L186" s="1172"/>
      <c r="M186" s="1172"/>
      <c r="N186" s="1172"/>
      <c r="O186" s="1172"/>
      <c r="P186" s="1172"/>
      <c r="Q186" s="1172"/>
      <c r="R186" s="1172"/>
      <c r="S186" s="1172"/>
      <c r="T186" s="1172"/>
      <c r="U186" s="1172"/>
      <c r="V186" s="1172"/>
      <c r="W186" s="1172"/>
      <c r="X186" s="1172"/>
      <c r="Y186" s="1172"/>
      <c r="Z186" s="1172"/>
    </row>
    <row r="187" spans="1:26" ht="36" customHeight="1">
      <c r="A187" s="1172"/>
      <c r="B187" s="1172"/>
      <c r="C187" s="1172"/>
      <c r="D187" s="1172"/>
      <c r="E187" s="1172"/>
      <c r="F187" s="1172"/>
      <c r="G187" s="1172"/>
      <c r="H187" s="1172"/>
      <c r="I187" s="1172"/>
      <c r="J187" s="1172"/>
      <c r="K187" s="1172"/>
      <c r="L187" s="1172"/>
      <c r="M187" s="1172"/>
      <c r="N187" s="1172"/>
      <c r="O187" s="1172"/>
      <c r="P187" s="1172"/>
      <c r="Q187" s="1172"/>
      <c r="R187" s="1172"/>
      <c r="S187" s="1172"/>
      <c r="T187" s="1172"/>
      <c r="U187" s="1172"/>
      <c r="V187" s="1172"/>
      <c r="W187" s="1172"/>
      <c r="X187" s="1172"/>
      <c r="Y187" s="1172"/>
      <c r="Z187" s="1172"/>
    </row>
    <row r="188" spans="1:26" ht="36" customHeight="1">
      <c r="A188" s="1172"/>
      <c r="B188" s="1172"/>
      <c r="C188" s="1172"/>
      <c r="D188" s="1172"/>
      <c r="E188" s="1172"/>
      <c r="F188" s="1172"/>
      <c r="G188" s="1172"/>
      <c r="H188" s="1172"/>
      <c r="I188" s="1172"/>
      <c r="J188" s="1172"/>
      <c r="K188" s="1172"/>
      <c r="L188" s="1172"/>
      <c r="M188" s="1172"/>
      <c r="N188" s="1172"/>
      <c r="O188" s="1172"/>
      <c r="P188" s="1172"/>
      <c r="Q188" s="1172"/>
      <c r="R188" s="1172"/>
      <c r="S188" s="1172"/>
      <c r="T188" s="1172"/>
      <c r="U188" s="1172"/>
      <c r="V188" s="1172"/>
      <c r="W188" s="1172"/>
      <c r="X188" s="1172"/>
      <c r="Y188" s="1172"/>
      <c r="Z188" s="1172"/>
    </row>
    <row r="189" spans="1:26" ht="36" customHeight="1">
      <c r="A189" s="1172"/>
      <c r="B189" s="1172"/>
      <c r="C189" s="1172"/>
      <c r="D189" s="1172"/>
      <c r="E189" s="1172"/>
      <c r="F189" s="1172"/>
      <c r="G189" s="1172"/>
      <c r="H189" s="1172"/>
      <c r="I189" s="1172"/>
      <c r="J189" s="1172"/>
      <c r="K189" s="1172"/>
      <c r="L189" s="1172"/>
      <c r="M189" s="1172"/>
      <c r="N189" s="1172"/>
      <c r="O189" s="1172"/>
      <c r="P189" s="1172"/>
      <c r="Q189" s="1172"/>
      <c r="R189" s="1172"/>
      <c r="S189" s="1172"/>
      <c r="T189" s="1172"/>
      <c r="U189" s="1172"/>
      <c r="V189" s="1172"/>
      <c r="W189" s="1172"/>
      <c r="X189" s="1172"/>
      <c r="Y189" s="1172"/>
      <c r="Z189" s="1172"/>
    </row>
    <row r="190" spans="1:26" ht="36" customHeight="1">
      <c r="A190" s="1172"/>
      <c r="B190" s="1172"/>
      <c r="C190" s="1172"/>
      <c r="D190" s="1172"/>
      <c r="E190" s="1172"/>
      <c r="F190" s="1172"/>
      <c r="G190" s="1172"/>
      <c r="H190" s="1172"/>
      <c r="I190" s="1172"/>
      <c r="J190" s="1172"/>
      <c r="K190" s="1172"/>
      <c r="L190" s="1172"/>
      <c r="M190" s="1172"/>
      <c r="N190" s="1172"/>
      <c r="O190" s="1172"/>
      <c r="P190" s="1172"/>
      <c r="Q190" s="1172"/>
      <c r="R190" s="1172"/>
      <c r="S190" s="1172"/>
      <c r="T190" s="1172"/>
      <c r="U190" s="1172"/>
      <c r="V190" s="1172"/>
      <c r="W190" s="1172"/>
      <c r="X190" s="1172"/>
      <c r="Y190" s="1172"/>
      <c r="Z190" s="1172"/>
    </row>
    <row r="191" spans="1:26" ht="36" customHeight="1">
      <c r="A191" s="1172"/>
      <c r="B191" s="1172"/>
      <c r="C191" s="1172"/>
      <c r="D191" s="1172"/>
      <c r="E191" s="1172"/>
      <c r="F191" s="1172"/>
      <c r="G191" s="1172"/>
      <c r="H191" s="1172"/>
      <c r="I191" s="1172"/>
      <c r="J191" s="1172"/>
      <c r="K191" s="1172"/>
      <c r="L191" s="1172"/>
      <c r="M191" s="1172"/>
      <c r="N191" s="1172"/>
      <c r="O191" s="1172"/>
      <c r="P191" s="1172"/>
      <c r="Q191" s="1172"/>
      <c r="R191" s="1172"/>
      <c r="S191" s="1172"/>
      <c r="T191" s="1172"/>
      <c r="U191" s="1172"/>
      <c r="V191" s="1172"/>
      <c r="W191" s="1172"/>
      <c r="X191" s="1172"/>
      <c r="Y191" s="1172"/>
      <c r="Z191" s="1172"/>
    </row>
    <row r="192" spans="1:26" ht="36" customHeight="1">
      <c r="A192" s="1172"/>
      <c r="B192" s="1172"/>
      <c r="C192" s="1172"/>
      <c r="D192" s="1172"/>
      <c r="E192" s="1172"/>
      <c r="F192" s="1172"/>
      <c r="G192" s="1172"/>
      <c r="H192" s="1172"/>
      <c r="I192" s="1172"/>
      <c r="J192" s="1172"/>
      <c r="K192" s="1172"/>
      <c r="L192" s="1172"/>
      <c r="M192" s="1172"/>
      <c r="N192" s="1172"/>
      <c r="O192" s="1172"/>
      <c r="P192" s="1172"/>
      <c r="Q192" s="1172"/>
      <c r="R192" s="1172"/>
      <c r="S192" s="1172"/>
      <c r="T192" s="1172"/>
      <c r="U192" s="1172"/>
      <c r="V192" s="1172"/>
      <c r="W192" s="1172"/>
      <c r="X192" s="1172"/>
      <c r="Y192" s="1172"/>
      <c r="Z192" s="1172"/>
    </row>
    <row r="193" spans="1:26" ht="36" customHeight="1">
      <c r="A193" s="1172"/>
      <c r="B193" s="1172"/>
      <c r="C193" s="1172"/>
      <c r="D193" s="1172"/>
      <c r="E193" s="1172"/>
      <c r="F193" s="1172"/>
      <c r="G193" s="1172"/>
      <c r="H193" s="1172"/>
      <c r="I193" s="1172"/>
      <c r="J193" s="1172"/>
      <c r="K193" s="1172"/>
      <c r="L193" s="1172"/>
      <c r="M193" s="1172"/>
      <c r="N193" s="1172"/>
      <c r="O193" s="1172"/>
      <c r="P193" s="1172"/>
      <c r="Q193" s="1172"/>
      <c r="R193" s="1172"/>
      <c r="S193" s="1172"/>
      <c r="T193" s="1172"/>
      <c r="U193" s="1172"/>
      <c r="V193" s="1172"/>
      <c r="W193" s="1172"/>
      <c r="X193" s="1172"/>
      <c r="Y193" s="1172"/>
      <c r="Z193" s="1172"/>
    </row>
    <row r="194" spans="1:26" ht="36" customHeight="1">
      <c r="A194" s="1172"/>
      <c r="B194" s="1172"/>
      <c r="C194" s="1172"/>
      <c r="D194" s="1172"/>
      <c r="E194" s="1172"/>
      <c r="F194" s="1172"/>
      <c r="G194" s="1172"/>
      <c r="H194" s="1172"/>
      <c r="I194" s="1172"/>
      <c r="J194" s="1172"/>
      <c r="K194" s="1172"/>
      <c r="L194" s="1172"/>
      <c r="M194" s="1172"/>
      <c r="N194" s="1172"/>
      <c r="O194" s="1172"/>
      <c r="P194" s="1172"/>
      <c r="Q194" s="1172"/>
      <c r="R194" s="1172"/>
      <c r="S194" s="1172"/>
      <c r="T194" s="1172"/>
      <c r="U194" s="1172"/>
      <c r="V194" s="1172"/>
      <c r="W194" s="1172"/>
      <c r="X194" s="1172"/>
      <c r="Y194" s="1172"/>
      <c r="Z194" s="1172"/>
    </row>
    <row r="195" spans="1:26" ht="36" customHeight="1">
      <c r="A195" s="1172"/>
      <c r="B195" s="1172"/>
      <c r="C195" s="1172"/>
      <c r="D195" s="1172"/>
      <c r="E195" s="1172"/>
      <c r="F195" s="1172"/>
      <c r="G195" s="1172"/>
      <c r="H195" s="1172"/>
      <c r="I195" s="1172"/>
      <c r="J195" s="1172"/>
      <c r="K195" s="1172"/>
      <c r="L195" s="1172"/>
      <c r="M195" s="1172"/>
      <c r="N195" s="1172"/>
      <c r="O195" s="1172"/>
      <c r="P195" s="1172"/>
      <c r="Q195" s="1172"/>
      <c r="R195" s="1172"/>
      <c r="S195" s="1172"/>
      <c r="T195" s="1172"/>
      <c r="U195" s="1172"/>
      <c r="V195" s="1172"/>
      <c r="W195" s="1172"/>
      <c r="X195" s="1172"/>
      <c r="Y195" s="1172"/>
      <c r="Z195" s="1172"/>
    </row>
    <row r="196" spans="1:26" ht="36" customHeight="1">
      <c r="A196" s="1172"/>
      <c r="B196" s="1172"/>
      <c r="C196" s="1172"/>
      <c r="D196" s="1172"/>
      <c r="E196" s="1172"/>
      <c r="F196" s="1172"/>
      <c r="G196" s="1172"/>
      <c r="H196" s="1172"/>
      <c r="I196" s="1172"/>
      <c r="J196" s="1172"/>
      <c r="K196" s="1172"/>
      <c r="L196" s="1172"/>
      <c r="M196" s="1172"/>
      <c r="N196" s="1172"/>
      <c r="O196" s="1172"/>
      <c r="P196" s="1172"/>
      <c r="Q196" s="1172"/>
      <c r="R196" s="1172"/>
      <c r="S196" s="1172"/>
      <c r="T196" s="1172"/>
      <c r="U196" s="1172"/>
      <c r="V196" s="1172"/>
      <c r="W196" s="1172"/>
      <c r="X196" s="1172"/>
      <c r="Y196" s="1172"/>
      <c r="Z196" s="1172"/>
    </row>
    <row r="197" spans="1:26" ht="36" customHeight="1">
      <c r="A197" s="1172"/>
      <c r="B197" s="1172"/>
      <c r="C197" s="1172"/>
      <c r="D197" s="1172"/>
      <c r="E197" s="1172"/>
      <c r="F197" s="1172"/>
      <c r="G197" s="1172"/>
      <c r="H197" s="1172"/>
      <c r="I197" s="1172"/>
      <c r="J197" s="1172"/>
      <c r="K197" s="1172"/>
      <c r="L197" s="1172"/>
      <c r="M197" s="1172"/>
      <c r="N197" s="1172"/>
      <c r="O197" s="1172"/>
      <c r="P197" s="1172"/>
      <c r="Q197" s="1172"/>
      <c r="R197" s="1172"/>
      <c r="S197" s="1172"/>
      <c r="T197" s="1172"/>
      <c r="U197" s="1172"/>
      <c r="V197" s="1172"/>
      <c r="W197" s="1172"/>
      <c r="X197" s="1172"/>
      <c r="Y197" s="1172"/>
      <c r="Z197" s="1172"/>
    </row>
    <row r="198" spans="1:26" ht="36" customHeight="1">
      <c r="A198" s="1172"/>
      <c r="B198" s="1172"/>
      <c r="C198" s="1172"/>
      <c r="D198" s="1172"/>
      <c r="E198" s="1172"/>
      <c r="F198" s="1172"/>
      <c r="G198" s="1172"/>
      <c r="H198" s="1172"/>
      <c r="I198" s="1172"/>
      <c r="J198" s="1172"/>
      <c r="K198" s="1172"/>
      <c r="L198" s="1172"/>
      <c r="M198" s="1172"/>
      <c r="N198" s="1172"/>
      <c r="O198" s="1172"/>
      <c r="P198" s="1172"/>
      <c r="Q198" s="1172"/>
      <c r="R198" s="1172"/>
      <c r="S198" s="1172"/>
      <c r="T198" s="1172"/>
      <c r="U198" s="1172"/>
      <c r="V198" s="1172"/>
      <c r="W198" s="1172"/>
      <c r="X198" s="1172"/>
      <c r="Y198" s="1172"/>
      <c r="Z198" s="1172"/>
    </row>
    <row r="199" spans="1:26" ht="36" customHeight="1">
      <c r="A199" s="1172"/>
      <c r="B199" s="1172"/>
      <c r="C199" s="1172"/>
      <c r="D199" s="1172"/>
      <c r="E199" s="1172"/>
      <c r="F199" s="1172"/>
      <c r="G199" s="1172"/>
      <c r="H199" s="1172"/>
      <c r="I199" s="1172"/>
      <c r="J199" s="1172"/>
      <c r="K199" s="1172"/>
      <c r="L199" s="1172"/>
      <c r="M199" s="1172"/>
      <c r="N199" s="1172"/>
      <c r="O199" s="1172"/>
      <c r="P199" s="1172"/>
      <c r="Q199" s="1172"/>
      <c r="R199" s="1172"/>
      <c r="S199" s="1172"/>
      <c r="T199" s="1172"/>
      <c r="U199" s="1172"/>
      <c r="V199" s="1172"/>
      <c r="W199" s="1172"/>
      <c r="X199" s="1172"/>
      <c r="Y199" s="1172"/>
      <c r="Z199" s="1172"/>
    </row>
    <row r="200" spans="1:26" ht="36" customHeight="1">
      <c r="A200" s="1172"/>
      <c r="B200" s="1172"/>
      <c r="C200" s="1172"/>
      <c r="D200" s="1172"/>
      <c r="E200" s="1172"/>
      <c r="F200" s="1172"/>
      <c r="G200" s="1172"/>
      <c r="H200" s="1172"/>
      <c r="I200" s="1172"/>
      <c r="J200" s="1172"/>
      <c r="K200" s="1172"/>
      <c r="L200" s="1172"/>
      <c r="M200" s="1172"/>
      <c r="N200" s="1172"/>
      <c r="O200" s="1172"/>
      <c r="P200" s="1172"/>
      <c r="Q200" s="1172"/>
      <c r="R200" s="1172"/>
      <c r="S200" s="1172"/>
      <c r="T200" s="1172"/>
      <c r="U200" s="1172"/>
      <c r="V200" s="1172"/>
      <c r="W200" s="1172"/>
      <c r="X200" s="1172"/>
      <c r="Y200" s="1172"/>
      <c r="Z200" s="1172"/>
    </row>
    <row r="201" spans="1:26" ht="36" customHeight="1">
      <c r="A201" s="1172"/>
      <c r="B201" s="1172"/>
      <c r="C201" s="1172"/>
      <c r="D201" s="1172"/>
      <c r="E201" s="1172"/>
      <c r="F201" s="1172"/>
      <c r="G201" s="1172"/>
      <c r="H201" s="1172"/>
      <c r="I201" s="1172"/>
      <c r="J201" s="1172"/>
      <c r="K201" s="1172"/>
      <c r="L201" s="1172"/>
      <c r="M201" s="1172"/>
      <c r="N201" s="1172"/>
      <c r="O201" s="1172"/>
      <c r="P201" s="1172"/>
      <c r="Q201" s="1172"/>
      <c r="R201" s="1172"/>
      <c r="S201" s="1172"/>
      <c r="T201" s="1172"/>
      <c r="U201" s="1172"/>
      <c r="V201" s="1172"/>
      <c r="W201" s="1172"/>
      <c r="X201" s="1172"/>
      <c r="Y201" s="1172"/>
      <c r="Z201" s="1172"/>
    </row>
    <row r="202" spans="1:26" ht="36" customHeight="1">
      <c r="A202" s="1172"/>
      <c r="B202" s="1172"/>
      <c r="C202" s="1172"/>
      <c r="D202" s="1172"/>
      <c r="E202" s="1172"/>
      <c r="F202" s="1172"/>
      <c r="G202" s="1172"/>
      <c r="H202" s="1172"/>
      <c r="I202" s="1172"/>
      <c r="J202" s="1172"/>
      <c r="K202" s="1172"/>
      <c r="L202" s="1172"/>
      <c r="M202" s="1172"/>
      <c r="N202" s="1172"/>
      <c r="O202" s="1172"/>
      <c r="P202" s="1172"/>
      <c r="Q202" s="1172"/>
      <c r="R202" s="1172"/>
      <c r="S202" s="1172"/>
      <c r="T202" s="1172"/>
      <c r="U202" s="1172"/>
      <c r="V202" s="1172"/>
      <c r="W202" s="1172"/>
      <c r="X202" s="1172"/>
      <c r="Y202" s="1172"/>
      <c r="Z202" s="1172"/>
    </row>
    <row r="203" spans="1:26" ht="36" customHeight="1">
      <c r="A203" s="1172"/>
      <c r="B203" s="1172"/>
      <c r="C203" s="1172"/>
      <c r="D203" s="1172"/>
      <c r="E203" s="1172"/>
      <c r="F203" s="1172"/>
      <c r="G203" s="1172"/>
      <c r="H203" s="1172"/>
      <c r="I203" s="1172"/>
      <c r="J203" s="1172"/>
      <c r="K203" s="1172"/>
      <c r="L203" s="1172"/>
      <c r="M203" s="1172"/>
      <c r="N203" s="1172"/>
      <c r="O203" s="1172"/>
      <c r="P203" s="1172"/>
      <c r="Q203" s="1172"/>
      <c r="R203" s="1172"/>
      <c r="S203" s="1172"/>
      <c r="T203" s="1172"/>
      <c r="U203" s="1172"/>
      <c r="V203" s="1172"/>
      <c r="W203" s="1172"/>
      <c r="X203" s="1172"/>
      <c r="Y203" s="1172"/>
      <c r="Z203" s="1172"/>
    </row>
    <row r="204" spans="1:26" ht="36" customHeight="1">
      <c r="A204" s="1172"/>
      <c r="B204" s="1172"/>
      <c r="C204" s="1172"/>
      <c r="D204" s="1172"/>
      <c r="E204" s="1172"/>
      <c r="F204" s="1172"/>
      <c r="G204" s="1172"/>
      <c r="H204" s="1172"/>
      <c r="I204" s="1172"/>
      <c r="J204" s="1172"/>
      <c r="K204" s="1172"/>
      <c r="L204" s="1172"/>
      <c r="M204" s="1172"/>
      <c r="N204" s="1172"/>
      <c r="O204" s="1172"/>
      <c r="P204" s="1172"/>
      <c r="Q204" s="1172"/>
      <c r="R204" s="1172"/>
      <c r="S204" s="1172"/>
      <c r="T204" s="1172"/>
      <c r="U204" s="1172"/>
      <c r="V204" s="1172"/>
      <c r="W204" s="1172"/>
      <c r="X204" s="1172"/>
      <c r="Y204" s="1172"/>
      <c r="Z204" s="1172"/>
    </row>
    <row r="205" spans="1:26" ht="36" customHeight="1">
      <c r="A205" s="1172"/>
      <c r="B205" s="1172"/>
      <c r="C205" s="1172"/>
      <c r="D205" s="1172"/>
      <c r="E205" s="1172"/>
      <c r="F205" s="1172"/>
      <c r="G205" s="1172"/>
      <c r="H205" s="1172"/>
      <c r="I205" s="1172"/>
      <c r="J205" s="1172"/>
      <c r="K205" s="1172"/>
      <c r="L205" s="1172"/>
      <c r="M205" s="1172"/>
      <c r="N205" s="1172"/>
      <c r="O205" s="1172"/>
      <c r="P205" s="1172"/>
      <c r="Q205" s="1172"/>
      <c r="R205" s="1172"/>
      <c r="S205" s="1172"/>
      <c r="T205" s="1172"/>
      <c r="U205" s="1172"/>
      <c r="V205" s="1172"/>
      <c r="W205" s="1172"/>
      <c r="X205" s="1172"/>
      <c r="Y205" s="1172"/>
      <c r="Z205" s="1172"/>
    </row>
    <row r="206" spans="1:26" ht="36" customHeight="1">
      <c r="A206" s="1172"/>
      <c r="B206" s="1172"/>
      <c r="C206" s="1172"/>
      <c r="D206" s="1172"/>
      <c r="E206" s="1172"/>
      <c r="F206" s="1172"/>
      <c r="G206" s="1172"/>
      <c r="H206" s="1172"/>
      <c r="I206" s="1172"/>
      <c r="J206" s="1172"/>
      <c r="K206" s="1172"/>
      <c r="L206" s="1172"/>
      <c r="M206" s="1172"/>
      <c r="N206" s="1172"/>
      <c r="O206" s="1172"/>
      <c r="P206" s="1172"/>
      <c r="Q206" s="1172"/>
      <c r="R206" s="1172"/>
      <c r="S206" s="1172"/>
      <c r="T206" s="1172"/>
      <c r="U206" s="1172"/>
      <c r="V206" s="1172"/>
      <c r="W206" s="1172"/>
      <c r="X206" s="1172"/>
      <c r="Y206" s="1172"/>
      <c r="Z206" s="1172"/>
    </row>
    <row r="207" spans="1:26" ht="36" customHeight="1">
      <c r="A207" s="1172"/>
      <c r="B207" s="1172"/>
      <c r="C207" s="1172"/>
      <c r="D207" s="1172"/>
      <c r="E207" s="1172"/>
      <c r="F207" s="1172"/>
      <c r="G207" s="1172"/>
      <c r="H207" s="1172"/>
      <c r="I207" s="1172"/>
      <c r="J207" s="1172"/>
      <c r="K207" s="1172"/>
      <c r="L207" s="1172"/>
      <c r="M207" s="1172"/>
      <c r="N207" s="1172"/>
      <c r="O207" s="1172"/>
      <c r="P207" s="1172"/>
      <c r="Q207" s="1172"/>
      <c r="R207" s="1172"/>
      <c r="S207" s="1172"/>
      <c r="T207" s="1172"/>
      <c r="U207" s="1172"/>
      <c r="V207" s="1172"/>
      <c r="W207" s="1172"/>
      <c r="X207" s="1172"/>
      <c r="Y207" s="1172"/>
      <c r="Z207" s="1172"/>
    </row>
    <row r="208" spans="1:26" ht="36" customHeight="1">
      <c r="A208" s="1172"/>
      <c r="B208" s="1172"/>
      <c r="C208" s="1172"/>
      <c r="D208" s="1172"/>
      <c r="E208" s="1172"/>
      <c r="F208" s="1172"/>
      <c r="G208" s="1172"/>
      <c r="H208" s="1172"/>
      <c r="I208" s="1172"/>
      <c r="J208" s="1172"/>
      <c r="K208" s="1172"/>
      <c r="L208" s="1172"/>
      <c r="M208" s="1172"/>
      <c r="N208" s="1172"/>
      <c r="O208" s="1172"/>
      <c r="P208" s="1172"/>
      <c r="Q208" s="1172"/>
      <c r="R208" s="1172"/>
      <c r="S208" s="1172"/>
      <c r="T208" s="1172"/>
      <c r="U208" s="1172"/>
      <c r="V208" s="1172"/>
      <c r="W208" s="1172"/>
      <c r="X208" s="1172"/>
      <c r="Y208" s="1172"/>
      <c r="Z208" s="1172"/>
    </row>
    <row r="209" spans="1:26" ht="36" customHeight="1">
      <c r="A209" s="1172"/>
      <c r="B209" s="1172"/>
      <c r="C209" s="1172"/>
      <c r="D209" s="1172"/>
      <c r="E209" s="1172"/>
      <c r="F209" s="1172"/>
      <c r="G209" s="1172"/>
      <c r="H209" s="1172"/>
      <c r="I209" s="1172"/>
      <c r="J209" s="1172"/>
      <c r="K209" s="1172"/>
      <c r="L209" s="1172"/>
      <c r="M209" s="1172"/>
      <c r="N209" s="1172"/>
      <c r="O209" s="1172"/>
      <c r="P209" s="1172"/>
      <c r="Q209" s="1172"/>
      <c r="R209" s="1172"/>
      <c r="S209" s="1172"/>
      <c r="T209" s="1172"/>
      <c r="U209" s="1172"/>
      <c r="V209" s="1172"/>
      <c r="W209" s="1172"/>
      <c r="X209" s="1172"/>
      <c r="Y209" s="1172"/>
      <c r="Z209" s="1172"/>
    </row>
    <row r="210" spans="1:26" ht="36" customHeight="1">
      <c r="A210" s="1172"/>
      <c r="B210" s="1172"/>
      <c r="C210" s="1172"/>
      <c r="D210" s="1172"/>
      <c r="E210" s="1172"/>
      <c r="F210" s="1172"/>
      <c r="G210" s="1172"/>
      <c r="H210" s="1172"/>
      <c r="I210" s="1172"/>
      <c r="J210" s="1172"/>
      <c r="K210" s="1172"/>
      <c r="L210" s="1172"/>
      <c r="M210" s="1172"/>
      <c r="N210" s="1172"/>
      <c r="O210" s="1172"/>
      <c r="P210" s="1172"/>
      <c r="Q210" s="1172"/>
      <c r="R210" s="1172"/>
      <c r="S210" s="1172"/>
      <c r="T210" s="1172"/>
      <c r="U210" s="1172"/>
      <c r="V210" s="1172"/>
      <c r="W210" s="1172"/>
      <c r="X210" s="1172"/>
      <c r="Y210" s="1172"/>
      <c r="Z210" s="1172"/>
    </row>
    <row r="211" spans="1:26" ht="36" customHeight="1">
      <c r="A211" s="1172"/>
      <c r="B211" s="1172"/>
      <c r="C211" s="1172"/>
      <c r="D211" s="1172"/>
      <c r="E211" s="1172"/>
      <c r="F211" s="1172"/>
      <c r="G211" s="1172"/>
      <c r="H211" s="1172"/>
      <c r="I211" s="1172"/>
      <c r="J211" s="1172"/>
      <c r="K211" s="1172"/>
      <c r="L211" s="1172"/>
      <c r="M211" s="1172"/>
      <c r="N211" s="1172"/>
      <c r="O211" s="1172"/>
      <c r="P211" s="1172"/>
      <c r="Q211" s="1172"/>
      <c r="R211" s="1172"/>
      <c r="S211" s="1172"/>
      <c r="T211" s="1172"/>
      <c r="U211" s="1172"/>
      <c r="V211" s="1172"/>
      <c r="W211" s="1172"/>
      <c r="X211" s="1172"/>
      <c r="Y211" s="1172"/>
      <c r="Z211" s="1172"/>
    </row>
    <row r="212" spans="1:26" ht="36" customHeight="1">
      <c r="A212" s="1172"/>
      <c r="B212" s="1172"/>
      <c r="C212" s="1172"/>
      <c r="D212" s="1172"/>
      <c r="E212" s="1172"/>
      <c r="F212" s="1172"/>
      <c r="G212" s="1172"/>
      <c r="H212" s="1172"/>
      <c r="I212" s="1172"/>
      <c r="J212" s="1172"/>
      <c r="K212" s="1172"/>
      <c r="L212" s="1172"/>
      <c r="M212" s="1172"/>
      <c r="N212" s="1172"/>
      <c r="O212" s="1172"/>
      <c r="P212" s="1172"/>
      <c r="Q212" s="1172"/>
      <c r="R212" s="1172"/>
      <c r="S212" s="1172"/>
      <c r="T212" s="1172"/>
      <c r="U212" s="1172"/>
      <c r="V212" s="1172"/>
      <c r="W212" s="1172"/>
      <c r="X212" s="1172"/>
      <c r="Y212" s="1172"/>
      <c r="Z212" s="1172"/>
    </row>
    <row r="213" spans="1:26" ht="36" customHeight="1">
      <c r="A213" s="1172"/>
      <c r="B213" s="1172"/>
      <c r="C213" s="1172"/>
      <c r="D213" s="1172"/>
      <c r="E213" s="1172"/>
      <c r="F213" s="1172"/>
      <c r="G213" s="1172"/>
      <c r="H213" s="1172"/>
      <c r="I213" s="1172"/>
      <c r="J213" s="1172"/>
      <c r="K213" s="1172"/>
      <c r="L213" s="1172"/>
      <c r="M213" s="1172"/>
      <c r="N213" s="1172"/>
      <c r="O213" s="1172"/>
      <c r="P213" s="1172"/>
      <c r="Q213" s="1172"/>
      <c r="R213" s="1172"/>
      <c r="S213" s="1172"/>
      <c r="T213" s="1172"/>
      <c r="U213" s="1172"/>
      <c r="V213" s="1172"/>
      <c r="W213" s="1172"/>
      <c r="X213" s="1172"/>
      <c r="Y213" s="1172"/>
      <c r="Z213" s="1172"/>
    </row>
    <row r="214" spans="1:26" ht="36" customHeight="1">
      <c r="A214" s="1172"/>
      <c r="B214" s="1172"/>
      <c r="C214" s="1172"/>
      <c r="D214" s="1172"/>
      <c r="E214" s="1172"/>
      <c r="F214" s="1172"/>
      <c r="G214" s="1172"/>
      <c r="H214" s="1172"/>
      <c r="I214" s="1172"/>
      <c r="J214" s="1172"/>
      <c r="K214" s="1172"/>
      <c r="L214" s="1172"/>
      <c r="M214" s="1172"/>
      <c r="N214" s="1172"/>
      <c r="O214" s="1172"/>
      <c r="P214" s="1172"/>
      <c r="Q214" s="1172"/>
      <c r="R214" s="1172"/>
      <c r="S214" s="1172"/>
      <c r="T214" s="1172"/>
      <c r="U214" s="1172"/>
      <c r="V214" s="1172"/>
      <c r="W214" s="1172"/>
      <c r="X214" s="1172"/>
      <c r="Y214" s="1172"/>
      <c r="Z214" s="1172"/>
    </row>
    <row r="215" spans="1:26" ht="36" customHeight="1">
      <c r="A215" s="1172"/>
      <c r="B215" s="1172"/>
      <c r="C215" s="1172"/>
      <c r="D215" s="1172"/>
      <c r="E215" s="1172"/>
      <c r="F215" s="1172"/>
      <c r="G215" s="1172"/>
      <c r="H215" s="1172"/>
      <c r="I215" s="1172"/>
      <c r="J215" s="1172"/>
      <c r="K215" s="1172"/>
      <c r="L215" s="1172"/>
      <c r="M215" s="1172"/>
      <c r="N215" s="1172"/>
      <c r="O215" s="1172"/>
      <c r="P215" s="1172"/>
      <c r="Q215" s="1172"/>
      <c r="R215" s="1172"/>
      <c r="S215" s="1172"/>
      <c r="T215" s="1172"/>
      <c r="U215" s="1172"/>
      <c r="V215" s="1172"/>
      <c r="W215" s="1172"/>
      <c r="X215" s="1172"/>
      <c r="Y215" s="1172"/>
      <c r="Z215" s="1172"/>
    </row>
    <row r="216" spans="1:26" ht="36" customHeight="1">
      <c r="A216" s="1172"/>
      <c r="B216" s="1172"/>
      <c r="C216" s="1172"/>
      <c r="D216" s="1172"/>
      <c r="E216" s="1172"/>
      <c r="F216" s="1172"/>
      <c r="G216" s="1172"/>
      <c r="H216" s="1172"/>
      <c r="I216" s="1172"/>
      <c r="J216" s="1172"/>
      <c r="K216" s="1172"/>
      <c r="L216" s="1172"/>
      <c r="M216" s="1172"/>
      <c r="N216" s="1172"/>
      <c r="O216" s="1172"/>
      <c r="P216" s="1172"/>
      <c r="Q216" s="1172"/>
      <c r="R216" s="1172"/>
      <c r="S216" s="1172"/>
      <c r="T216" s="1172"/>
      <c r="U216" s="1172"/>
      <c r="V216" s="1172"/>
      <c r="W216" s="1172"/>
      <c r="X216" s="1172"/>
      <c r="Y216" s="1172"/>
      <c r="Z216" s="1172"/>
    </row>
    <row r="217" spans="1:26" ht="36" customHeight="1">
      <c r="A217" s="1172"/>
      <c r="B217" s="1172"/>
      <c r="C217" s="1172"/>
      <c r="D217" s="1172"/>
      <c r="E217" s="1172"/>
      <c r="F217" s="1172"/>
      <c r="G217" s="1172"/>
      <c r="H217" s="1172"/>
      <c r="I217" s="1172"/>
      <c r="J217" s="1172"/>
      <c r="K217" s="1172"/>
      <c r="L217" s="1172"/>
      <c r="M217" s="1172"/>
      <c r="N217" s="1172"/>
      <c r="O217" s="1172"/>
      <c r="P217" s="1172"/>
      <c r="Q217" s="1172"/>
      <c r="R217" s="1172"/>
      <c r="S217" s="1172"/>
      <c r="T217" s="1172"/>
      <c r="U217" s="1172"/>
      <c r="V217" s="1172"/>
      <c r="W217" s="1172"/>
      <c r="X217" s="1172"/>
      <c r="Y217" s="1172"/>
      <c r="Z217" s="1172"/>
    </row>
    <row r="218" spans="1:26" ht="36" customHeight="1">
      <c r="A218" s="1172"/>
      <c r="B218" s="1172"/>
      <c r="C218" s="1172"/>
      <c r="D218" s="1172"/>
      <c r="E218" s="1172"/>
      <c r="F218" s="1172"/>
      <c r="G218" s="1172"/>
      <c r="H218" s="1172"/>
      <c r="I218" s="1172"/>
      <c r="J218" s="1172"/>
      <c r="K218" s="1172"/>
      <c r="L218" s="1172"/>
      <c r="M218" s="1172"/>
      <c r="N218" s="1172"/>
      <c r="O218" s="1172"/>
      <c r="P218" s="1172"/>
      <c r="Q218" s="1172"/>
      <c r="R218" s="1172"/>
      <c r="S218" s="1172"/>
      <c r="T218" s="1172"/>
      <c r="U218" s="1172"/>
      <c r="V218" s="1172"/>
      <c r="W218" s="1172"/>
      <c r="X218" s="1172"/>
      <c r="Y218" s="1172"/>
      <c r="Z218" s="1172"/>
    </row>
    <row r="219" spans="1:26" ht="36" customHeight="1">
      <c r="A219" s="1172"/>
      <c r="B219" s="1172"/>
      <c r="C219" s="1172"/>
      <c r="D219" s="1172"/>
      <c r="E219" s="1172"/>
      <c r="F219" s="1172"/>
      <c r="G219" s="1172"/>
      <c r="H219" s="1172"/>
      <c r="I219" s="1172"/>
      <c r="J219" s="1172"/>
      <c r="K219" s="1172"/>
      <c r="L219" s="1172"/>
      <c r="M219" s="1172"/>
      <c r="N219" s="1172"/>
      <c r="O219" s="1172"/>
      <c r="P219" s="1172"/>
      <c r="Q219" s="1172"/>
      <c r="R219" s="1172"/>
      <c r="S219" s="1172"/>
      <c r="T219" s="1172"/>
      <c r="U219" s="1172"/>
      <c r="V219" s="1172"/>
      <c r="W219" s="1172"/>
      <c r="X219" s="1172"/>
      <c r="Y219" s="1172"/>
      <c r="Z219" s="1172"/>
    </row>
    <row r="220" spans="1:26" ht="36" customHeight="1">
      <c r="A220" s="1172"/>
      <c r="B220" s="1172"/>
      <c r="C220" s="1172"/>
      <c r="D220" s="1172"/>
      <c r="E220" s="1172"/>
      <c r="F220" s="1172"/>
      <c r="G220" s="1172"/>
      <c r="H220" s="1172"/>
      <c r="I220" s="1172"/>
      <c r="J220" s="1172"/>
      <c r="K220" s="1172"/>
      <c r="L220" s="1172"/>
      <c r="M220" s="1172"/>
      <c r="N220" s="1172"/>
      <c r="O220" s="1172"/>
      <c r="P220" s="1172"/>
      <c r="Q220" s="1172"/>
      <c r="R220" s="1172"/>
      <c r="S220" s="1172"/>
      <c r="T220" s="1172"/>
      <c r="U220" s="1172"/>
      <c r="V220" s="1172"/>
      <c r="W220" s="1172"/>
      <c r="X220" s="1172"/>
      <c r="Y220" s="1172"/>
      <c r="Z220" s="1172"/>
    </row>
    <row r="221" spans="1:26" ht="36" customHeight="1">
      <c r="A221" s="1172"/>
      <c r="B221" s="1172"/>
      <c r="C221" s="1172"/>
      <c r="D221" s="1172"/>
      <c r="E221" s="1172"/>
      <c r="F221" s="1172"/>
      <c r="G221" s="1172"/>
      <c r="H221" s="1172"/>
      <c r="I221" s="1172"/>
      <c r="J221" s="1172"/>
      <c r="K221" s="1172"/>
      <c r="L221" s="1172"/>
      <c r="M221" s="1172"/>
      <c r="N221" s="1172"/>
      <c r="O221" s="1172"/>
      <c r="P221" s="1172"/>
      <c r="Q221" s="1172"/>
      <c r="R221" s="1172"/>
      <c r="S221" s="1172"/>
      <c r="T221" s="1172"/>
      <c r="U221" s="1172"/>
      <c r="V221" s="1172"/>
      <c r="W221" s="1172"/>
      <c r="X221" s="1172"/>
      <c r="Y221" s="1172"/>
      <c r="Z221" s="1172"/>
    </row>
    <row r="222" spans="1:26" ht="36" customHeight="1">
      <c r="A222" s="1172"/>
      <c r="B222" s="1172"/>
      <c r="C222" s="1172"/>
      <c r="D222" s="1172"/>
      <c r="E222" s="1172"/>
      <c r="F222" s="1172"/>
      <c r="G222" s="1172"/>
      <c r="H222" s="1172"/>
      <c r="I222" s="1172"/>
      <c r="J222" s="1172"/>
      <c r="K222" s="1172"/>
      <c r="L222" s="1172"/>
      <c r="M222" s="1172"/>
      <c r="N222" s="1172"/>
      <c r="O222" s="1172"/>
      <c r="P222" s="1172"/>
      <c r="Q222" s="1172"/>
      <c r="R222" s="1172"/>
      <c r="S222" s="1172"/>
      <c r="T222" s="1172"/>
      <c r="U222" s="1172"/>
      <c r="V222" s="1172"/>
      <c r="W222" s="1172"/>
      <c r="X222" s="1172"/>
      <c r="Y222" s="1172"/>
      <c r="Z222" s="1172"/>
    </row>
    <row r="223" spans="1:26" ht="36" customHeight="1">
      <c r="A223" s="1172"/>
      <c r="B223" s="1172"/>
      <c r="C223" s="1172"/>
      <c r="D223" s="1172"/>
      <c r="E223" s="1172"/>
      <c r="F223" s="1172"/>
      <c r="G223" s="1172"/>
      <c r="H223" s="1172"/>
      <c r="I223" s="1172"/>
      <c r="J223" s="1172"/>
      <c r="K223" s="1172"/>
      <c r="L223" s="1172"/>
      <c r="M223" s="1172"/>
      <c r="N223" s="1172"/>
      <c r="O223" s="1172"/>
      <c r="P223" s="1172"/>
      <c r="Q223" s="1172"/>
      <c r="R223" s="1172"/>
      <c r="S223" s="1172"/>
      <c r="T223" s="1172"/>
      <c r="U223" s="1172"/>
      <c r="V223" s="1172"/>
      <c r="W223" s="1172"/>
      <c r="X223" s="1172"/>
      <c r="Y223" s="1172"/>
      <c r="Z223" s="1172"/>
    </row>
    <row r="224" spans="1:26" ht="36" customHeight="1">
      <c r="A224" s="1172"/>
      <c r="B224" s="1172"/>
      <c r="C224" s="1172"/>
      <c r="D224" s="1172"/>
      <c r="E224" s="1172"/>
      <c r="F224" s="1172"/>
      <c r="G224" s="1172"/>
      <c r="H224" s="1172"/>
      <c r="I224" s="1172"/>
      <c r="J224" s="1172"/>
      <c r="K224" s="1172"/>
      <c r="L224" s="1172"/>
      <c r="M224" s="1172"/>
      <c r="N224" s="1172"/>
      <c r="O224" s="1172"/>
      <c r="P224" s="1172"/>
      <c r="Q224" s="1172"/>
      <c r="R224" s="1172"/>
      <c r="S224" s="1172"/>
      <c r="T224" s="1172"/>
      <c r="U224" s="1172"/>
      <c r="V224" s="1172"/>
      <c r="W224" s="1172"/>
      <c r="X224" s="1172"/>
      <c r="Y224" s="1172"/>
      <c r="Z224" s="1172"/>
    </row>
    <row r="225" spans="1:26" ht="36" customHeight="1">
      <c r="A225" s="1172"/>
      <c r="B225" s="1172"/>
      <c r="C225" s="1172"/>
      <c r="D225" s="1172"/>
      <c r="E225" s="1172"/>
      <c r="F225" s="1172"/>
      <c r="G225" s="1172"/>
      <c r="H225" s="1172"/>
      <c r="I225" s="1172"/>
      <c r="J225" s="1172"/>
      <c r="K225" s="1172"/>
      <c r="L225" s="1172"/>
      <c r="M225" s="1172"/>
      <c r="N225" s="1172"/>
      <c r="O225" s="1172"/>
      <c r="P225" s="1172"/>
      <c r="Q225" s="1172"/>
      <c r="R225" s="1172"/>
      <c r="S225" s="1172"/>
      <c r="T225" s="1172"/>
      <c r="U225" s="1172"/>
      <c r="V225" s="1172"/>
      <c r="W225" s="1172"/>
      <c r="X225" s="1172"/>
      <c r="Y225" s="1172"/>
      <c r="Z225" s="1172"/>
    </row>
    <row r="226" spans="1:26" ht="36" customHeight="1">
      <c r="A226" s="1172"/>
      <c r="B226" s="1172"/>
      <c r="C226" s="1172"/>
      <c r="D226" s="1172"/>
      <c r="E226" s="1172"/>
      <c r="F226" s="1172"/>
      <c r="G226" s="1172"/>
      <c r="H226" s="1172"/>
      <c r="I226" s="1172"/>
      <c r="J226" s="1172"/>
      <c r="K226" s="1172"/>
      <c r="L226" s="1172"/>
      <c r="M226" s="1172"/>
      <c r="N226" s="1172"/>
      <c r="O226" s="1172"/>
      <c r="P226" s="1172"/>
      <c r="Q226" s="1172"/>
      <c r="R226" s="1172"/>
      <c r="S226" s="1172"/>
      <c r="T226" s="1172"/>
      <c r="U226" s="1172"/>
      <c r="V226" s="1172"/>
      <c r="W226" s="1172"/>
      <c r="X226" s="1172"/>
      <c r="Y226" s="1172"/>
      <c r="Z226" s="1172"/>
    </row>
    <row r="227" spans="1:26" ht="36" customHeight="1">
      <c r="A227" s="1172"/>
      <c r="B227" s="1172"/>
      <c r="C227" s="1172"/>
      <c r="D227" s="1172"/>
      <c r="E227" s="1172"/>
      <c r="F227" s="1172"/>
      <c r="G227" s="1172"/>
      <c r="H227" s="1172"/>
      <c r="I227" s="1172"/>
      <c r="J227" s="1172"/>
      <c r="K227" s="1172"/>
      <c r="L227" s="1172"/>
      <c r="M227" s="1172"/>
      <c r="N227" s="1172"/>
      <c r="O227" s="1172"/>
      <c r="P227" s="1172"/>
      <c r="Q227" s="1172"/>
      <c r="R227" s="1172"/>
      <c r="S227" s="1172"/>
      <c r="T227" s="1172"/>
      <c r="U227" s="1172"/>
      <c r="V227" s="1172"/>
      <c r="W227" s="1172"/>
      <c r="X227" s="1172"/>
      <c r="Y227" s="1172"/>
      <c r="Z227" s="1172"/>
    </row>
    <row r="228" spans="1:26" ht="36" customHeight="1">
      <c r="A228" s="1172"/>
      <c r="B228" s="1172"/>
      <c r="C228" s="1172"/>
      <c r="D228" s="1172"/>
      <c r="E228" s="1172"/>
      <c r="F228" s="1172"/>
      <c r="G228" s="1172"/>
      <c r="H228" s="1172"/>
      <c r="I228" s="1172"/>
      <c r="J228" s="1172"/>
      <c r="K228" s="1172"/>
      <c r="L228" s="1172"/>
      <c r="M228" s="1172"/>
      <c r="N228" s="1172"/>
      <c r="O228" s="1172"/>
      <c r="P228" s="1172"/>
      <c r="Q228" s="1172"/>
      <c r="R228" s="1172"/>
      <c r="S228" s="1172"/>
      <c r="T228" s="1172"/>
      <c r="U228" s="1172"/>
      <c r="V228" s="1172"/>
      <c r="W228" s="1172"/>
      <c r="X228" s="1172"/>
      <c r="Y228" s="1172"/>
      <c r="Z228" s="1172"/>
    </row>
    <row r="229" spans="1:26" ht="36" customHeight="1">
      <c r="A229" s="1172"/>
      <c r="B229" s="1172"/>
      <c r="C229" s="1172"/>
      <c r="D229" s="1172"/>
      <c r="E229" s="1172"/>
      <c r="F229" s="1172"/>
      <c r="G229" s="1172"/>
      <c r="H229" s="1172"/>
      <c r="I229" s="1172"/>
      <c r="J229" s="1172"/>
      <c r="K229" s="1172"/>
      <c r="L229" s="1172"/>
      <c r="M229" s="1172"/>
      <c r="N229" s="1172"/>
      <c r="O229" s="1172"/>
      <c r="P229" s="1172"/>
      <c r="Q229" s="1172"/>
      <c r="R229" s="1172"/>
      <c r="S229" s="1172"/>
      <c r="T229" s="1172"/>
      <c r="U229" s="1172"/>
      <c r="V229" s="1172"/>
      <c r="W229" s="1172"/>
      <c r="X229" s="1172"/>
      <c r="Y229" s="1172"/>
      <c r="Z229" s="1172"/>
    </row>
    <row r="230" spans="1:26" ht="36" customHeight="1">
      <c r="A230" s="1172"/>
      <c r="B230" s="1172"/>
      <c r="C230" s="1172"/>
      <c r="D230" s="1172"/>
      <c r="E230" s="1172"/>
      <c r="F230" s="1172"/>
      <c r="G230" s="1172"/>
      <c r="H230" s="1172"/>
      <c r="I230" s="1172"/>
      <c r="J230" s="1172"/>
      <c r="K230" s="1172"/>
      <c r="L230" s="1172"/>
      <c r="M230" s="1172"/>
      <c r="N230" s="1172"/>
      <c r="O230" s="1172"/>
      <c r="P230" s="1172"/>
      <c r="Q230" s="1172"/>
      <c r="R230" s="1172"/>
      <c r="S230" s="1172"/>
      <c r="T230" s="1172"/>
      <c r="U230" s="1172"/>
      <c r="V230" s="1172"/>
      <c r="W230" s="1172"/>
      <c r="X230" s="1172"/>
      <c r="Y230" s="1172"/>
      <c r="Z230" s="1172"/>
    </row>
    <row r="231" spans="1:26" ht="36" customHeight="1">
      <c r="A231" s="1172"/>
      <c r="B231" s="1172"/>
      <c r="C231" s="1172"/>
      <c r="D231" s="1172"/>
      <c r="E231" s="1172"/>
      <c r="F231" s="1172"/>
      <c r="G231" s="1172"/>
      <c r="H231" s="1172"/>
      <c r="I231" s="1172"/>
      <c r="J231" s="1172"/>
      <c r="K231" s="1172"/>
      <c r="L231" s="1172"/>
      <c r="M231" s="1172"/>
      <c r="N231" s="1172"/>
      <c r="O231" s="1172"/>
      <c r="P231" s="1172"/>
      <c r="Q231" s="1172"/>
      <c r="R231" s="1172"/>
      <c r="S231" s="1172"/>
      <c r="T231" s="1172"/>
      <c r="U231" s="1172"/>
      <c r="V231" s="1172"/>
      <c r="W231" s="1172"/>
      <c r="X231" s="1172"/>
      <c r="Y231" s="1172"/>
      <c r="Z231" s="1172"/>
    </row>
    <row r="232" spans="1:26" ht="36" customHeight="1">
      <c r="A232" s="1172"/>
      <c r="B232" s="1172"/>
      <c r="C232" s="1172"/>
      <c r="D232" s="1172"/>
      <c r="E232" s="1172"/>
      <c r="F232" s="1172"/>
      <c r="G232" s="1172"/>
      <c r="H232" s="1172"/>
      <c r="I232" s="1172"/>
      <c r="J232" s="1172"/>
      <c r="K232" s="1172"/>
      <c r="L232" s="1172"/>
      <c r="M232" s="1172"/>
      <c r="N232" s="1172"/>
      <c r="O232" s="1172"/>
      <c r="P232" s="1172"/>
      <c r="Q232" s="1172"/>
      <c r="R232" s="1172"/>
      <c r="S232" s="1172"/>
      <c r="T232" s="1172"/>
      <c r="U232" s="1172"/>
      <c r="V232" s="1172"/>
      <c r="W232" s="1172"/>
      <c r="X232" s="1172"/>
      <c r="Y232" s="1172"/>
      <c r="Z232" s="1172"/>
    </row>
    <row r="233" spans="1:26" ht="36" customHeight="1">
      <c r="A233" s="1172"/>
      <c r="B233" s="1172"/>
      <c r="C233" s="1172"/>
      <c r="D233" s="1172"/>
      <c r="E233" s="1172"/>
      <c r="F233" s="1172"/>
      <c r="G233" s="1172"/>
      <c r="H233" s="1172"/>
      <c r="I233" s="1172"/>
      <c r="J233" s="1172"/>
      <c r="K233" s="1172"/>
      <c r="L233" s="1172"/>
      <c r="M233" s="1172"/>
      <c r="N233" s="1172"/>
      <c r="O233" s="1172"/>
      <c r="P233" s="1172"/>
      <c r="Q233" s="1172"/>
      <c r="R233" s="1172"/>
      <c r="S233" s="1172"/>
      <c r="T233" s="1172"/>
      <c r="U233" s="1172"/>
      <c r="V233" s="1172"/>
      <c r="W233" s="1172"/>
      <c r="X233" s="1172"/>
      <c r="Y233" s="1172"/>
      <c r="Z233" s="1172"/>
    </row>
    <row r="234" spans="1:26" ht="36" customHeight="1">
      <c r="A234" s="1172"/>
      <c r="B234" s="1172"/>
      <c r="C234" s="1172"/>
      <c r="D234" s="1172"/>
      <c r="E234" s="1172"/>
      <c r="F234" s="1172"/>
      <c r="G234" s="1172"/>
      <c r="H234" s="1172"/>
      <c r="I234" s="1172"/>
      <c r="J234" s="1172"/>
      <c r="K234" s="1172"/>
      <c r="L234" s="1172"/>
      <c r="M234" s="1172"/>
      <c r="N234" s="1172"/>
      <c r="O234" s="1172"/>
      <c r="P234" s="1172"/>
      <c r="Q234" s="1172"/>
      <c r="R234" s="1172"/>
      <c r="S234" s="1172"/>
      <c r="T234" s="1172"/>
      <c r="U234" s="1172"/>
      <c r="V234" s="1172"/>
      <c r="W234" s="1172"/>
      <c r="X234" s="1172"/>
      <c r="Y234" s="1172"/>
      <c r="Z234" s="1172"/>
    </row>
    <row r="235" spans="1:26" ht="36" customHeight="1">
      <c r="A235" s="1172"/>
      <c r="B235" s="1172"/>
      <c r="C235" s="1172"/>
      <c r="D235" s="1172"/>
      <c r="E235" s="1172"/>
      <c r="F235" s="1172"/>
      <c r="G235" s="1172"/>
      <c r="H235" s="1172"/>
      <c r="I235" s="1172"/>
      <c r="J235" s="1172"/>
      <c r="K235" s="1172"/>
      <c r="L235" s="1172"/>
      <c r="M235" s="1172"/>
      <c r="N235" s="1172"/>
      <c r="O235" s="1172"/>
      <c r="P235" s="1172"/>
      <c r="Q235" s="1172"/>
      <c r="R235" s="1172"/>
      <c r="S235" s="1172"/>
      <c r="T235" s="1172"/>
      <c r="U235" s="1172"/>
      <c r="V235" s="1172"/>
      <c r="W235" s="1172"/>
      <c r="X235" s="1172"/>
      <c r="Y235" s="1172"/>
      <c r="Z235" s="1172"/>
    </row>
    <row r="236" spans="1:26" ht="36" customHeight="1">
      <c r="A236" s="1172"/>
      <c r="B236" s="1172"/>
      <c r="C236" s="1172"/>
      <c r="D236" s="1172"/>
      <c r="E236" s="1172"/>
      <c r="F236" s="1172"/>
      <c r="G236" s="1172"/>
      <c r="H236" s="1172"/>
      <c r="I236" s="1172"/>
      <c r="J236" s="1172"/>
      <c r="K236" s="1172"/>
      <c r="L236" s="1172"/>
      <c r="M236" s="1172"/>
      <c r="N236" s="1172"/>
      <c r="O236" s="1172"/>
      <c r="P236" s="1172"/>
      <c r="Q236" s="1172"/>
      <c r="R236" s="1172"/>
      <c r="S236" s="1172"/>
      <c r="T236" s="1172"/>
      <c r="U236" s="1172"/>
      <c r="V236" s="1172"/>
      <c r="W236" s="1172"/>
      <c r="X236" s="1172"/>
      <c r="Y236" s="1172"/>
      <c r="Z236" s="1172"/>
    </row>
    <row r="237" spans="1:26" ht="36" customHeight="1">
      <c r="A237" s="1172"/>
      <c r="B237" s="1172"/>
      <c r="C237" s="1172"/>
      <c r="D237" s="1172"/>
      <c r="E237" s="1172"/>
      <c r="F237" s="1172"/>
      <c r="G237" s="1172"/>
      <c r="H237" s="1172"/>
      <c r="I237" s="1172"/>
      <c r="J237" s="1172"/>
      <c r="K237" s="1172"/>
      <c r="L237" s="1172"/>
      <c r="M237" s="1172"/>
      <c r="N237" s="1172"/>
      <c r="O237" s="1172"/>
      <c r="P237" s="1172"/>
      <c r="Q237" s="1172"/>
      <c r="R237" s="1172"/>
      <c r="S237" s="1172"/>
      <c r="T237" s="1172"/>
      <c r="U237" s="1172"/>
      <c r="V237" s="1172"/>
      <c r="W237" s="1172"/>
      <c r="X237" s="1172"/>
      <c r="Y237" s="1172"/>
      <c r="Z237" s="1172"/>
    </row>
    <row r="238" spans="1:26" ht="36" customHeight="1">
      <c r="A238" s="1172"/>
      <c r="B238" s="1172"/>
      <c r="C238" s="1172"/>
      <c r="D238" s="1172"/>
      <c r="E238" s="1172"/>
      <c r="F238" s="1172"/>
      <c r="G238" s="1172"/>
      <c r="H238" s="1172"/>
      <c r="I238" s="1172"/>
      <c r="J238" s="1172"/>
      <c r="K238" s="1172"/>
      <c r="L238" s="1172"/>
      <c r="M238" s="1172"/>
      <c r="N238" s="1172"/>
      <c r="O238" s="1172"/>
      <c r="P238" s="1172"/>
      <c r="Q238" s="1172"/>
      <c r="R238" s="1172"/>
      <c r="S238" s="1172"/>
      <c r="T238" s="1172"/>
      <c r="U238" s="1172"/>
      <c r="V238" s="1172"/>
      <c r="W238" s="1172"/>
      <c r="X238" s="1172"/>
      <c r="Y238" s="1172"/>
      <c r="Z238" s="1172"/>
    </row>
    <row r="239" spans="1:26" ht="36" customHeight="1">
      <c r="A239" s="1172"/>
      <c r="B239" s="1172"/>
      <c r="C239" s="1172"/>
      <c r="D239" s="1172"/>
      <c r="E239" s="1172"/>
      <c r="F239" s="1172"/>
      <c r="G239" s="1172"/>
      <c r="H239" s="1172"/>
      <c r="I239" s="1172"/>
      <c r="J239" s="1172"/>
      <c r="K239" s="1172"/>
      <c r="L239" s="1172"/>
      <c r="M239" s="1172"/>
      <c r="N239" s="1172"/>
      <c r="O239" s="1172"/>
      <c r="P239" s="1172"/>
      <c r="Q239" s="1172"/>
      <c r="R239" s="1172"/>
      <c r="S239" s="1172"/>
      <c r="T239" s="1172"/>
      <c r="U239" s="1172"/>
      <c r="V239" s="1172"/>
      <c r="W239" s="1172"/>
      <c r="X239" s="1172"/>
      <c r="Y239" s="1172"/>
      <c r="Z239" s="1172"/>
    </row>
    <row r="240" spans="1:26" ht="36" customHeight="1">
      <c r="A240" s="1172"/>
      <c r="B240" s="1172"/>
      <c r="C240" s="1172"/>
      <c r="D240" s="1172"/>
      <c r="E240" s="1172"/>
      <c r="F240" s="1172"/>
      <c r="G240" s="1172"/>
      <c r="H240" s="1172"/>
      <c r="I240" s="1172"/>
      <c r="J240" s="1172"/>
      <c r="K240" s="1172"/>
      <c r="L240" s="1172"/>
      <c r="M240" s="1172"/>
      <c r="N240" s="1172"/>
      <c r="O240" s="1172"/>
      <c r="P240" s="1172"/>
      <c r="Q240" s="1172"/>
      <c r="R240" s="1172"/>
      <c r="S240" s="1172"/>
      <c r="T240" s="1172"/>
      <c r="U240" s="1172"/>
      <c r="V240" s="1172"/>
      <c r="W240" s="1172"/>
      <c r="X240" s="1172"/>
      <c r="Y240" s="1172"/>
      <c r="Z240" s="1172"/>
    </row>
    <row r="241" spans="1:26" ht="36" customHeight="1">
      <c r="A241" s="1172"/>
      <c r="B241" s="1172"/>
      <c r="C241" s="1172"/>
      <c r="D241" s="1172"/>
      <c r="E241" s="1172"/>
      <c r="F241" s="1172"/>
      <c r="G241" s="1172"/>
      <c r="H241" s="1172"/>
      <c r="I241" s="1172"/>
      <c r="J241" s="1172"/>
      <c r="K241" s="1172"/>
      <c r="L241" s="1172"/>
      <c r="M241" s="1172"/>
      <c r="N241" s="1172"/>
      <c r="O241" s="1172"/>
      <c r="P241" s="1172"/>
      <c r="Q241" s="1172"/>
      <c r="R241" s="1172"/>
      <c r="S241" s="1172"/>
      <c r="T241" s="1172"/>
      <c r="U241" s="1172"/>
      <c r="V241" s="1172"/>
      <c r="W241" s="1172"/>
      <c r="X241" s="1172"/>
      <c r="Y241" s="1172"/>
      <c r="Z241" s="1172"/>
    </row>
    <row r="242" spans="1:26" ht="36" customHeight="1">
      <c r="A242" s="1172"/>
      <c r="B242" s="1172"/>
      <c r="C242" s="1172"/>
      <c r="D242" s="1172"/>
      <c r="E242" s="1172"/>
      <c r="F242" s="1172"/>
      <c r="G242" s="1172"/>
      <c r="H242" s="1172"/>
      <c r="I242" s="1172"/>
      <c r="J242" s="1172"/>
      <c r="K242" s="1172"/>
      <c r="L242" s="1172"/>
      <c r="M242" s="1172"/>
      <c r="N242" s="1172"/>
      <c r="O242" s="1172"/>
      <c r="P242" s="1172"/>
      <c r="Q242" s="1172"/>
      <c r="R242" s="1172"/>
      <c r="S242" s="1172"/>
      <c r="T242" s="1172"/>
      <c r="U242" s="1172"/>
      <c r="V242" s="1172"/>
      <c r="W242" s="1172"/>
      <c r="X242" s="1172"/>
      <c r="Y242" s="1172"/>
      <c r="Z242" s="1172"/>
    </row>
    <row r="243" spans="1:26" ht="36" customHeight="1">
      <c r="A243" s="1172"/>
      <c r="B243" s="1172"/>
      <c r="C243" s="1172"/>
      <c r="D243" s="1172"/>
      <c r="E243" s="1172"/>
      <c r="F243" s="1172"/>
      <c r="G243" s="1172"/>
      <c r="H243" s="1172"/>
      <c r="I243" s="1172"/>
      <c r="J243" s="1172"/>
      <c r="K243" s="1172"/>
      <c r="L243" s="1172"/>
      <c r="M243" s="1172"/>
      <c r="N243" s="1172"/>
      <c r="O243" s="1172"/>
      <c r="P243" s="1172"/>
      <c r="Q243" s="1172"/>
      <c r="R243" s="1172"/>
      <c r="S243" s="1172"/>
      <c r="T243" s="1172"/>
      <c r="U243" s="1172"/>
      <c r="V243" s="1172"/>
      <c r="W243" s="1172"/>
      <c r="X243" s="1172"/>
      <c r="Y243" s="1172"/>
      <c r="Z243" s="1172"/>
    </row>
    <row r="244" spans="1:26" ht="36" customHeight="1">
      <c r="A244" s="1172"/>
      <c r="B244" s="1172"/>
      <c r="C244" s="1172"/>
      <c r="D244" s="1172"/>
      <c r="E244" s="1172"/>
      <c r="F244" s="1172"/>
      <c r="G244" s="1172"/>
      <c r="H244" s="1172"/>
      <c r="I244" s="1172"/>
      <c r="J244" s="1172"/>
      <c r="K244" s="1172"/>
      <c r="L244" s="1172"/>
      <c r="M244" s="1172"/>
      <c r="N244" s="1172"/>
      <c r="O244" s="1172"/>
      <c r="P244" s="1172"/>
      <c r="Q244" s="1172"/>
      <c r="R244" s="1172"/>
      <c r="S244" s="1172"/>
      <c r="T244" s="1172"/>
      <c r="U244" s="1172"/>
      <c r="V244" s="1172"/>
      <c r="W244" s="1172"/>
      <c r="X244" s="1172"/>
      <c r="Y244" s="1172"/>
      <c r="Z244" s="1172"/>
    </row>
    <row r="245" spans="1:26" ht="36" customHeight="1">
      <c r="A245" s="1172"/>
      <c r="B245" s="1172"/>
      <c r="C245" s="1172"/>
      <c r="D245" s="1172"/>
      <c r="E245" s="1172"/>
      <c r="F245" s="1172"/>
      <c r="G245" s="1172"/>
      <c r="H245" s="1172"/>
      <c r="I245" s="1172"/>
      <c r="J245" s="1172"/>
      <c r="K245" s="1172"/>
      <c r="L245" s="1172"/>
      <c r="M245" s="1172"/>
      <c r="N245" s="1172"/>
      <c r="O245" s="1172"/>
      <c r="P245" s="1172"/>
      <c r="Q245" s="1172"/>
      <c r="R245" s="1172"/>
      <c r="S245" s="1172"/>
      <c r="T245" s="1172"/>
      <c r="U245" s="1172"/>
      <c r="V245" s="1172"/>
      <c r="W245" s="1172"/>
      <c r="X245" s="1172"/>
      <c r="Y245" s="1172"/>
      <c r="Z245" s="1172"/>
    </row>
    <row r="246" spans="1:26" ht="36" customHeight="1">
      <c r="A246" s="1172"/>
      <c r="B246" s="1172"/>
      <c r="C246" s="1172"/>
      <c r="D246" s="1172"/>
      <c r="E246" s="1172"/>
      <c r="F246" s="1172"/>
      <c r="G246" s="1172"/>
      <c r="H246" s="1172"/>
      <c r="I246" s="1172"/>
      <c r="J246" s="1172"/>
      <c r="K246" s="1172"/>
      <c r="L246" s="1172"/>
      <c r="M246" s="1172"/>
      <c r="N246" s="1172"/>
      <c r="O246" s="1172"/>
      <c r="P246" s="1172"/>
      <c r="Q246" s="1172"/>
      <c r="R246" s="1172"/>
      <c r="S246" s="1172"/>
      <c r="T246" s="1172"/>
      <c r="U246" s="1172"/>
      <c r="V246" s="1172"/>
      <c r="W246" s="1172"/>
      <c r="X246" s="1172"/>
      <c r="Y246" s="1172"/>
      <c r="Z246" s="1172"/>
    </row>
    <row r="247" spans="1:26" ht="36" customHeight="1">
      <c r="A247" s="1172"/>
      <c r="B247" s="1172"/>
      <c r="C247" s="1172"/>
      <c r="D247" s="1172"/>
      <c r="E247" s="1172"/>
      <c r="F247" s="1172"/>
      <c r="G247" s="1172"/>
      <c r="H247" s="1172"/>
      <c r="I247" s="1172"/>
      <c r="J247" s="1172"/>
      <c r="K247" s="1172"/>
      <c r="L247" s="1172"/>
      <c r="M247" s="1172"/>
      <c r="N247" s="1172"/>
      <c r="O247" s="1172"/>
      <c r="P247" s="1172"/>
      <c r="Q247" s="1172"/>
      <c r="R247" s="1172"/>
      <c r="S247" s="1172"/>
      <c r="T247" s="1172"/>
      <c r="U247" s="1172"/>
      <c r="V247" s="1172"/>
      <c r="W247" s="1172"/>
      <c r="X247" s="1172"/>
      <c r="Y247" s="1172"/>
      <c r="Z247" s="1172"/>
    </row>
    <row r="248" spans="1:26" ht="36" customHeight="1">
      <c r="A248" s="1172"/>
      <c r="B248" s="1172"/>
      <c r="C248" s="1172"/>
      <c r="D248" s="1172"/>
      <c r="E248" s="1172"/>
      <c r="F248" s="1172"/>
      <c r="G248" s="1172"/>
      <c r="H248" s="1172"/>
      <c r="I248" s="1172"/>
      <c r="J248" s="1172"/>
      <c r="K248" s="1172"/>
      <c r="L248" s="1172"/>
      <c r="M248" s="1172"/>
      <c r="N248" s="1172"/>
      <c r="O248" s="1172"/>
      <c r="P248" s="1172"/>
      <c r="Q248" s="1172"/>
      <c r="R248" s="1172"/>
      <c r="S248" s="1172"/>
      <c r="T248" s="1172"/>
      <c r="U248" s="1172"/>
      <c r="V248" s="1172"/>
      <c r="W248" s="1172"/>
      <c r="X248" s="1172"/>
      <c r="Y248" s="1172"/>
      <c r="Z248" s="1172"/>
    </row>
    <row r="249" spans="1:26" ht="36" customHeight="1">
      <c r="A249" s="1172"/>
      <c r="B249" s="1172"/>
      <c r="C249" s="1172"/>
      <c r="D249" s="1172"/>
      <c r="E249" s="1172"/>
      <c r="F249" s="1172"/>
      <c r="G249" s="1172"/>
      <c r="H249" s="1172"/>
      <c r="I249" s="1172"/>
      <c r="J249" s="1172"/>
      <c r="K249" s="1172"/>
      <c r="L249" s="1172"/>
      <c r="M249" s="1172"/>
      <c r="N249" s="1172"/>
      <c r="O249" s="1172"/>
      <c r="P249" s="1172"/>
      <c r="Q249" s="1172"/>
      <c r="R249" s="1172"/>
      <c r="S249" s="1172"/>
      <c r="T249" s="1172"/>
      <c r="U249" s="1172"/>
      <c r="V249" s="1172"/>
      <c r="W249" s="1172"/>
      <c r="X249" s="1172"/>
      <c r="Y249" s="1172"/>
      <c r="Z249" s="1172"/>
    </row>
    <row r="250" spans="1:26" ht="36" customHeight="1">
      <c r="A250" s="1172"/>
      <c r="B250" s="1172"/>
      <c r="C250" s="1172"/>
      <c r="D250" s="1172"/>
      <c r="E250" s="1172"/>
      <c r="F250" s="1172"/>
      <c r="G250" s="1172"/>
      <c r="H250" s="1172"/>
      <c r="I250" s="1172"/>
      <c r="J250" s="1172"/>
      <c r="K250" s="1172"/>
      <c r="L250" s="1172"/>
      <c r="M250" s="1172"/>
      <c r="N250" s="1172"/>
      <c r="O250" s="1172"/>
      <c r="P250" s="1172"/>
      <c r="Q250" s="1172"/>
      <c r="R250" s="1172"/>
      <c r="S250" s="1172"/>
      <c r="T250" s="1172"/>
      <c r="U250" s="1172"/>
      <c r="V250" s="1172"/>
      <c r="W250" s="1172"/>
      <c r="X250" s="1172"/>
      <c r="Y250" s="1172"/>
      <c r="Z250" s="1172"/>
    </row>
    <row r="251" spans="1:26" ht="36" customHeight="1">
      <c r="A251" s="1172"/>
      <c r="B251" s="1172"/>
      <c r="C251" s="1172"/>
      <c r="D251" s="1172"/>
      <c r="E251" s="1172"/>
      <c r="F251" s="1172"/>
      <c r="G251" s="1172"/>
      <c r="H251" s="1172"/>
      <c r="I251" s="1172"/>
      <c r="J251" s="1172"/>
      <c r="K251" s="1172"/>
      <c r="L251" s="1172"/>
      <c r="M251" s="1172"/>
      <c r="N251" s="1172"/>
      <c r="O251" s="1172"/>
      <c r="P251" s="1172"/>
      <c r="Q251" s="1172"/>
      <c r="R251" s="1172"/>
      <c r="S251" s="1172"/>
      <c r="T251" s="1172"/>
      <c r="U251" s="1172"/>
      <c r="V251" s="1172"/>
      <c r="W251" s="1172"/>
      <c r="X251" s="1172"/>
      <c r="Y251" s="1172"/>
      <c r="Z251" s="1172"/>
    </row>
    <row r="252" spans="1:26" ht="36" customHeight="1">
      <c r="A252" s="1172"/>
      <c r="B252" s="1172"/>
      <c r="C252" s="1172"/>
      <c r="D252" s="1172"/>
      <c r="E252" s="1172"/>
      <c r="F252" s="1172"/>
      <c r="G252" s="1172"/>
      <c r="H252" s="1172"/>
      <c r="I252" s="1172"/>
      <c r="J252" s="1172"/>
      <c r="K252" s="1172"/>
      <c r="L252" s="1172"/>
      <c r="M252" s="1172"/>
      <c r="N252" s="1172"/>
      <c r="O252" s="1172"/>
      <c r="P252" s="1172"/>
      <c r="Q252" s="1172"/>
      <c r="R252" s="1172"/>
      <c r="S252" s="1172"/>
      <c r="T252" s="1172"/>
      <c r="U252" s="1172"/>
      <c r="V252" s="1172"/>
      <c r="W252" s="1172"/>
      <c r="X252" s="1172"/>
      <c r="Y252" s="1172"/>
      <c r="Z252" s="1172"/>
    </row>
    <row r="253" spans="1:26" ht="36" customHeight="1">
      <c r="A253" s="1172"/>
      <c r="B253" s="1172"/>
      <c r="C253" s="1172"/>
      <c r="D253" s="1172"/>
      <c r="E253" s="1172"/>
      <c r="F253" s="1172"/>
      <c r="G253" s="1172"/>
      <c r="H253" s="1172"/>
      <c r="I253" s="1172"/>
      <c r="J253" s="1172"/>
      <c r="K253" s="1172"/>
      <c r="L253" s="1172"/>
      <c r="M253" s="1172"/>
      <c r="N253" s="1172"/>
      <c r="O253" s="1172"/>
      <c r="P253" s="1172"/>
      <c r="Q253" s="1172"/>
      <c r="R253" s="1172"/>
      <c r="S253" s="1172"/>
      <c r="T253" s="1172"/>
      <c r="U253" s="1172"/>
      <c r="V253" s="1172"/>
      <c r="W253" s="1172"/>
      <c r="X253" s="1172"/>
      <c r="Y253" s="1172"/>
      <c r="Z253" s="1172"/>
    </row>
    <row r="254" spans="1:26" ht="36" customHeight="1">
      <c r="A254" s="1172"/>
      <c r="B254" s="1172"/>
      <c r="C254" s="1172"/>
      <c r="D254" s="1172"/>
      <c r="E254" s="1172"/>
      <c r="F254" s="1172"/>
      <c r="G254" s="1172"/>
      <c r="H254" s="1172"/>
      <c r="I254" s="1172"/>
      <c r="J254" s="1172"/>
      <c r="K254" s="1172"/>
      <c r="L254" s="1172"/>
      <c r="M254" s="1172"/>
      <c r="N254" s="1172"/>
      <c r="O254" s="1172"/>
      <c r="P254" s="1172"/>
      <c r="Q254" s="1172"/>
      <c r="R254" s="1172"/>
      <c r="S254" s="1172"/>
      <c r="T254" s="1172"/>
      <c r="U254" s="1172"/>
      <c r="V254" s="1172"/>
      <c r="W254" s="1172"/>
      <c r="X254" s="1172"/>
      <c r="Y254" s="1172"/>
      <c r="Z254" s="1172"/>
    </row>
    <row r="255" spans="1:26" ht="36" customHeight="1">
      <c r="A255" s="1172"/>
      <c r="B255" s="1172"/>
      <c r="C255" s="1172"/>
      <c r="D255" s="1172"/>
      <c r="E255" s="1172"/>
      <c r="F255" s="1172"/>
      <c r="G255" s="1172"/>
      <c r="H255" s="1172"/>
      <c r="I255" s="1172"/>
      <c r="J255" s="1172"/>
      <c r="K255" s="1172"/>
      <c r="L255" s="1172"/>
      <c r="M255" s="1172"/>
      <c r="N255" s="1172"/>
      <c r="O255" s="1172"/>
      <c r="P255" s="1172"/>
      <c r="Q255" s="1172"/>
      <c r="R255" s="1172"/>
      <c r="S255" s="1172"/>
      <c r="T255" s="1172"/>
      <c r="U255" s="1172"/>
      <c r="V255" s="1172"/>
      <c r="W255" s="1172"/>
      <c r="X255" s="1172"/>
      <c r="Y255" s="1172"/>
      <c r="Z255" s="1172"/>
    </row>
    <row r="256" spans="1:26" ht="36" customHeight="1">
      <c r="A256" s="1172"/>
      <c r="B256" s="1172"/>
      <c r="C256" s="1172"/>
      <c r="D256" s="1172"/>
      <c r="E256" s="1172"/>
      <c r="F256" s="1172"/>
      <c r="G256" s="1172"/>
      <c r="H256" s="1172"/>
      <c r="I256" s="1172"/>
      <c r="J256" s="1172"/>
      <c r="K256" s="1172"/>
      <c r="L256" s="1172"/>
      <c r="M256" s="1172"/>
      <c r="N256" s="1172"/>
      <c r="O256" s="1172"/>
      <c r="P256" s="1172"/>
      <c r="Q256" s="1172"/>
      <c r="R256" s="1172"/>
      <c r="S256" s="1172"/>
      <c r="T256" s="1172"/>
      <c r="U256" s="1172"/>
      <c r="V256" s="1172"/>
      <c r="W256" s="1172"/>
      <c r="X256" s="1172"/>
      <c r="Y256" s="1172"/>
      <c r="Z256" s="1172"/>
    </row>
    <row r="257" spans="1:26" ht="36" customHeight="1">
      <c r="A257" s="1172"/>
      <c r="B257" s="1172"/>
      <c r="C257" s="1172"/>
      <c r="D257" s="1172"/>
      <c r="E257" s="1172"/>
      <c r="F257" s="1172"/>
      <c r="G257" s="1172"/>
      <c r="H257" s="1172"/>
      <c r="I257" s="1172"/>
      <c r="J257" s="1172"/>
      <c r="K257" s="1172"/>
      <c r="L257" s="1172"/>
      <c r="M257" s="1172"/>
      <c r="N257" s="1172"/>
      <c r="O257" s="1172"/>
      <c r="P257" s="1172"/>
      <c r="Q257" s="1172"/>
      <c r="R257" s="1172"/>
      <c r="S257" s="1172"/>
      <c r="T257" s="1172"/>
      <c r="U257" s="1172"/>
      <c r="V257" s="1172"/>
      <c r="W257" s="1172"/>
      <c r="X257" s="1172"/>
      <c r="Y257" s="1172"/>
      <c r="Z257" s="1172"/>
    </row>
    <row r="258" spans="1:26" ht="36" customHeight="1">
      <c r="A258" s="1172"/>
      <c r="B258" s="1172"/>
      <c r="C258" s="1172"/>
      <c r="D258" s="1172"/>
      <c r="E258" s="1172"/>
      <c r="F258" s="1172"/>
      <c r="G258" s="1172"/>
      <c r="H258" s="1172"/>
      <c r="I258" s="1172"/>
      <c r="J258" s="1172"/>
      <c r="K258" s="1172"/>
      <c r="L258" s="1172"/>
      <c r="M258" s="1172"/>
      <c r="N258" s="1172"/>
      <c r="O258" s="1172"/>
      <c r="P258" s="1172"/>
      <c r="Q258" s="1172"/>
      <c r="R258" s="1172"/>
      <c r="S258" s="1172"/>
      <c r="T258" s="1172"/>
      <c r="U258" s="1172"/>
      <c r="V258" s="1172"/>
      <c r="W258" s="1172"/>
      <c r="X258" s="1172"/>
      <c r="Y258" s="1172"/>
      <c r="Z258" s="1172"/>
    </row>
    <row r="259" spans="1:26" ht="36" customHeight="1">
      <c r="A259" s="1172"/>
      <c r="B259" s="1172"/>
      <c r="C259" s="1172"/>
      <c r="D259" s="1172"/>
      <c r="E259" s="1172"/>
      <c r="F259" s="1172"/>
      <c r="G259" s="1172"/>
      <c r="H259" s="1172"/>
      <c r="I259" s="1172"/>
      <c r="J259" s="1172"/>
      <c r="K259" s="1172"/>
      <c r="L259" s="1172"/>
      <c r="M259" s="1172"/>
      <c r="N259" s="1172"/>
      <c r="O259" s="1172"/>
      <c r="P259" s="1172"/>
      <c r="Q259" s="1172"/>
      <c r="R259" s="1172"/>
      <c r="S259" s="1172"/>
      <c r="T259" s="1172"/>
      <c r="U259" s="1172"/>
      <c r="V259" s="1172"/>
      <c r="W259" s="1172"/>
      <c r="X259" s="1172"/>
      <c r="Y259" s="1172"/>
      <c r="Z259" s="1172"/>
    </row>
    <row r="260" spans="1:26" ht="36" customHeight="1">
      <c r="A260" s="1172"/>
      <c r="B260" s="1172"/>
      <c r="C260" s="1172"/>
      <c r="D260" s="1172"/>
      <c r="E260" s="1172"/>
      <c r="F260" s="1172"/>
      <c r="G260" s="1172"/>
      <c r="H260" s="1172"/>
      <c r="I260" s="1172"/>
      <c r="J260" s="1172"/>
      <c r="K260" s="1172"/>
      <c r="L260" s="1172"/>
      <c r="M260" s="1172"/>
      <c r="N260" s="1172"/>
      <c r="O260" s="1172"/>
      <c r="P260" s="1172"/>
      <c r="Q260" s="1172"/>
      <c r="R260" s="1172"/>
      <c r="S260" s="1172"/>
      <c r="T260" s="1172"/>
      <c r="U260" s="1172"/>
      <c r="V260" s="1172"/>
      <c r="W260" s="1172"/>
      <c r="X260" s="1172"/>
      <c r="Y260" s="1172"/>
      <c r="Z260" s="1172"/>
    </row>
    <row r="261" spans="1:26" ht="36" customHeight="1">
      <c r="A261" s="1172"/>
      <c r="B261" s="1172"/>
      <c r="C261" s="1172"/>
      <c r="D261" s="1172"/>
      <c r="E261" s="1172"/>
      <c r="F261" s="1172"/>
      <c r="G261" s="1172"/>
      <c r="H261" s="1172"/>
      <c r="I261" s="1172"/>
      <c r="J261" s="1172"/>
      <c r="K261" s="1172"/>
      <c r="L261" s="1172"/>
      <c r="M261" s="1172"/>
      <c r="N261" s="1172"/>
      <c r="O261" s="1172"/>
      <c r="P261" s="1172"/>
      <c r="Q261" s="1172"/>
      <c r="R261" s="1172"/>
      <c r="S261" s="1172"/>
      <c r="T261" s="1172"/>
      <c r="U261" s="1172"/>
      <c r="V261" s="1172"/>
      <c r="W261" s="1172"/>
      <c r="X261" s="1172"/>
      <c r="Y261" s="1172"/>
      <c r="Z261" s="1172"/>
    </row>
    <row r="262" spans="1:26" ht="36" customHeight="1">
      <c r="A262" s="1172"/>
      <c r="B262" s="1172"/>
      <c r="C262" s="1172"/>
      <c r="D262" s="1172"/>
      <c r="E262" s="1172"/>
      <c r="F262" s="1172"/>
      <c r="G262" s="1172"/>
      <c r="H262" s="1172"/>
      <c r="I262" s="1172"/>
      <c r="J262" s="1172"/>
      <c r="K262" s="1172"/>
      <c r="L262" s="1172"/>
      <c r="M262" s="1172"/>
      <c r="N262" s="1172"/>
      <c r="O262" s="1172"/>
      <c r="P262" s="1172"/>
      <c r="Q262" s="1172"/>
      <c r="R262" s="1172"/>
      <c r="S262" s="1172"/>
      <c r="T262" s="1172"/>
      <c r="U262" s="1172"/>
      <c r="V262" s="1172"/>
      <c r="W262" s="1172"/>
      <c r="X262" s="1172"/>
      <c r="Y262" s="1172"/>
      <c r="Z262" s="1172"/>
    </row>
    <row r="263" spans="1:26" ht="36" customHeight="1">
      <c r="A263" s="1172"/>
      <c r="B263" s="1172"/>
      <c r="C263" s="1172"/>
      <c r="D263" s="1172"/>
      <c r="E263" s="1172"/>
      <c r="F263" s="1172"/>
      <c r="G263" s="1172"/>
      <c r="H263" s="1172"/>
      <c r="I263" s="1172"/>
      <c r="J263" s="1172"/>
      <c r="K263" s="1172"/>
      <c r="L263" s="1172"/>
      <c r="M263" s="1172"/>
      <c r="N263" s="1172"/>
      <c r="O263" s="1172"/>
      <c r="P263" s="1172"/>
      <c r="Q263" s="1172"/>
      <c r="R263" s="1172"/>
      <c r="S263" s="1172"/>
      <c r="T263" s="1172"/>
      <c r="U263" s="1172"/>
      <c r="V263" s="1172"/>
      <c r="W263" s="1172"/>
      <c r="X263" s="1172"/>
      <c r="Y263" s="1172"/>
      <c r="Z263" s="1172"/>
    </row>
    <row r="264" spans="1:26" ht="36" customHeight="1">
      <c r="A264" s="1172"/>
      <c r="B264" s="1172"/>
      <c r="C264" s="1172"/>
      <c r="D264" s="1172"/>
      <c r="E264" s="1172"/>
      <c r="F264" s="1172"/>
      <c r="G264" s="1172"/>
      <c r="H264" s="1172"/>
      <c r="I264" s="1172"/>
      <c r="J264" s="1172"/>
      <c r="K264" s="1172"/>
      <c r="L264" s="1172"/>
      <c r="M264" s="1172"/>
      <c r="N264" s="1172"/>
      <c r="O264" s="1172"/>
      <c r="P264" s="1172"/>
      <c r="Q264" s="1172"/>
      <c r="R264" s="1172"/>
      <c r="S264" s="1172"/>
      <c r="T264" s="1172"/>
      <c r="U264" s="1172"/>
      <c r="V264" s="1172"/>
      <c r="W264" s="1172"/>
      <c r="X264" s="1172"/>
      <c r="Y264" s="1172"/>
      <c r="Z264" s="1172"/>
    </row>
    <row r="265" spans="1:26" ht="36" customHeight="1">
      <c r="A265" s="1172"/>
      <c r="B265" s="1172"/>
      <c r="C265" s="1172"/>
      <c r="D265" s="1172"/>
      <c r="E265" s="1172"/>
      <c r="F265" s="1172"/>
      <c r="G265" s="1172"/>
      <c r="H265" s="1172"/>
      <c r="I265" s="1172"/>
      <c r="J265" s="1172"/>
      <c r="K265" s="1172"/>
      <c r="L265" s="1172"/>
      <c r="M265" s="1172"/>
      <c r="N265" s="1172"/>
      <c r="O265" s="1172"/>
      <c r="P265" s="1172"/>
      <c r="Q265" s="1172"/>
      <c r="R265" s="1172"/>
      <c r="S265" s="1172"/>
      <c r="T265" s="1172"/>
      <c r="U265" s="1172"/>
      <c r="V265" s="1172"/>
      <c r="W265" s="1172"/>
      <c r="X265" s="1172"/>
      <c r="Y265" s="1172"/>
      <c r="Z265" s="1172"/>
    </row>
    <row r="266" spans="1:26" ht="36" customHeight="1">
      <c r="A266" s="1172"/>
      <c r="B266" s="1172"/>
      <c r="C266" s="1172"/>
      <c r="D266" s="1172"/>
      <c r="E266" s="1172"/>
      <c r="F266" s="1172"/>
      <c r="G266" s="1172"/>
      <c r="H266" s="1172"/>
      <c r="I266" s="1172"/>
      <c r="J266" s="1172"/>
      <c r="K266" s="1172"/>
      <c r="L266" s="1172"/>
      <c r="M266" s="1172"/>
      <c r="N266" s="1172"/>
      <c r="O266" s="1172"/>
      <c r="P266" s="1172"/>
      <c r="Q266" s="1172"/>
      <c r="R266" s="1172"/>
      <c r="S266" s="1172"/>
      <c r="T266" s="1172"/>
      <c r="U266" s="1172"/>
      <c r="V266" s="1172"/>
      <c r="W266" s="1172"/>
      <c r="X266" s="1172"/>
      <c r="Y266" s="1172"/>
      <c r="Z266" s="1172"/>
    </row>
    <row r="267" spans="1:26" ht="36" customHeight="1">
      <c r="A267" s="1172"/>
      <c r="B267" s="1172"/>
      <c r="C267" s="1172"/>
      <c r="D267" s="1172"/>
      <c r="E267" s="1172"/>
      <c r="F267" s="1172"/>
      <c r="G267" s="1172"/>
      <c r="H267" s="1172"/>
      <c r="I267" s="1172"/>
      <c r="J267" s="1172"/>
      <c r="K267" s="1172"/>
      <c r="L267" s="1172"/>
      <c r="M267" s="1172"/>
      <c r="N267" s="1172"/>
      <c r="O267" s="1172"/>
      <c r="P267" s="1172"/>
      <c r="Q267" s="1172"/>
      <c r="R267" s="1172"/>
      <c r="S267" s="1172"/>
      <c r="T267" s="1172"/>
      <c r="U267" s="1172"/>
      <c r="V267" s="1172"/>
      <c r="W267" s="1172"/>
      <c r="X267" s="1172"/>
      <c r="Y267" s="1172"/>
      <c r="Z267" s="1172"/>
    </row>
    <row r="268" spans="1:26" ht="36" customHeight="1">
      <c r="A268" s="1172"/>
      <c r="B268" s="1172"/>
      <c r="C268" s="1172"/>
      <c r="D268" s="1172"/>
      <c r="E268" s="1172"/>
      <c r="F268" s="1172"/>
      <c r="G268" s="1172"/>
      <c r="H268" s="1172"/>
      <c r="I268" s="1172"/>
      <c r="J268" s="1172"/>
      <c r="K268" s="1172"/>
      <c r="L268" s="1172"/>
      <c r="M268" s="1172"/>
      <c r="N268" s="1172"/>
      <c r="O268" s="1172"/>
      <c r="P268" s="1172"/>
      <c r="Q268" s="1172"/>
      <c r="R268" s="1172"/>
      <c r="S268" s="1172"/>
      <c r="T268" s="1172"/>
      <c r="U268" s="1172"/>
      <c r="V268" s="1172"/>
      <c r="W268" s="1172"/>
      <c r="X268" s="1172"/>
      <c r="Y268" s="1172"/>
      <c r="Z268" s="1172"/>
    </row>
    <row r="269" spans="1:26" ht="36" customHeight="1">
      <c r="A269" s="1172"/>
      <c r="B269" s="1172"/>
      <c r="C269" s="1172"/>
      <c r="D269" s="1172"/>
      <c r="E269" s="1172"/>
      <c r="F269" s="1172"/>
      <c r="G269" s="1172"/>
      <c r="H269" s="1172"/>
      <c r="I269" s="1172"/>
      <c r="J269" s="1172"/>
      <c r="K269" s="1172"/>
      <c r="L269" s="1172"/>
      <c r="M269" s="1172"/>
      <c r="N269" s="1172"/>
      <c r="O269" s="1172"/>
      <c r="P269" s="1172"/>
      <c r="Q269" s="1172"/>
      <c r="R269" s="1172"/>
      <c r="S269" s="1172"/>
      <c r="T269" s="1172"/>
      <c r="U269" s="1172"/>
      <c r="V269" s="1172"/>
      <c r="W269" s="1172"/>
      <c r="X269" s="1172"/>
      <c r="Y269" s="1172"/>
      <c r="Z269" s="1172"/>
    </row>
    <row r="270" spans="1:26" ht="36" customHeight="1">
      <c r="A270" s="1172"/>
      <c r="B270" s="1172"/>
      <c r="C270" s="1172"/>
      <c r="D270" s="1172"/>
      <c r="E270" s="1172"/>
      <c r="F270" s="1172"/>
      <c r="G270" s="1172"/>
      <c r="H270" s="1172"/>
      <c r="I270" s="1172"/>
      <c r="J270" s="1172"/>
      <c r="K270" s="1172"/>
      <c r="L270" s="1172"/>
      <c r="M270" s="1172"/>
      <c r="N270" s="1172"/>
      <c r="O270" s="1172"/>
      <c r="P270" s="1172"/>
      <c r="Q270" s="1172"/>
      <c r="R270" s="1172"/>
      <c r="S270" s="1172"/>
      <c r="T270" s="1172"/>
      <c r="U270" s="1172"/>
      <c r="V270" s="1172"/>
      <c r="W270" s="1172"/>
      <c r="X270" s="1172"/>
      <c r="Y270" s="1172"/>
      <c r="Z270" s="1172"/>
    </row>
    <row r="271" spans="1:26" ht="36" customHeight="1">
      <c r="A271" s="1172"/>
      <c r="B271" s="1172"/>
      <c r="C271" s="1172"/>
      <c r="D271" s="1172"/>
      <c r="E271" s="1172"/>
      <c r="F271" s="1172"/>
      <c r="G271" s="1172"/>
      <c r="H271" s="1172"/>
      <c r="I271" s="1172"/>
      <c r="J271" s="1172"/>
      <c r="K271" s="1172"/>
      <c r="L271" s="1172"/>
      <c r="M271" s="1172"/>
      <c r="N271" s="1172"/>
      <c r="O271" s="1172"/>
      <c r="P271" s="1172"/>
      <c r="Q271" s="1172"/>
      <c r="R271" s="1172"/>
      <c r="S271" s="1172"/>
      <c r="T271" s="1172"/>
      <c r="U271" s="1172"/>
      <c r="V271" s="1172"/>
      <c r="W271" s="1172"/>
      <c r="X271" s="1172"/>
      <c r="Y271" s="1172"/>
      <c r="Z271" s="1172"/>
    </row>
    <row r="272" spans="1:26" ht="36" customHeight="1">
      <c r="A272" s="1172"/>
      <c r="B272" s="1172"/>
      <c r="C272" s="1172"/>
      <c r="D272" s="1172"/>
      <c r="E272" s="1172"/>
      <c r="F272" s="1172"/>
      <c r="G272" s="1172"/>
      <c r="H272" s="1172"/>
      <c r="I272" s="1172"/>
      <c r="J272" s="1172"/>
      <c r="K272" s="1172"/>
      <c r="L272" s="1172"/>
      <c r="M272" s="1172"/>
      <c r="N272" s="1172"/>
      <c r="O272" s="1172"/>
      <c r="P272" s="1172"/>
      <c r="Q272" s="1172"/>
      <c r="R272" s="1172"/>
      <c r="S272" s="1172"/>
      <c r="T272" s="1172"/>
      <c r="U272" s="1172"/>
      <c r="V272" s="1172"/>
      <c r="W272" s="1172"/>
      <c r="X272" s="1172"/>
      <c r="Y272" s="1172"/>
      <c r="Z272" s="1172"/>
    </row>
    <row r="273" spans="1:26" ht="36" customHeight="1">
      <c r="A273" s="1172"/>
      <c r="B273" s="1172"/>
      <c r="C273" s="1172"/>
      <c r="D273" s="1172"/>
      <c r="E273" s="1172"/>
      <c r="F273" s="1172"/>
      <c r="G273" s="1172"/>
      <c r="H273" s="1172"/>
      <c r="I273" s="1172"/>
      <c r="J273" s="1172"/>
      <c r="K273" s="1172"/>
      <c r="L273" s="1172"/>
      <c r="M273" s="1172"/>
      <c r="N273" s="1172"/>
      <c r="O273" s="1172"/>
      <c r="P273" s="1172"/>
      <c r="Q273" s="1172"/>
      <c r="R273" s="1172"/>
      <c r="S273" s="1172"/>
      <c r="T273" s="1172"/>
      <c r="U273" s="1172"/>
      <c r="V273" s="1172"/>
      <c r="W273" s="1172"/>
      <c r="X273" s="1172"/>
      <c r="Y273" s="1172"/>
      <c r="Z273" s="1172"/>
    </row>
    <row r="274" spans="1:26" ht="36" customHeight="1">
      <c r="A274" s="1172"/>
      <c r="B274" s="1172"/>
      <c r="C274" s="1172"/>
      <c r="D274" s="1172"/>
      <c r="E274" s="1172"/>
      <c r="F274" s="1172"/>
      <c r="G274" s="1172"/>
      <c r="H274" s="1172"/>
      <c r="I274" s="1172"/>
      <c r="J274" s="1172"/>
      <c r="K274" s="1172"/>
      <c r="L274" s="1172"/>
      <c r="M274" s="1172"/>
      <c r="N274" s="1172"/>
      <c r="O274" s="1172"/>
      <c r="P274" s="1172"/>
      <c r="Q274" s="1172"/>
      <c r="R274" s="1172"/>
      <c r="S274" s="1172"/>
      <c r="T274" s="1172"/>
      <c r="U274" s="1172"/>
      <c r="V274" s="1172"/>
      <c r="W274" s="1172"/>
      <c r="X274" s="1172"/>
      <c r="Y274" s="1172"/>
      <c r="Z274" s="1172"/>
    </row>
    <row r="275" spans="1:26" ht="36" customHeight="1">
      <c r="A275" s="1172"/>
      <c r="B275" s="1172"/>
      <c r="C275" s="1172"/>
      <c r="D275" s="1172"/>
      <c r="E275" s="1172"/>
      <c r="F275" s="1172"/>
      <c r="G275" s="1172"/>
      <c r="H275" s="1172"/>
      <c r="I275" s="1172"/>
      <c r="J275" s="1172"/>
      <c r="K275" s="1172"/>
      <c r="L275" s="1172"/>
      <c r="M275" s="1172"/>
      <c r="N275" s="1172"/>
      <c r="O275" s="1172"/>
      <c r="P275" s="1172"/>
      <c r="Q275" s="1172"/>
      <c r="R275" s="1172"/>
      <c r="S275" s="1172"/>
      <c r="T275" s="1172"/>
      <c r="U275" s="1172"/>
      <c r="V275" s="1172"/>
      <c r="W275" s="1172"/>
      <c r="X275" s="1172"/>
      <c r="Y275" s="1172"/>
      <c r="Z275" s="1172"/>
    </row>
    <row r="276" spans="1:26" ht="36" customHeight="1">
      <c r="A276" s="1172"/>
      <c r="B276" s="1172"/>
      <c r="C276" s="1172"/>
      <c r="D276" s="1172"/>
      <c r="E276" s="1172"/>
      <c r="F276" s="1172"/>
      <c r="G276" s="1172"/>
      <c r="H276" s="1172"/>
      <c r="I276" s="1172"/>
      <c r="J276" s="1172"/>
      <c r="K276" s="1172"/>
      <c r="L276" s="1172"/>
      <c r="M276" s="1172"/>
      <c r="N276" s="1172"/>
      <c r="O276" s="1172"/>
      <c r="P276" s="1172"/>
      <c r="Q276" s="1172"/>
      <c r="R276" s="1172"/>
      <c r="S276" s="1172"/>
      <c r="T276" s="1172"/>
      <c r="U276" s="1172"/>
      <c r="V276" s="1172"/>
      <c r="W276" s="1172"/>
      <c r="X276" s="1172"/>
      <c r="Y276" s="1172"/>
      <c r="Z276" s="1172"/>
    </row>
    <row r="277" spans="1:26" ht="36" customHeight="1">
      <c r="A277" s="1172"/>
      <c r="B277" s="1172"/>
      <c r="C277" s="1172"/>
      <c r="D277" s="1172"/>
      <c r="E277" s="1172"/>
      <c r="F277" s="1172"/>
      <c r="G277" s="1172"/>
      <c r="H277" s="1172"/>
      <c r="I277" s="1172"/>
      <c r="J277" s="1172"/>
      <c r="K277" s="1172"/>
      <c r="L277" s="1172"/>
      <c r="M277" s="1172"/>
      <c r="N277" s="1172"/>
      <c r="O277" s="1172"/>
      <c r="P277" s="1172"/>
      <c r="Q277" s="1172"/>
      <c r="R277" s="1172"/>
      <c r="S277" s="1172"/>
      <c r="T277" s="1172"/>
      <c r="U277" s="1172"/>
      <c r="V277" s="1172"/>
      <c r="W277" s="1172"/>
      <c r="X277" s="1172"/>
      <c r="Y277" s="1172"/>
      <c r="Z277" s="1172"/>
    </row>
    <row r="278" spans="1:26" ht="36" customHeight="1">
      <c r="A278" s="1172"/>
      <c r="B278" s="1172"/>
      <c r="C278" s="1172"/>
      <c r="D278" s="1172"/>
      <c r="E278" s="1172"/>
      <c r="F278" s="1172"/>
      <c r="G278" s="1172"/>
      <c r="H278" s="1172"/>
      <c r="I278" s="1172"/>
      <c r="J278" s="1172"/>
      <c r="K278" s="1172"/>
      <c r="L278" s="1172"/>
      <c r="M278" s="1172"/>
      <c r="N278" s="1172"/>
      <c r="O278" s="1172"/>
      <c r="P278" s="1172"/>
      <c r="Q278" s="1172"/>
      <c r="R278" s="1172"/>
      <c r="S278" s="1172"/>
      <c r="T278" s="1172"/>
      <c r="U278" s="1172"/>
      <c r="V278" s="1172"/>
      <c r="W278" s="1172"/>
      <c r="X278" s="1172"/>
      <c r="Y278" s="1172"/>
      <c r="Z278" s="1172"/>
    </row>
    <row r="279" spans="1:26" ht="36" customHeight="1">
      <c r="A279" s="1172"/>
      <c r="B279" s="1172"/>
      <c r="C279" s="1172"/>
      <c r="D279" s="1172"/>
      <c r="E279" s="1172"/>
      <c r="F279" s="1172"/>
      <c r="G279" s="1172"/>
      <c r="H279" s="1172"/>
      <c r="I279" s="1172"/>
      <c r="J279" s="1172"/>
      <c r="K279" s="1172"/>
      <c r="L279" s="1172"/>
      <c r="M279" s="1172"/>
      <c r="N279" s="1172"/>
      <c r="O279" s="1172"/>
      <c r="P279" s="1172"/>
      <c r="Q279" s="1172"/>
      <c r="R279" s="1172"/>
      <c r="S279" s="1172"/>
      <c r="T279" s="1172"/>
      <c r="U279" s="1172"/>
      <c r="V279" s="1172"/>
      <c r="W279" s="1172"/>
      <c r="X279" s="1172"/>
      <c r="Y279" s="1172"/>
      <c r="Z279" s="1172"/>
    </row>
    <row r="280" spans="1:26" ht="36" customHeight="1">
      <c r="A280" s="1172"/>
      <c r="B280" s="1172"/>
      <c r="C280" s="1172"/>
      <c r="D280" s="1172"/>
      <c r="E280" s="1172"/>
      <c r="F280" s="1172"/>
      <c r="G280" s="1172"/>
      <c r="H280" s="1172"/>
      <c r="I280" s="1172"/>
      <c r="J280" s="1172"/>
      <c r="K280" s="1172"/>
      <c r="L280" s="1172"/>
      <c r="M280" s="1172"/>
      <c r="N280" s="1172"/>
      <c r="O280" s="1172"/>
      <c r="P280" s="1172"/>
      <c r="Q280" s="1172"/>
      <c r="R280" s="1172"/>
      <c r="S280" s="1172"/>
      <c r="T280" s="1172"/>
      <c r="U280" s="1172"/>
      <c r="V280" s="1172"/>
      <c r="W280" s="1172"/>
      <c r="X280" s="1172"/>
      <c r="Y280" s="1172"/>
      <c r="Z280" s="1172"/>
    </row>
    <row r="281" spans="1:26" ht="36" customHeight="1">
      <c r="A281" s="1172"/>
      <c r="B281" s="1172"/>
      <c r="C281" s="1172"/>
      <c r="D281" s="1172"/>
      <c r="E281" s="1172"/>
      <c r="F281" s="1172"/>
      <c r="G281" s="1172"/>
      <c r="H281" s="1172"/>
      <c r="I281" s="1172"/>
      <c r="J281" s="1172"/>
      <c r="K281" s="1172"/>
      <c r="L281" s="1172"/>
      <c r="M281" s="1172"/>
      <c r="N281" s="1172"/>
      <c r="O281" s="1172"/>
      <c r="P281" s="1172"/>
      <c r="Q281" s="1172"/>
      <c r="R281" s="1172"/>
      <c r="S281" s="1172"/>
      <c r="T281" s="1172"/>
      <c r="U281" s="1172"/>
      <c r="V281" s="1172"/>
      <c r="W281" s="1172"/>
      <c r="X281" s="1172"/>
      <c r="Y281" s="1172"/>
      <c r="Z281" s="1172"/>
    </row>
    <row r="282" spans="1:26" ht="15.75" customHeight="1"/>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5:G5"/>
    <mergeCell ref="B1:G1"/>
    <mergeCell ref="B2:G2"/>
    <mergeCell ref="B3:E3"/>
    <mergeCell ref="F3:G3"/>
    <mergeCell ref="B4:G4"/>
  </mergeCells>
  <hyperlinks>
    <hyperlink ref="B2" r:id="rId1" xr:uid="{00000000-0004-0000-1800-000000000000}"/>
    <hyperlink ref="B4" r:id="rId2" xr:uid="{00000000-0004-0000-1800-000001000000}"/>
    <hyperlink ref="B5" r:id="rId3" xr:uid="{00000000-0004-0000-1800-000002000000}"/>
  </hyperlinks>
  <pageMargins left="0.75" right="0.75" top="1" bottom="1" header="0" footer="0"/>
  <pageSetup scale="80" orientation="landscape"/>
  <tableParts count="1">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1000"/>
  <sheetViews>
    <sheetView workbookViewId="0"/>
  </sheetViews>
  <sheetFormatPr baseColWidth="10" defaultColWidth="14.44140625" defaultRowHeight="15" customHeight="1"/>
  <cols>
    <col min="1" max="1" width="12" customWidth="1"/>
    <col min="2" max="2" width="45.88671875" customWidth="1"/>
    <col min="3" max="4" width="10.44140625" customWidth="1"/>
    <col min="5" max="5" width="13.6640625" customWidth="1"/>
    <col min="6" max="6" width="9.44140625" customWidth="1"/>
    <col min="7" max="7" width="7" customWidth="1"/>
    <col min="8" max="8" width="7.44140625" customWidth="1"/>
    <col min="9" max="9" width="9.33203125" customWidth="1"/>
    <col min="10" max="10" width="12.44140625" customWidth="1"/>
    <col min="11" max="11" width="18.33203125" customWidth="1"/>
    <col min="12" max="12" width="19.44140625" customWidth="1"/>
    <col min="13" max="26" width="12" customWidth="1"/>
  </cols>
  <sheetData>
    <row r="1" spans="1:26" ht="12.75" customHeight="1">
      <c r="A1" s="235"/>
      <c r="B1" s="235"/>
      <c r="C1" s="235"/>
      <c r="D1" s="235"/>
      <c r="E1" s="235"/>
      <c r="F1" s="235"/>
      <c r="G1" s="235"/>
      <c r="H1" s="1392"/>
      <c r="I1" s="1334"/>
      <c r="J1" s="1334"/>
      <c r="K1" s="1334"/>
      <c r="L1" s="1334"/>
      <c r="M1" s="235"/>
      <c r="N1" s="235"/>
      <c r="O1" s="235"/>
      <c r="P1" s="235"/>
      <c r="Q1" s="235"/>
      <c r="R1" s="235"/>
      <c r="S1" s="235"/>
      <c r="T1" s="235"/>
      <c r="U1" s="235"/>
      <c r="V1" s="235"/>
      <c r="W1" s="235"/>
      <c r="X1" s="235"/>
      <c r="Y1" s="235"/>
      <c r="Z1" s="235"/>
    </row>
    <row r="2" spans="1:26" ht="12.75" customHeight="1">
      <c r="A2" s="235"/>
      <c r="B2" s="236"/>
      <c r="C2" s="235"/>
      <c r="D2" s="235"/>
      <c r="E2" s="47"/>
      <c r="F2" s="237" t="s">
        <v>259</v>
      </c>
      <c r="G2" s="237" t="s">
        <v>260</v>
      </c>
      <c r="H2" s="1334"/>
      <c r="I2" s="1334"/>
      <c r="J2" s="1334"/>
      <c r="K2" s="1334"/>
      <c r="L2" s="1334"/>
      <c r="M2" s="235"/>
      <c r="N2" s="235"/>
      <c r="O2" s="235"/>
      <c r="P2" s="235"/>
      <c r="Q2" s="235"/>
      <c r="R2" s="235"/>
      <c r="S2" s="235"/>
      <c r="T2" s="235"/>
      <c r="U2" s="235"/>
      <c r="V2" s="235"/>
      <c r="W2" s="235"/>
      <c r="X2" s="235"/>
      <c r="Y2" s="235"/>
      <c r="Z2" s="235"/>
    </row>
    <row r="3" spans="1:26" ht="34.5" customHeight="1">
      <c r="A3" s="235"/>
      <c r="B3" s="238" t="s">
        <v>261</v>
      </c>
      <c r="C3" s="235"/>
      <c r="D3" s="235"/>
      <c r="E3" s="238" t="s">
        <v>262</v>
      </c>
      <c r="F3" s="238" t="s">
        <v>263</v>
      </c>
      <c r="G3" s="238" t="s">
        <v>264</v>
      </c>
      <c r="H3" s="235"/>
      <c r="I3" s="235"/>
      <c r="J3" s="235"/>
      <c r="K3" s="235"/>
      <c r="L3" s="235"/>
      <c r="M3" s="235"/>
      <c r="N3" s="235"/>
      <c r="O3" s="235"/>
      <c r="P3" s="235"/>
      <c r="Q3" s="235"/>
      <c r="R3" s="235"/>
      <c r="S3" s="235"/>
      <c r="T3" s="235"/>
      <c r="U3" s="235"/>
      <c r="V3" s="235"/>
      <c r="W3" s="235"/>
      <c r="X3" s="235"/>
      <c r="Y3" s="235"/>
      <c r="Z3" s="235"/>
    </row>
    <row r="4" spans="1:26" ht="12.75" customHeight="1">
      <c r="A4" s="235"/>
      <c r="B4" s="239" t="s">
        <v>744</v>
      </c>
      <c r="C4" s="235"/>
      <c r="D4" s="235"/>
      <c r="E4" s="68"/>
      <c r="F4" s="240"/>
      <c r="G4" s="70"/>
      <c r="H4" s="235"/>
      <c r="I4" s="235"/>
      <c r="J4" s="235"/>
      <c r="K4" s="235"/>
      <c r="L4" s="235"/>
      <c r="M4" s="235"/>
      <c r="N4" s="235"/>
      <c r="O4" s="235"/>
      <c r="P4" s="235"/>
      <c r="Q4" s="235"/>
      <c r="R4" s="235"/>
      <c r="S4" s="235"/>
      <c r="T4" s="235"/>
      <c r="U4" s="235"/>
      <c r="V4" s="235"/>
      <c r="W4" s="235"/>
      <c r="X4" s="235"/>
      <c r="Y4" s="235"/>
      <c r="Z4" s="235"/>
    </row>
    <row r="5" spans="1:26" ht="12.75" customHeight="1">
      <c r="A5" s="235"/>
      <c r="B5" s="242"/>
      <c r="C5" s="235"/>
      <c r="D5" s="235"/>
      <c r="E5" s="68"/>
      <c r="F5" s="243"/>
      <c r="G5" s="243"/>
      <c r="H5" s="235"/>
      <c r="I5" s="235"/>
      <c r="J5" s="235"/>
      <c r="K5" s="235"/>
      <c r="L5" s="235"/>
      <c r="M5" s="235"/>
      <c r="N5" s="235"/>
      <c r="O5" s="235"/>
      <c r="P5" s="235"/>
      <c r="Q5" s="235"/>
      <c r="R5" s="235"/>
      <c r="S5" s="235"/>
      <c r="T5" s="235"/>
      <c r="U5" s="235"/>
      <c r="V5" s="235"/>
      <c r="W5" s="235"/>
      <c r="X5" s="235"/>
      <c r="Y5" s="235"/>
      <c r="Z5" s="235"/>
    </row>
    <row r="6" spans="1:26" ht="12.75" customHeight="1">
      <c r="A6" s="235"/>
      <c r="B6" s="239"/>
      <c r="C6" s="235"/>
      <c r="D6" s="235"/>
      <c r="E6" s="68"/>
      <c r="F6" s="245"/>
      <c r="G6" s="245"/>
      <c r="H6" s="235"/>
      <c r="I6" s="235"/>
      <c r="J6" s="235"/>
      <c r="K6" s="235"/>
      <c r="L6" s="235"/>
      <c r="M6" s="235"/>
      <c r="N6" s="235"/>
      <c r="O6" s="235"/>
      <c r="P6" s="235"/>
      <c r="Q6" s="235"/>
      <c r="R6" s="235"/>
      <c r="S6" s="235"/>
      <c r="T6" s="235"/>
      <c r="U6" s="235"/>
      <c r="V6" s="235"/>
      <c r="W6" s="235"/>
      <c r="X6" s="235"/>
      <c r="Y6" s="235"/>
      <c r="Z6" s="235"/>
    </row>
    <row r="7" spans="1:26" ht="12.75" customHeight="1">
      <c r="A7" s="235"/>
      <c r="B7" s="239"/>
      <c r="C7" s="235"/>
      <c r="D7" s="235"/>
      <c r="E7" s="68"/>
      <c r="F7" s="3"/>
      <c r="G7" s="245"/>
      <c r="H7" s="235"/>
      <c r="I7" s="235"/>
      <c r="J7" s="235"/>
      <c r="K7" s="235"/>
      <c r="L7" s="235"/>
      <c r="M7" s="235"/>
      <c r="N7" s="235"/>
      <c r="O7" s="235"/>
      <c r="P7" s="235"/>
      <c r="Q7" s="235"/>
      <c r="R7" s="235"/>
      <c r="S7" s="235"/>
      <c r="T7" s="235"/>
      <c r="U7" s="235"/>
      <c r="V7" s="235"/>
      <c r="W7" s="235"/>
      <c r="X7" s="235"/>
      <c r="Y7" s="235"/>
      <c r="Z7" s="235"/>
    </row>
    <row r="8" spans="1:26" ht="12.75" customHeight="1">
      <c r="A8" s="235"/>
      <c r="B8" s="239"/>
      <c r="C8" s="235"/>
      <c r="D8" s="235"/>
      <c r="E8" s="68"/>
      <c r="F8" s="3"/>
      <c r="G8" s="245"/>
      <c r="H8" s="235"/>
      <c r="I8" s="235"/>
      <c r="J8" s="235"/>
      <c r="K8" s="235"/>
      <c r="L8" s="235"/>
      <c r="M8" s="235"/>
      <c r="N8" s="235"/>
      <c r="O8" s="235"/>
      <c r="P8" s="235"/>
      <c r="Q8" s="235"/>
      <c r="R8" s="235"/>
      <c r="S8" s="235"/>
      <c r="T8" s="235"/>
      <c r="U8" s="235"/>
      <c r="V8" s="235"/>
      <c r="W8" s="235"/>
      <c r="X8" s="235"/>
      <c r="Y8" s="235"/>
      <c r="Z8" s="235"/>
    </row>
    <row r="9" spans="1:26" ht="12.75" customHeight="1">
      <c r="A9" s="235"/>
      <c r="B9" s="244" t="s">
        <v>745</v>
      </c>
      <c r="C9" s="235"/>
      <c r="D9" s="235"/>
      <c r="E9" s="246" t="s">
        <v>268</v>
      </c>
      <c r="F9" s="247" t="e">
        <f t="shared" ref="F9:G9" si="0">AVERAGE(F4:F5)</f>
        <v>#DIV/0!</v>
      </c>
      <c r="G9" s="247" t="e">
        <f t="shared" si="0"/>
        <v>#DIV/0!</v>
      </c>
      <c r="H9" s="235"/>
      <c r="I9" s="235"/>
      <c r="J9" s="235"/>
      <c r="K9" s="235"/>
      <c r="L9" s="235"/>
      <c r="M9" s="235"/>
      <c r="N9" s="235"/>
      <c r="O9" s="235"/>
      <c r="P9" s="235"/>
      <c r="Q9" s="235"/>
      <c r="R9" s="235"/>
      <c r="S9" s="235"/>
      <c r="T9" s="235"/>
      <c r="U9" s="235"/>
      <c r="V9" s="235"/>
      <c r="W9" s="235"/>
      <c r="X9" s="235"/>
      <c r="Y9" s="235"/>
      <c r="Z9" s="235"/>
    </row>
    <row r="10" spans="1:26" ht="12.75" customHeight="1">
      <c r="A10" s="235"/>
      <c r="B10" s="235"/>
      <c r="C10" s="235"/>
      <c r="D10" s="235"/>
      <c r="E10" s="235"/>
      <c r="F10" s="235"/>
      <c r="G10" s="235"/>
      <c r="H10" s="235"/>
      <c r="I10" s="235"/>
      <c r="J10" s="235"/>
      <c r="K10" s="235"/>
      <c r="L10" s="235"/>
      <c r="M10" s="235"/>
      <c r="N10" s="235"/>
      <c r="O10" s="235"/>
      <c r="P10" s="235"/>
      <c r="Q10" s="235"/>
      <c r="R10" s="235"/>
      <c r="S10" s="235"/>
      <c r="T10" s="235"/>
      <c r="U10" s="235"/>
      <c r="V10" s="235"/>
      <c r="W10" s="235"/>
      <c r="X10" s="235"/>
      <c r="Y10" s="235"/>
      <c r="Z10" s="235"/>
    </row>
    <row r="11" spans="1:26" ht="12.75" customHeight="1">
      <c r="A11" s="236"/>
      <c r="B11" s="236"/>
      <c r="C11" s="236"/>
      <c r="D11" s="248"/>
      <c r="E11" s="249"/>
      <c r="F11" s="248"/>
      <c r="G11" s="248"/>
      <c r="H11" s="248"/>
      <c r="I11" s="248"/>
      <c r="J11" s="250"/>
      <c r="K11" s="251"/>
      <c r="L11" s="235"/>
      <c r="M11" s="235"/>
      <c r="N11" s="235"/>
      <c r="O11" s="235"/>
      <c r="P11" s="235"/>
      <c r="Q11" s="235"/>
      <c r="R11" s="235"/>
      <c r="S11" s="235"/>
      <c r="T11" s="235"/>
      <c r="U11" s="235"/>
      <c r="V11" s="235"/>
      <c r="W11" s="235"/>
      <c r="X11" s="235"/>
      <c r="Y11" s="235"/>
      <c r="Z11" s="235"/>
    </row>
    <row r="12" spans="1:26" ht="15" customHeight="1">
      <c r="A12" s="236" t="s">
        <v>269</v>
      </c>
      <c r="B12" s="252" t="str">
        <f>+B4</f>
        <v>M2CROWD, S.A. DE C.V.</v>
      </c>
      <c r="C12" s="253">
        <v>44195</v>
      </c>
      <c r="D12" s="253">
        <v>44560</v>
      </c>
      <c r="E12" s="254">
        <v>44651</v>
      </c>
      <c r="F12" s="1393" t="s">
        <v>270</v>
      </c>
      <c r="G12" s="1394"/>
      <c r="H12" s="1394"/>
      <c r="I12" s="1394"/>
      <c r="J12" s="255" t="s">
        <v>268</v>
      </c>
      <c r="K12" s="256" t="s">
        <v>216</v>
      </c>
      <c r="L12" s="235"/>
      <c r="M12" s="235"/>
      <c r="N12" s="235"/>
      <c r="O12" s="235"/>
      <c r="P12" s="235"/>
      <c r="Q12" s="235"/>
      <c r="R12" s="235"/>
      <c r="S12" s="235"/>
      <c r="T12" s="235"/>
      <c r="U12" s="235"/>
      <c r="V12" s="235"/>
      <c r="W12" s="235"/>
      <c r="X12" s="235"/>
      <c r="Y12" s="235"/>
      <c r="Z12" s="235"/>
    </row>
    <row r="13" spans="1:26" ht="12.75" customHeight="1">
      <c r="A13" s="236"/>
      <c r="B13" s="257" t="s">
        <v>271</v>
      </c>
      <c r="C13" s="278">
        <v>12648</v>
      </c>
      <c r="D13" s="304">
        <v>17059</v>
      </c>
      <c r="E13" s="280">
        <v>4586</v>
      </c>
      <c r="F13" s="261"/>
      <c r="G13" s="262"/>
      <c r="H13" s="262">
        <f t="shared" ref="H13:I13" si="1">+D13/C13-1</f>
        <v>0.34875079063883607</v>
      </c>
      <c r="I13" s="262">
        <f t="shared" si="1"/>
        <v>-0.73116829825898355</v>
      </c>
      <c r="J13" s="263">
        <f>AVERAGE(F13:I13)</f>
        <v>-0.19120875381007374</v>
      </c>
      <c r="K13" s="264">
        <f>+(E11/C13)^(1/2)-1</f>
        <v>-1</v>
      </c>
      <c r="L13" s="235"/>
      <c r="M13" s="235"/>
      <c r="N13" s="235"/>
      <c r="O13" s="235"/>
      <c r="P13" s="235"/>
      <c r="Q13" s="235"/>
      <c r="R13" s="235"/>
      <c r="S13" s="235"/>
      <c r="T13" s="235"/>
      <c r="U13" s="235"/>
      <c r="V13" s="235"/>
      <c r="W13" s="235"/>
      <c r="X13" s="235"/>
      <c r="Y13" s="235"/>
      <c r="Z13" s="235"/>
    </row>
    <row r="14" spans="1:26" ht="12.75" customHeight="1">
      <c r="A14" s="236"/>
      <c r="B14" s="265" t="s">
        <v>272</v>
      </c>
      <c r="C14" s="305">
        <v>12963</v>
      </c>
      <c r="D14" s="306">
        <v>17198</v>
      </c>
      <c r="E14" s="307">
        <v>-279</v>
      </c>
      <c r="F14" s="269"/>
      <c r="G14" s="270"/>
      <c r="H14" s="270">
        <f t="shared" ref="H14:I14" si="2">+D14/C14-1</f>
        <v>0.32669906657409542</v>
      </c>
      <c r="I14" s="270">
        <f t="shared" si="2"/>
        <v>-1.0162228166065821</v>
      </c>
      <c r="J14" s="271">
        <f>AVERAGE(F14:G14,I14)</f>
        <v>-1.0162228166065821</v>
      </c>
      <c r="K14" s="272" t="e">
        <f>+(E14/#REF!)^(1/3)-1</f>
        <v>#REF!</v>
      </c>
      <c r="L14" s="235"/>
      <c r="M14" s="235"/>
      <c r="N14" s="235"/>
      <c r="O14" s="235"/>
      <c r="P14" s="235"/>
      <c r="Q14" s="235"/>
      <c r="R14" s="235"/>
      <c r="S14" s="235"/>
      <c r="T14" s="235"/>
      <c r="U14" s="235"/>
      <c r="V14" s="235"/>
      <c r="W14" s="235"/>
      <c r="X14" s="235"/>
      <c r="Y14" s="235"/>
      <c r="Z14" s="235"/>
    </row>
    <row r="15" spans="1:26" ht="12.75" customHeight="1">
      <c r="A15" s="236"/>
      <c r="B15" s="236"/>
      <c r="C15" s="273"/>
      <c r="D15" s="274"/>
      <c r="E15" s="274"/>
      <c r="F15" s="274"/>
      <c r="G15" s="248"/>
      <c r="H15" s="248"/>
      <c r="I15" s="248"/>
      <c r="J15" s="250"/>
      <c r="K15" s="251"/>
      <c r="L15" s="235"/>
      <c r="M15" s="235"/>
      <c r="N15" s="235"/>
      <c r="O15" s="235"/>
      <c r="P15" s="235"/>
      <c r="Q15" s="235"/>
      <c r="R15" s="235"/>
      <c r="S15" s="235"/>
      <c r="T15" s="235"/>
      <c r="U15" s="235"/>
      <c r="V15" s="235"/>
      <c r="W15" s="235"/>
      <c r="X15" s="235"/>
      <c r="Y15" s="235"/>
      <c r="Z15" s="235"/>
    </row>
    <row r="16" spans="1:26" ht="12.75" customHeight="1">
      <c r="A16" s="236"/>
      <c r="B16" s="275">
        <f>+B5</f>
        <v>0</v>
      </c>
      <c r="C16" s="302">
        <v>43464</v>
      </c>
      <c r="D16" s="302">
        <v>43829</v>
      </c>
      <c r="E16" s="303">
        <v>44195</v>
      </c>
      <c r="F16" s="1395" t="s">
        <v>270</v>
      </c>
      <c r="G16" s="1347"/>
      <c r="H16" s="1347"/>
      <c r="I16" s="1347"/>
      <c r="J16" s="275" t="s">
        <v>268</v>
      </c>
      <c r="K16" s="276" t="s">
        <v>216</v>
      </c>
      <c r="L16" s="235"/>
      <c r="M16" s="235"/>
      <c r="N16" s="235"/>
      <c r="O16" s="235"/>
      <c r="P16" s="235"/>
      <c r="Q16" s="235"/>
      <c r="R16" s="235"/>
      <c r="S16" s="235"/>
      <c r="T16" s="235"/>
      <c r="U16" s="235"/>
      <c r="V16" s="235"/>
      <c r="W16" s="235"/>
      <c r="X16" s="235"/>
      <c r="Y16" s="235"/>
      <c r="Z16" s="235"/>
    </row>
    <row r="17" spans="1:26" ht="12.75" customHeight="1">
      <c r="A17" s="236"/>
      <c r="B17" s="277" t="s">
        <v>271</v>
      </c>
      <c r="C17" s="278">
        <v>9352</v>
      </c>
      <c r="D17" s="279">
        <v>9041.4</v>
      </c>
      <c r="E17" s="280">
        <v>9149.7000000000007</v>
      </c>
      <c r="F17" s="261"/>
      <c r="G17" s="262"/>
      <c r="H17" s="262">
        <f t="shared" ref="H17:I17" si="3">+D17/C17-1</f>
        <v>-3.3212147134302872E-2</v>
      </c>
      <c r="I17" s="262">
        <f t="shared" si="3"/>
        <v>1.1978233459420062E-2</v>
      </c>
      <c r="J17" s="263">
        <f t="shared" ref="J17:J18" si="4">AVERAGE(F17:H17)</f>
        <v>-3.3212147134302872E-2</v>
      </c>
      <c r="K17" s="281" t="e">
        <f t="shared" ref="K17:K18" si="5">+(E17/#REF!)^(1/3)-1</f>
        <v>#REF!</v>
      </c>
      <c r="L17" s="235"/>
      <c r="M17" s="235"/>
      <c r="N17" s="235"/>
      <c r="O17" s="235"/>
      <c r="P17" s="235"/>
      <c r="Q17" s="235"/>
      <c r="R17" s="235"/>
      <c r="S17" s="235"/>
      <c r="T17" s="235"/>
      <c r="U17" s="235"/>
      <c r="V17" s="235"/>
      <c r="W17" s="235"/>
      <c r="X17" s="235"/>
      <c r="Y17" s="235"/>
      <c r="Z17" s="235"/>
    </row>
    <row r="18" spans="1:26" ht="12.75" customHeight="1">
      <c r="A18" s="236"/>
      <c r="B18" s="282" t="s">
        <v>272</v>
      </c>
      <c r="C18" s="283">
        <v>489</v>
      </c>
      <c r="D18" s="284">
        <v>348.1</v>
      </c>
      <c r="E18" s="285">
        <v>599.70000000000005</v>
      </c>
      <c r="F18" s="286"/>
      <c r="G18" s="287"/>
      <c r="H18" s="287">
        <f t="shared" ref="H18:I18" si="6">+D18/C18-1</f>
        <v>-0.2881390593047034</v>
      </c>
      <c r="I18" s="287">
        <f t="shared" si="6"/>
        <v>0.72278081011203676</v>
      </c>
      <c r="J18" s="288">
        <f t="shared" si="4"/>
        <v>-0.2881390593047034</v>
      </c>
      <c r="K18" s="281" t="e">
        <f t="shared" si="5"/>
        <v>#REF!</v>
      </c>
      <c r="L18" s="235"/>
      <c r="M18" s="235"/>
      <c r="N18" s="235"/>
      <c r="O18" s="235"/>
      <c r="P18" s="235"/>
      <c r="Q18" s="235"/>
      <c r="R18" s="235"/>
      <c r="S18" s="235"/>
      <c r="T18" s="235"/>
      <c r="U18" s="235"/>
      <c r="V18" s="235"/>
      <c r="W18" s="235"/>
      <c r="X18" s="235"/>
      <c r="Y18" s="235"/>
      <c r="Z18" s="235"/>
    </row>
    <row r="19" spans="1:26" ht="12.75" customHeight="1">
      <c r="A19" s="236"/>
      <c r="B19" s="236"/>
      <c r="C19" s="290"/>
      <c r="D19" s="291"/>
      <c r="E19" s="291"/>
      <c r="F19" s="292"/>
      <c r="G19" s="292"/>
      <c r="H19" s="292"/>
      <c r="I19" s="292"/>
      <c r="J19" s="293"/>
      <c r="K19" s="294"/>
      <c r="L19" s="235"/>
      <c r="M19" s="235"/>
      <c r="N19" s="235"/>
      <c r="O19" s="235"/>
      <c r="P19" s="235"/>
      <c r="Q19" s="235"/>
      <c r="R19" s="235"/>
      <c r="S19" s="235"/>
      <c r="T19" s="235"/>
      <c r="U19" s="235"/>
      <c r="V19" s="235"/>
      <c r="W19" s="235"/>
      <c r="X19" s="235"/>
      <c r="Y19" s="235"/>
      <c r="Z19" s="235"/>
    </row>
    <row r="20" spans="1:26" ht="12.75" customHeight="1">
      <c r="A20" s="236"/>
      <c r="B20" s="275">
        <f>+B6</f>
        <v>0</v>
      </c>
      <c r="C20" s="302" t="s">
        <v>746</v>
      </c>
      <c r="D20" s="302" t="s">
        <v>747</v>
      </c>
      <c r="E20" s="302" t="s">
        <v>748</v>
      </c>
      <c r="F20" s="1395" t="s">
        <v>270</v>
      </c>
      <c r="G20" s="1347"/>
      <c r="H20" s="1347"/>
      <c r="I20" s="1347"/>
      <c r="J20" s="275" t="s">
        <v>268</v>
      </c>
      <c r="K20" s="276" t="s">
        <v>216</v>
      </c>
      <c r="L20" s="235"/>
      <c r="M20" s="235"/>
      <c r="N20" s="235"/>
      <c r="O20" s="235"/>
      <c r="P20" s="235"/>
      <c r="Q20" s="235"/>
      <c r="R20" s="235"/>
      <c r="S20" s="235"/>
      <c r="T20" s="235"/>
      <c r="U20" s="235"/>
      <c r="V20" s="235"/>
      <c r="W20" s="235"/>
      <c r="X20" s="235"/>
      <c r="Y20" s="235"/>
      <c r="Z20" s="235"/>
    </row>
    <row r="21" spans="1:26" ht="12.75" customHeight="1">
      <c r="A21" s="236"/>
      <c r="B21" s="277" t="s">
        <v>271</v>
      </c>
      <c r="C21" s="278">
        <v>122.25</v>
      </c>
      <c r="D21" s="279">
        <v>92.51</v>
      </c>
      <c r="E21" s="280">
        <v>108.56</v>
      </c>
      <c r="F21" s="261"/>
      <c r="G21" s="262"/>
      <c r="H21" s="262">
        <f t="shared" ref="H21:I21" si="7">+D21/C21-1</f>
        <v>-0.24327198364008173</v>
      </c>
      <c r="I21" s="262">
        <f t="shared" si="7"/>
        <v>0.17349475732353259</v>
      </c>
      <c r="J21" s="263">
        <f t="shared" ref="J21:J22" si="8">AVERAGE(G21,I21)</f>
        <v>0.17349475732353259</v>
      </c>
      <c r="K21" s="281" t="e">
        <f t="shared" ref="K21:K22" si="9">+(E21/#REF!)^(1/3)-1</f>
        <v>#REF!</v>
      </c>
      <c r="L21" s="235"/>
      <c r="M21" s="235"/>
      <c r="N21" s="235"/>
      <c r="O21" s="235"/>
      <c r="P21" s="235"/>
      <c r="Q21" s="235"/>
      <c r="R21" s="235"/>
      <c r="S21" s="235"/>
      <c r="T21" s="235"/>
      <c r="U21" s="235"/>
      <c r="V21" s="235"/>
      <c r="W21" s="235"/>
      <c r="X21" s="235"/>
      <c r="Y21" s="235"/>
      <c r="Z21" s="235"/>
    </row>
    <row r="22" spans="1:26" ht="12.75" customHeight="1">
      <c r="A22" s="236"/>
      <c r="B22" s="282" t="s">
        <v>272</v>
      </c>
      <c r="C22" s="283">
        <v>45.06</v>
      </c>
      <c r="D22" s="284">
        <v>6.83</v>
      </c>
      <c r="E22" s="285">
        <v>14.44</v>
      </c>
      <c r="F22" s="286"/>
      <c r="G22" s="287"/>
      <c r="H22" s="287">
        <f t="shared" ref="H22:I22" si="10">+D22/C22-1</f>
        <v>-0.8484243231247226</v>
      </c>
      <c r="I22" s="287">
        <f t="shared" si="10"/>
        <v>1.1142020497803804</v>
      </c>
      <c r="J22" s="288">
        <f t="shared" si="8"/>
        <v>1.1142020497803804</v>
      </c>
      <c r="K22" s="281" t="e">
        <f t="shared" si="9"/>
        <v>#REF!</v>
      </c>
      <c r="L22" s="235"/>
      <c r="M22" s="235"/>
      <c r="N22" s="235"/>
      <c r="O22" s="235"/>
      <c r="P22" s="235"/>
      <c r="Q22" s="235"/>
      <c r="R22" s="235"/>
      <c r="S22" s="235"/>
      <c r="T22" s="235"/>
      <c r="U22" s="235"/>
      <c r="V22" s="235"/>
      <c r="W22" s="235"/>
      <c r="X22" s="235"/>
      <c r="Y22" s="235"/>
      <c r="Z22" s="235"/>
    </row>
    <row r="23" spans="1:26" ht="12.75" customHeight="1">
      <c r="A23" s="236"/>
      <c r="B23" s="236"/>
      <c r="C23" s="290"/>
      <c r="D23" s="291"/>
      <c r="E23" s="291"/>
      <c r="F23" s="292"/>
      <c r="G23" s="292"/>
      <c r="H23" s="292"/>
      <c r="I23" s="292"/>
      <c r="J23" s="293"/>
      <c r="K23" s="294"/>
      <c r="L23" s="235"/>
      <c r="M23" s="235"/>
      <c r="N23" s="235"/>
      <c r="O23" s="235"/>
      <c r="P23" s="235"/>
      <c r="Q23" s="235"/>
      <c r="R23" s="235"/>
      <c r="S23" s="235"/>
      <c r="T23" s="235"/>
      <c r="U23" s="235"/>
      <c r="V23" s="235"/>
      <c r="W23" s="235"/>
      <c r="X23" s="235"/>
      <c r="Y23" s="235"/>
      <c r="Z23" s="235"/>
    </row>
    <row r="24" spans="1:26" ht="12.75" customHeight="1">
      <c r="A24" s="236"/>
      <c r="B24" s="275">
        <f>+B7</f>
        <v>0</v>
      </c>
      <c r="C24" s="302">
        <v>43464</v>
      </c>
      <c r="D24" s="302">
        <v>43829</v>
      </c>
      <c r="E24" s="303">
        <v>44195</v>
      </c>
      <c r="F24" s="1395" t="s">
        <v>270</v>
      </c>
      <c r="G24" s="1347"/>
      <c r="H24" s="1347"/>
      <c r="I24" s="1347"/>
      <c r="J24" s="275" t="s">
        <v>268</v>
      </c>
      <c r="K24" s="276" t="s">
        <v>216</v>
      </c>
      <c r="L24" s="235"/>
      <c r="M24" s="235"/>
      <c r="N24" s="235"/>
      <c r="O24" s="235"/>
      <c r="P24" s="235"/>
      <c r="Q24" s="235"/>
      <c r="R24" s="235"/>
      <c r="S24" s="235"/>
      <c r="T24" s="235"/>
      <c r="U24" s="235"/>
      <c r="V24" s="235"/>
      <c r="W24" s="235"/>
      <c r="X24" s="235"/>
      <c r="Y24" s="235"/>
      <c r="Z24" s="235"/>
    </row>
    <row r="25" spans="1:26" ht="12.75" customHeight="1">
      <c r="A25" s="236"/>
      <c r="B25" s="277" t="s">
        <v>271</v>
      </c>
      <c r="C25" s="278">
        <v>45.74</v>
      </c>
      <c r="D25" s="279">
        <v>41.14</v>
      </c>
      <c r="E25" s="280">
        <v>41.4</v>
      </c>
      <c r="F25" s="261"/>
      <c r="G25" s="262"/>
      <c r="H25" s="262">
        <f t="shared" ref="H25:I25" si="11">+D25/C25-1</f>
        <v>-0.1005684302579799</v>
      </c>
      <c r="I25" s="262">
        <f t="shared" si="11"/>
        <v>6.3198833252309239E-3</v>
      </c>
      <c r="J25" s="263">
        <f>AVERAGE(G25,I25,F25)</f>
        <v>6.3198833252309239E-3</v>
      </c>
      <c r="K25" s="281" t="e">
        <f t="shared" ref="K25:K26" si="12">+(E25/#REF!)^(1/3)-1</f>
        <v>#REF!</v>
      </c>
      <c r="L25" s="235"/>
      <c r="M25" s="235"/>
      <c r="N25" s="235"/>
      <c r="O25" s="235"/>
      <c r="P25" s="235"/>
      <c r="Q25" s="235"/>
      <c r="R25" s="235"/>
      <c r="S25" s="235"/>
      <c r="T25" s="235"/>
      <c r="U25" s="235"/>
      <c r="V25" s="235"/>
      <c r="W25" s="235"/>
      <c r="X25" s="235"/>
      <c r="Y25" s="235"/>
      <c r="Z25" s="235"/>
    </row>
    <row r="26" spans="1:26" ht="12.75" customHeight="1">
      <c r="A26" s="236"/>
      <c r="B26" s="282" t="s">
        <v>272</v>
      </c>
      <c r="C26" s="283">
        <v>843</v>
      </c>
      <c r="D26" s="284">
        <v>-1027</v>
      </c>
      <c r="E26" s="285">
        <v>1427</v>
      </c>
      <c r="F26" s="286"/>
      <c r="G26" s="287"/>
      <c r="H26" s="287">
        <f t="shared" ref="H26:I26" si="13">+D26/C26-1</f>
        <v>-2.2182680901542113</v>
      </c>
      <c r="I26" s="287">
        <f t="shared" si="13"/>
        <v>-2.3894839337877309</v>
      </c>
      <c r="J26" s="288" t="e">
        <f>AVERAGE(G26)</f>
        <v>#DIV/0!</v>
      </c>
      <c r="K26" s="281" t="e">
        <f t="shared" si="12"/>
        <v>#REF!</v>
      </c>
      <c r="L26" s="235"/>
      <c r="M26" s="235"/>
      <c r="N26" s="235"/>
      <c r="O26" s="235"/>
      <c r="P26" s="235"/>
      <c r="Q26" s="235"/>
      <c r="R26" s="235"/>
      <c r="S26" s="235"/>
      <c r="T26" s="235"/>
      <c r="U26" s="235"/>
      <c r="V26" s="235"/>
      <c r="W26" s="235"/>
      <c r="X26" s="235"/>
      <c r="Y26" s="235"/>
      <c r="Z26" s="235"/>
    </row>
    <row r="27" spans="1:26" ht="12.75" customHeight="1">
      <c r="A27" s="236"/>
      <c r="B27" s="236"/>
      <c r="C27" s="290"/>
      <c r="D27" s="291"/>
      <c r="E27" s="291"/>
      <c r="F27" s="292"/>
      <c r="G27" s="292"/>
      <c r="H27" s="292"/>
      <c r="I27" s="292"/>
      <c r="J27" s="293"/>
      <c r="K27" s="294"/>
      <c r="L27" s="235"/>
      <c r="M27" s="235"/>
      <c r="N27" s="235"/>
      <c r="O27" s="235"/>
      <c r="P27" s="235"/>
      <c r="Q27" s="235"/>
      <c r="R27" s="235"/>
      <c r="S27" s="235"/>
      <c r="T27" s="235"/>
      <c r="U27" s="235"/>
      <c r="V27" s="235"/>
      <c r="W27" s="235"/>
      <c r="X27" s="235"/>
      <c r="Y27" s="235"/>
      <c r="Z27" s="235"/>
    </row>
    <row r="28" spans="1:26" ht="12.75" customHeight="1">
      <c r="A28" s="236"/>
      <c r="B28" s="275">
        <f>+B8</f>
        <v>0</v>
      </c>
      <c r="C28" s="302">
        <v>43464</v>
      </c>
      <c r="D28" s="302">
        <v>43829</v>
      </c>
      <c r="E28" s="303">
        <v>44195</v>
      </c>
      <c r="F28" s="1395" t="s">
        <v>270</v>
      </c>
      <c r="G28" s="1347"/>
      <c r="H28" s="1347"/>
      <c r="I28" s="1347"/>
      <c r="J28" s="275" t="s">
        <v>268</v>
      </c>
      <c r="K28" s="276" t="s">
        <v>216</v>
      </c>
      <c r="L28" s="235"/>
      <c r="M28" s="235"/>
      <c r="N28" s="235"/>
      <c r="O28" s="235"/>
      <c r="P28" s="235"/>
      <c r="Q28" s="235"/>
      <c r="R28" s="235"/>
      <c r="S28" s="235"/>
      <c r="T28" s="235"/>
      <c r="U28" s="235"/>
      <c r="V28" s="235"/>
      <c r="W28" s="235"/>
      <c r="X28" s="235"/>
      <c r="Y28" s="235"/>
      <c r="Z28" s="235"/>
    </row>
    <row r="29" spans="1:26" ht="14.25" customHeight="1">
      <c r="A29" s="236"/>
      <c r="B29" s="277" t="s">
        <v>271</v>
      </c>
      <c r="C29" s="278">
        <v>6289</v>
      </c>
      <c r="D29" s="279">
        <v>6209</v>
      </c>
      <c r="E29" s="280">
        <v>5987</v>
      </c>
      <c r="F29" s="261"/>
      <c r="G29" s="262"/>
      <c r="H29" s="262">
        <f t="shared" ref="H29:I29" si="14">+D29/C29-1</f>
        <v>-1.2720623310542245E-2</v>
      </c>
      <c r="I29" s="262">
        <f t="shared" si="14"/>
        <v>-3.5754549846996331E-2</v>
      </c>
      <c r="J29" s="263" t="e">
        <f>AVERAGE(G29,F29)</f>
        <v>#DIV/0!</v>
      </c>
      <c r="K29" s="281" t="e">
        <f t="shared" ref="K29:K30" si="15">+(E29/#REF!)^(1/3)-1</f>
        <v>#REF!</v>
      </c>
      <c r="L29" s="235"/>
      <c r="M29" s="235"/>
      <c r="N29" s="235"/>
      <c r="O29" s="235"/>
      <c r="P29" s="235"/>
      <c r="Q29" s="235"/>
      <c r="R29" s="235"/>
      <c r="S29" s="235"/>
      <c r="T29" s="235"/>
      <c r="U29" s="235"/>
      <c r="V29" s="235"/>
      <c r="W29" s="235"/>
      <c r="X29" s="235"/>
      <c r="Y29" s="235"/>
      <c r="Z29" s="235"/>
    </row>
    <row r="30" spans="1:26" ht="14.25" customHeight="1">
      <c r="A30" s="236"/>
      <c r="B30" s="282" t="s">
        <v>272</v>
      </c>
      <c r="C30" s="283">
        <v>703</v>
      </c>
      <c r="D30" s="284">
        <v>664</v>
      </c>
      <c r="E30" s="285">
        <v>577</v>
      </c>
      <c r="F30" s="286"/>
      <c r="G30" s="287"/>
      <c r="H30" s="287">
        <f t="shared" ref="H30:I30" si="16">+D30/C30-1</f>
        <v>-5.547652916073964E-2</v>
      </c>
      <c r="I30" s="287">
        <f t="shared" si="16"/>
        <v>-0.13102409638554213</v>
      </c>
      <c r="J30" s="288" t="e">
        <f>AVERAGE(G30)</f>
        <v>#DIV/0!</v>
      </c>
      <c r="K30" s="281" t="e">
        <f t="shared" si="15"/>
        <v>#REF!</v>
      </c>
      <c r="L30" s="235"/>
      <c r="M30" s="235"/>
      <c r="N30" s="235"/>
      <c r="O30" s="235"/>
      <c r="P30" s="235"/>
      <c r="Q30" s="235"/>
      <c r="R30" s="235"/>
      <c r="S30" s="235"/>
      <c r="T30" s="235"/>
      <c r="U30" s="235"/>
      <c r="V30" s="235"/>
      <c r="W30" s="235"/>
      <c r="X30" s="235"/>
      <c r="Y30" s="235"/>
      <c r="Z30" s="235"/>
    </row>
    <row r="31" spans="1:26" ht="14.25" customHeight="1">
      <c r="A31" s="236"/>
      <c r="B31" s="236"/>
      <c r="C31" s="273"/>
      <c r="D31" s="274"/>
      <c r="E31" s="274"/>
      <c r="F31" s="274"/>
      <c r="G31" s="248"/>
      <c r="H31" s="248"/>
      <c r="I31" s="248"/>
      <c r="J31" s="250"/>
      <c r="K31" s="251"/>
      <c r="L31" s="235"/>
      <c r="M31" s="235"/>
      <c r="N31" s="235"/>
      <c r="O31" s="235"/>
      <c r="P31" s="235"/>
      <c r="Q31" s="235"/>
      <c r="R31" s="235"/>
      <c r="S31" s="235"/>
      <c r="T31" s="235"/>
      <c r="U31" s="235"/>
      <c r="V31" s="235"/>
      <c r="W31" s="235"/>
      <c r="X31" s="235"/>
      <c r="Y31" s="235"/>
      <c r="Z31" s="235"/>
    </row>
    <row r="32" spans="1:26" ht="14.25" customHeight="1">
      <c r="A32" s="235"/>
      <c r="B32" s="236" t="s">
        <v>275</v>
      </c>
      <c r="C32" s="236"/>
      <c r="D32" s="236"/>
      <c r="E32" s="236"/>
      <c r="F32" s="236"/>
      <c r="G32" s="1396" t="s">
        <v>276</v>
      </c>
      <c r="H32" s="1360"/>
      <c r="I32" s="1360"/>
      <c r="J32" s="299">
        <f t="shared" ref="J32:K32" si="17">AVERAGE(J13,J17)</f>
        <v>-0.11221045047218831</v>
      </c>
      <c r="K32" s="299" t="e">
        <f t="shared" si="17"/>
        <v>#REF!</v>
      </c>
      <c r="L32" s="235"/>
      <c r="M32" s="235"/>
      <c r="N32" s="235"/>
      <c r="O32" s="235"/>
      <c r="P32" s="235"/>
      <c r="Q32" s="235"/>
      <c r="R32" s="235"/>
      <c r="S32" s="235"/>
      <c r="T32" s="235"/>
      <c r="U32" s="235"/>
      <c r="V32" s="235"/>
      <c r="W32" s="235"/>
      <c r="X32" s="235"/>
      <c r="Y32" s="235"/>
      <c r="Z32" s="235"/>
    </row>
    <row r="33" spans="1:26" ht="12.75" customHeight="1">
      <c r="A33" s="235"/>
      <c r="B33" s="235"/>
      <c r="C33" s="235"/>
      <c r="D33" s="235"/>
      <c r="E33" s="235"/>
      <c r="F33" s="235"/>
      <c r="G33" s="1396" t="s">
        <v>276</v>
      </c>
      <c r="H33" s="1360"/>
      <c r="I33" s="1360"/>
      <c r="J33" s="299">
        <f t="shared" ref="J33:K33" si="18">AVERAGE(J14,J18)</f>
        <v>-0.65218093795564269</v>
      </c>
      <c r="K33" s="299" t="e">
        <f t="shared" si="18"/>
        <v>#REF!</v>
      </c>
      <c r="L33" s="235"/>
      <c r="M33" s="235"/>
      <c r="N33" s="235"/>
      <c r="O33" s="235"/>
      <c r="P33" s="235"/>
      <c r="Q33" s="235"/>
      <c r="R33" s="235"/>
      <c r="S33" s="235"/>
      <c r="T33" s="235"/>
      <c r="U33" s="235"/>
      <c r="V33" s="235"/>
      <c r="W33" s="235"/>
      <c r="X33" s="235"/>
      <c r="Y33" s="235"/>
      <c r="Z33" s="235"/>
    </row>
    <row r="34" spans="1:26" ht="12.75" customHeight="1">
      <c r="A34" s="235"/>
      <c r="B34" s="235"/>
      <c r="C34" s="235"/>
      <c r="D34" s="235"/>
      <c r="E34" s="235"/>
      <c r="F34" s="235"/>
      <c r="G34" s="300"/>
      <c r="H34" s="300"/>
      <c r="I34" s="300"/>
      <c r="J34" s="250"/>
      <c r="K34" s="250"/>
      <c r="L34" s="235"/>
      <c r="M34" s="235"/>
      <c r="N34" s="235"/>
      <c r="O34" s="235"/>
      <c r="P34" s="235"/>
      <c r="Q34" s="235"/>
      <c r="R34" s="235"/>
      <c r="S34" s="235"/>
      <c r="T34" s="235"/>
      <c r="U34" s="235"/>
      <c r="V34" s="235"/>
      <c r="W34" s="235"/>
      <c r="X34" s="235"/>
      <c r="Y34" s="235"/>
      <c r="Z34" s="235"/>
    </row>
    <row r="35" spans="1:26" ht="12.75" customHeight="1">
      <c r="A35" s="235"/>
      <c r="B35" s="235"/>
      <c r="C35" s="235"/>
      <c r="D35" s="235"/>
      <c r="E35" s="235"/>
      <c r="F35" s="235"/>
      <c r="G35" s="300"/>
      <c r="H35" s="300"/>
      <c r="I35" s="300"/>
      <c r="J35" s="250"/>
      <c r="K35" s="250"/>
      <c r="L35" s="235"/>
      <c r="M35" s="235"/>
      <c r="N35" s="235"/>
      <c r="O35" s="235"/>
      <c r="P35" s="235"/>
      <c r="Q35" s="235"/>
      <c r="R35" s="235"/>
      <c r="S35" s="235"/>
      <c r="T35" s="235"/>
      <c r="U35" s="235"/>
      <c r="V35" s="235"/>
      <c r="W35" s="235"/>
      <c r="X35" s="235"/>
      <c r="Y35" s="235"/>
      <c r="Z35" s="235"/>
    </row>
    <row r="36" spans="1:26" ht="12.75" customHeight="1">
      <c r="A36" s="235"/>
      <c r="B36" s="235"/>
      <c r="C36" s="235"/>
      <c r="D36" s="235"/>
      <c r="E36" s="235"/>
      <c r="F36" s="235"/>
      <c r="G36" s="300"/>
      <c r="H36" s="300"/>
      <c r="I36" s="300"/>
      <c r="J36" s="250"/>
      <c r="K36" s="250"/>
      <c r="L36" s="235"/>
      <c r="M36" s="235"/>
      <c r="N36" s="235"/>
      <c r="O36" s="235"/>
      <c r="P36" s="235"/>
      <c r="Q36" s="235"/>
      <c r="R36" s="235"/>
      <c r="S36" s="235"/>
      <c r="T36" s="235"/>
      <c r="U36" s="235"/>
      <c r="V36" s="235"/>
      <c r="W36" s="235"/>
      <c r="X36" s="235"/>
      <c r="Y36" s="235"/>
      <c r="Z36" s="235"/>
    </row>
    <row r="37" spans="1:26" ht="12.75" customHeight="1">
      <c r="A37" s="235"/>
      <c r="B37" s="235"/>
      <c r="C37" s="235"/>
      <c r="D37" s="235"/>
      <c r="E37" s="235"/>
      <c r="F37" s="235"/>
      <c r="G37" s="300"/>
      <c r="H37" s="300"/>
      <c r="I37" s="300"/>
      <c r="J37" s="250"/>
      <c r="K37" s="250"/>
      <c r="L37" s="235"/>
      <c r="M37" s="235"/>
      <c r="N37" s="235"/>
      <c r="O37" s="235"/>
      <c r="P37" s="235"/>
      <c r="Q37" s="235"/>
      <c r="R37" s="235"/>
      <c r="S37" s="235"/>
      <c r="T37" s="235"/>
      <c r="U37" s="235"/>
      <c r="V37" s="235"/>
      <c r="W37" s="235"/>
      <c r="X37" s="235"/>
      <c r="Y37" s="235"/>
      <c r="Z37" s="235"/>
    </row>
    <row r="38" spans="1:26" ht="12.75" customHeight="1">
      <c r="A38" s="301" t="s">
        <v>269</v>
      </c>
      <c r="B38" s="275" t="str">
        <f>+B12</f>
        <v>M2CROWD, S.A. DE C.V.</v>
      </c>
      <c r="C38" s="302">
        <v>43464</v>
      </c>
      <c r="D38" s="302">
        <v>43829</v>
      </c>
      <c r="E38" s="303">
        <v>44195</v>
      </c>
      <c r="F38" s="1395" t="s">
        <v>270</v>
      </c>
      <c r="G38" s="1347"/>
      <c r="H38" s="1347"/>
      <c r="I38" s="1347"/>
      <c r="J38" s="275" t="s">
        <v>268</v>
      </c>
      <c r="K38" s="276" t="s">
        <v>216</v>
      </c>
      <c r="L38" s="235"/>
      <c r="M38" s="235"/>
      <c r="N38" s="235"/>
      <c r="O38" s="235"/>
      <c r="P38" s="235"/>
      <c r="Q38" s="235"/>
      <c r="R38" s="235"/>
      <c r="S38" s="235"/>
      <c r="T38" s="235"/>
      <c r="U38" s="235"/>
      <c r="V38" s="235"/>
      <c r="W38" s="235"/>
      <c r="X38" s="235"/>
      <c r="Y38" s="235"/>
      <c r="Z38" s="235"/>
    </row>
    <row r="39" spans="1:26" ht="12.75" customHeight="1">
      <c r="A39" s="301"/>
      <c r="B39" s="277" t="s">
        <v>277</v>
      </c>
      <c r="C39" s="278"/>
      <c r="D39" s="279"/>
      <c r="E39" s="280"/>
      <c r="F39" s="261" t="e">
        <f t="shared" ref="F39:F40" si="19">+#REF!/#REF!-1</f>
        <v>#REF!</v>
      </c>
      <c r="G39" s="262" t="e">
        <f t="shared" ref="G39:G40" si="20">+C39/#REF!-1</f>
        <v>#REF!</v>
      </c>
      <c r="H39" s="262" t="e">
        <f t="shared" ref="H39:H40" si="21">+D39/C39-1</f>
        <v>#DIV/0!</v>
      </c>
      <c r="I39" s="262"/>
      <c r="J39" s="263" t="e">
        <f>AVERAGE(F39:I39)</f>
        <v>#REF!</v>
      </c>
      <c r="K39" s="281" t="e">
        <f t="shared" ref="K39:K40" si="22">+(D39/#REF!)^(1/3)-1</f>
        <v>#REF!</v>
      </c>
      <c r="L39" s="235"/>
      <c r="M39" s="235"/>
      <c r="N39" s="235"/>
      <c r="O39" s="235"/>
      <c r="P39" s="235"/>
      <c r="Q39" s="235"/>
      <c r="R39" s="235"/>
      <c r="S39" s="235"/>
      <c r="T39" s="235"/>
      <c r="U39" s="235"/>
      <c r="V39" s="235"/>
      <c r="W39" s="235"/>
      <c r="X39" s="235"/>
      <c r="Y39" s="235"/>
      <c r="Z39" s="235"/>
    </row>
    <row r="40" spans="1:26" ht="12.75" customHeight="1">
      <c r="A40" s="301"/>
      <c r="B40" s="282" t="s">
        <v>278</v>
      </c>
      <c r="C40" s="283"/>
      <c r="D40" s="284"/>
      <c r="E40" s="285"/>
      <c r="F40" s="286" t="e">
        <f t="shared" si="19"/>
        <v>#REF!</v>
      </c>
      <c r="G40" s="287" t="e">
        <f t="shared" si="20"/>
        <v>#REF!</v>
      </c>
      <c r="H40" s="287" t="e">
        <f t="shared" si="21"/>
        <v>#DIV/0!</v>
      </c>
      <c r="I40" s="287"/>
      <c r="J40" s="288" t="e">
        <f>AVERAGE(F40:H40)</f>
        <v>#REF!</v>
      </c>
      <c r="K40" s="281" t="e">
        <f t="shared" si="22"/>
        <v>#REF!</v>
      </c>
      <c r="L40" s="235"/>
      <c r="M40" s="235"/>
      <c r="N40" s="235"/>
      <c r="O40" s="235"/>
      <c r="P40" s="235"/>
      <c r="Q40" s="235"/>
      <c r="R40" s="235"/>
      <c r="S40" s="235"/>
      <c r="T40" s="235"/>
      <c r="U40" s="235"/>
      <c r="V40" s="235"/>
      <c r="W40" s="235"/>
      <c r="X40" s="235"/>
      <c r="Y40" s="235"/>
      <c r="Z40" s="235"/>
    </row>
    <row r="41" spans="1:26" ht="12.75" customHeight="1">
      <c r="A41" s="301"/>
      <c r="B41" s="236"/>
      <c r="C41" s="273"/>
      <c r="D41" s="274"/>
      <c r="E41" s="274"/>
      <c r="F41" s="274"/>
      <c r="G41" s="248"/>
      <c r="H41" s="248"/>
      <c r="I41" s="248"/>
      <c r="J41" s="250"/>
      <c r="K41" s="251"/>
      <c r="L41" s="235"/>
      <c r="M41" s="235"/>
      <c r="N41" s="235"/>
      <c r="O41" s="235"/>
      <c r="P41" s="235"/>
      <c r="Q41" s="235"/>
      <c r="R41" s="235"/>
      <c r="S41" s="235"/>
      <c r="T41" s="235"/>
      <c r="U41" s="235"/>
      <c r="V41" s="235"/>
      <c r="W41" s="235"/>
      <c r="X41" s="235"/>
      <c r="Y41" s="235"/>
      <c r="Z41" s="235"/>
    </row>
    <row r="42" spans="1:26" ht="12.75" customHeight="1">
      <c r="A42" s="301"/>
      <c r="B42" s="236"/>
      <c r="C42" s="273"/>
      <c r="D42" s="274"/>
      <c r="E42" s="274"/>
      <c r="F42" s="274"/>
      <c r="G42" s="248"/>
      <c r="H42" s="248"/>
      <c r="I42" s="248"/>
      <c r="J42" s="250"/>
      <c r="K42" s="251"/>
      <c r="L42" s="235"/>
      <c r="M42" s="235"/>
      <c r="N42" s="235"/>
      <c r="O42" s="235"/>
      <c r="P42" s="235"/>
      <c r="Q42" s="235"/>
      <c r="R42" s="235"/>
      <c r="S42" s="235"/>
      <c r="T42" s="235"/>
      <c r="U42" s="235"/>
      <c r="V42" s="235"/>
      <c r="W42" s="235"/>
      <c r="X42" s="235"/>
      <c r="Y42" s="235"/>
      <c r="Z42" s="235"/>
    </row>
    <row r="43" spans="1:26" ht="12.75" customHeight="1">
      <c r="A43" s="301"/>
      <c r="B43" s="275"/>
      <c r="C43" s="302">
        <v>43464</v>
      </c>
      <c r="D43" s="302">
        <v>43829</v>
      </c>
      <c r="E43" s="303">
        <v>44195</v>
      </c>
      <c r="F43" s="1395" t="s">
        <v>270</v>
      </c>
      <c r="G43" s="1347"/>
      <c r="H43" s="1347"/>
      <c r="I43" s="1347"/>
      <c r="J43" s="275" t="s">
        <v>268</v>
      </c>
      <c r="K43" s="276" t="s">
        <v>216</v>
      </c>
      <c r="L43" s="235"/>
      <c r="M43" s="235"/>
      <c r="N43" s="235"/>
      <c r="O43" s="235"/>
      <c r="P43" s="235"/>
      <c r="Q43" s="235"/>
      <c r="R43" s="235"/>
      <c r="S43" s="235"/>
      <c r="T43" s="235"/>
      <c r="U43" s="235"/>
      <c r="V43" s="235"/>
      <c r="W43" s="235"/>
      <c r="X43" s="235"/>
      <c r="Y43" s="235"/>
      <c r="Z43" s="235"/>
    </row>
    <row r="44" spans="1:26" ht="12.75" customHeight="1">
      <c r="A44" s="301"/>
      <c r="B44" s="277" t="s">
        <v>277</v>
      </c>
      <c r="C44" s="278"/>
      <c r="D44" s="279"/>
      <c r="E44" s="280"/>
      <c r="F44" s="261" t="e">
        <f t="shared" ref="F44:F45" si="23">+#REF!/#REF!-1</f>
        <v>#REF!</v>
      </c>
      <c r="G44" s="262" t="e">
        <f t="shared" ref="G44:G45" si="24">+C44/#REF!-1</f>
        <v>#REF!</v>
      </c>
      <c r="H44" s="262" t="e">
        <f t="shared" ref="H44:H45" si="25">+D44/C44-1</f>
        <v>#DIV/0!</v>
      </c>
      <c r="I44" s="262"/>
      <c r="J44" s="263" t="e">
        <f>AVERAGE(F44:I44)</f>
        <v>#REF!</v>
      </c>
      <c r="K44" s="281" t="e">
        <f t="shared" ref="K44:K45" si="26">+(D44/#REF!)^(1/3)-1</f>
        <v>#REF!</v>
      </c>
      <c r="L44" s="235"/>
      <c r="M44" s="235"/>
      <c r="N44" s="235"/>
      <c r="O44" s="235"/>
      <c r="P44" s="235"/>
      <c r="Q44" s="235"/>
      <c r="R44" s="235"/>
      <c r="S44" s="235"/>
      <c r="T44" s="235"/>
      <c r="U44" s="235"/>
      <c r="V44" s="235"/>
      <c r="W44" s="235"/>
      <c r="X44" s="235"/>
      <c r="Y44" s="235"/>
      <c r="Z44" s="235"/>
    </row>
    <row r="45" spans="1:26" ht="12.75" customHeight="1">
      <c r="A45" s="301"/>
      <c r="B45" s="282" t="s">
        <v>278</v>
      </c>
      <c r="C45" s="283"/>
      <c r="D45" s="284"/>
      <c r="E45" s="285"/>
      <c r="F45" s="286" t="e">
        <f t="shared" si="23"/>
        <v>#REF!</v>
      </c>
      <c r="G45" s="287" t="e">
        <f t="shared" si="24"/>
        <v>#REF!</v>
      </c>
      <c r="H45" s="287" t="e">
        <f t="shared" si="25"/>
        <v>#DIV/0!</v>
      </c>
      <c r="I45" s="287"/>
      <c r="J45" s="288" t="e">
        <f>AVERAGE(F45:H45)</f>
        <v>#REF!</v>
      </c>
      <c r="K45" s="281" t="e">
        <f t="shared" si="26"/>
        <v>#REF!</v>
      </c>
      <c r="L45" s="235"/>
      <c r="M45" s="235"/>
      <c r="N45" s="235"/>
      <c r="O45" s="235"/>
      <c r="P45" s="235"/>
      <c r="Q45" s="235"/>
      <c r="R45" s="235"/>
      <c r="S45" s="235"/>
      <c r="T45" s="235"/>
      <c r="U45" s="235"/>
      <c r="V45" s="235"/>
      <c r="W45" s="235"/>
      <c r="X45" s="235"/>
      <c r="Y45" s="235"/>
      <c r="Z45" s="235"/>
    </row>
    <row r="46" spans="1:26" ht="12.75" customHeight="1">
      <c r="A46" s="301"/>
      <c r="B46" s="236"/>
      <c r="C46" s="273"/>
      <c r="D46" s="274"/>
      <c r="E46" s="274"/>
      <c r="F46" s="274"/>
      <c r="G46" s="248"/>
      <c r="H46" s="248"/>
      <c r="I46" s="248"/>
      <c r="J46" s="250"/>
      <c r="K46" s="251"/>
      <c r="L46" s="235"/>
      <c r="M46" s="235"/>
      <c r="N46" s="235"/>
      <c r="O46" s="235"/>
      <c r="P46" s="235"/>
      <c r="Q46" s="235"/>
      <c r="R46" s="235"/>
      <c r="S46" s="235"/>
      <c r="T46" s="235"/>
      <c r="U46" s="235"/>
      <c r="V46" s="235"/>
      <c r="W46" s="235"/>
      <c r="X46" s="235"/>
      <c r="Y46" s="235"/>
      <c r="Z46" s="235"/>
    </row>
    <row r="47" spans="1:26" ht="12.75" customHeight="1">
      <c r="A47" s="301"/>
      <c r="B47" s="236" t="s">
        <v>275</v>
      </c>
      <c r="C47" s="236"/>
      <c r="D47" s="236"/>
      <c r="E47" s="236"/>
      <c r="F47" s="236"/>
      <c r="G47" s="1396" t="s">
        <v>276</v>
      </c>
      <c r="H47" s="1360"/>
      <c r="I47" s="1360"/>
      <c r="J47" s="299" t="e">
        <f t="shared" ref="J47:K47" si="27">AVERAGE(J39,J44)</f>
        <v>#REF!</v>
      </c>
      <c r="K47" s="299" t="e">
        <f t="shared" si="27"/>
        <v>#REF!</v>
      </c>
      <c r="L47" s="235"/>
      <c r="M47" s="235"/>
      <c r="N47" s="235"/>
      <c r="O47" s="235"/>
      <c r="P47" s="235"/>
      <c r="Q47" s="235"/>
      <c r="R47" s="235"/>
      <c r="S47" s="235"/>
      <c r="T47" s="235"/>
      <c r="U47" s="235"/>
      <c r="V47" s="235"/>
      <c r="W47" s="235"/>
      <c r="X47" s="235"/>
      <c r="Y47" s="235"/>
      <c r="Z47" s="235"/>
    </row>
    <row r="48" spans="1:26" ht="12.75" customHeight="1">
      <c r="A48" s="235"/>
      <c r="B48" s="235"/>
      <c r="C48" s="235"/>
      <c r="D48" s="235"/>
      <c r="E48" s="235"/>
      <c r="F48" s="235"/>
      <c r="G48" s="1396" t="s">
        <v>276</v>
      </c>
      <c r="H48" s="1360"/>
      <c r="I48" s="1360"/>
      <c r="J48" s="299" t="e">
        <f t="shared" ref="J48:K48" si="28">AVERAGE(J40,J44)</f>
        <v>#REF!</v>
      </c>
      <c r="K48" s="299" t="e">
        <f t="shared" si="28"/>
        <v>#REF!</v>
      </c>
      <c r="L48" s="235"/>
      <c r="M48" s="235"/>
      <c r="N48" s="235"/>
      <c r="O48" s="235"/>
      <c r="P48" s="235"/>
      <c r="Q48" s="235"/>
      <c r="R48" s="235"/>
      <c r="S48" s="235"/>
      <c r="T48" s="235"/>
      <c r="U48" s="235"/>
      <c r="V48" s="235"/>
      <c r="W48" s="235"/>
      <c r="X48" s="235"/>
      <c r="Y48" s="235"/>
      <c r="Z48" s="235"/>
    </row>
    <row r="49" spans="1:26" ht="12.75" customHeight="1">
      <c r="A49" s="235"/>
      <c r="B49" s="235"/>
      <c r="C49" s="235"/>
      <c r="D49" s="235"/>
      <c r="E49" s="235"/>
      <c r="F49" s="235"/>
      <c r="G49" s="300"/>
      <c r="H49" s="300"/>
      <c r="I49" s="300"/>
      <c r="J49" s="250"/>
      <c r="K49" s="250"/>
      <c r="L49" s="235"/>
      <c r="M49" s="235"/>
      <c r="N49" s="235"/>
      <c r="O49" s="235"/>
      <c r="P49" s="235"/>
      <c r="Q49" s="235"/>
      <c r="R49" s="235"/>
      <c r="S49" s="235"/>
      <c r="T49" s="235"/>
      <c r="U49" s="235"/>
      <c r="V49" s="235"/>
      <c r="W49" s="235"/>
      <c r="X49" s="235"/>
      <c r="Y49" s="235"/>
      <c r="Z49" s="235"/>
    </row>
    <row r="50" spans="1:26" ht="12.75" customHeight="1">
      <c r="A50" s="235"/>
      <c r="B50" s="235"/>
      <c r="C50" s="235"/>
      <c r="D50" s="235"/>
      <c r="E50" s="235"/>
      <c r="F50" s="235"/>
      <c r="G50" s="300"/>
      <c r="H50" s="300"/>
      <c r="I50" s="300"/>
      <c r="J50" s="250"/>
      <c r="K50" s="250"/>
      <c r="L50" s="235"/>
      <c r="M50" s="235"/>
      <c r="N50" s="235"/>
      <c r="O50" s="235"/>
      <c r="P50" s="235"/>
      <c r="Q50" s="235"/>
      <c r="R50" s="235"/>
      <c r="S50" s="235"/>
      <c r="T50" s="235"/>
      <c r="U50" s="235"/>
      <c r="V50" s="235"/>
      <c r="W50" s="235"/>
      <c r="X50" s="235"/>
      <c r="Y50" s="235"/>
      <c r="Z50" s="235"/>
    </row>
    <row r="51" spans="1:26" ht="12.75" customHeight="1">
      <c r="A51" s="235"/>
      <c r="B51" s="308" t="s">
        <v>279</v>
      </c>
      <c r="C51" s="235"/>
      <c r="D51" s="235"/>
      <c r="E51" s="235"/>
      <c r="F51" s="235"/>
      <c r="G51" s="235"/>
      <c r="H51" s="235"/>
      <c r="I51" s="235"/>
      <c r="J51" s="235"/>
      <c r="K51" s="235"/>
      <c r="L51" s="235"/>
      <c r="M51" s="235"/>
      <c r="N51" s="235"/>
      <c r="O51" s="235"/>
      <c r="P51" s="235"/>
      <c r="Q51" s="235"/>
      <c r="R51" s="235"/>
      <c r="S51" s="235"/>
      <c r="T51" s="235"/>
      <c r="U51" s="235"/>
      <c r="V51" s="235"/>
      <c r="W51" s="235"/>
      <c r="X51" s="235"/>
      <c r="Y51" s="235"/>
      <c r="Z51" s="235"/>
    </row>
    <row r="52" spans="1:26" ht="12.75" customHeight="1">
      <c r="A52" s="235"/>
      <c r="B52" s="235"/>
      <c r="C52" s="235"/>
      <c r="D52" s="235"/>
      <c r="E52" s="235"/>
      <c r="F52" s="235"/>
      <c r="G52" s="235"/>
      <c r="H52" s="235"/>
      <c r="I52" s="235"/>
      <c r="J52" s="235"/>
      <c r="K52" s="235"/>
      <c r="L52" s="235"/>
      <c r="M52" s="235"/>
      <c r="N52" s="235"/>
      <c r="O52" s="235"/>
      <c r="P52" s="235"/>
      <c r="Q52" s="235"/>
      <c r="R52" s="235"/>
      <c r="S52" s="235"/>
      <c r="T52" s="235"/>
      <c r="U52" s="235"/>
      <c r="V52" s="235"/>
      <c r="W52" s="235"/>
      <c r="X52" s="235"/>
      <c r="Y52" s="235"/>
      <c r="Z52" s="235"/>
    </row>
    <row r="53" spans="1:26" ht="12.75" customHeight="1">
      <c r="A53" s="235"/>
      <c r="B53" s="235"/>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row>
    <row r="54" spans="1:26" ht="12.75" customHeight="1">
      <c r="A54" s="235" t="s">
        <v>269</v>
      </c>
      <c r="B54" s="309" t="str">
        <f>+B12</f>
        <v>M2CROWD, S.A. DE C.V.</v>
      </c>
      <c r="C54" s="302">
        <v>43465</v>
      </c>
      <c r="D54" s="302">
        <v>43830</v>
      </c>
      <c r="E54" s="303">
        <v>44196</v>
      </c>
      <c r="F54" s="310" t="s">
        <v>280</v>
      </c>
      <c r="G54" s="235"/>
      <c r="H54" s="235"/>
      <c r="I54" s="235"/>
      <c r="J54" s="235"/>
      <c r="K54" s="235"/>
      <c r="L54" s="235"/>
      <c r="M54" s="235"/>
      <c r="N54" s="235"/>
      <c r="O54" s="235"/>
      <c r="P54" s="235"/>
      <c r="Q54" s="235"/>
      <c r="R54" s="235"/>
      <c r="S54" s="235"/>
      <c r="T54" s="235"/>
      <c r="U54" s="235"/>
      <c r="V54" s="235"/>
      <c r="W54" s="235"/>
      <c r="X54" s="235"/>
      <c r="Y54" s="235"/>
      <c r="Z54" s="235"/>
    </row>
    <row r="55" spans="1:26" ht="12.75" customHeight="1">
      <c r="A55" s="235"/>
      <c r="B55" s="311" t="s">
        <v>277</v>
      </c>
      <c r="C55" s="312">
        <f t="shared" ref="C55:E55" si="29">+C13/C13</f>
        <v>1</v>
      </c>
      <c r="D55" s="312">
        <f t="shared" si="29"/>
        <v>1</v>
      </c>
      <c r="E55" s="313">
        <f t="shared" si="29"/>
        <v>1</v>
      </c>
      <c r="F55" s="313">
        <f>AVERAGE(C55:E55)</f>
        <v>1</v>
      </c>
      <c r="G55" s="235"/>
      <c r="H55" s="235"/>
      <c r="I55" s="235"/>
      <c r="J55" s="235"/>
      <c r="K55" s="235"/>
      <c r="L55" s="235"/>
      <c r="M55" s="235"/>
      <c r="N55" s="235"/>
      <c r="O55" s="235"/>
      <c r="P55" s="235"/>
      <c r="Q55" s="235"/>
      <c r="R55" s="235"/>
      <c r="S55" s="235"/>
      <c r="T55" s="235"/>
      <c r="U55" s="235"/>
      <c r="V55" s="235"/>
      <c r="W55" s="235"/>
      <c r="X55" s="235"/>
      <c r="Y55" s="235"/>
      <c r="Z55" s="235"/>
    </row>
    <row r="56" spans="1:26" ht="12.75" customHeight="1">
      <c r="A56" s="235"/>
      <c r="B56" s="314" t="s">
        <v>278</v>
      </c>
      <c r="C56" s="315">
        <f t="shared" ref="C56:E56" si="30">+C14/C13</f>
        <v>1.0249051233396584</v>
      </c>
      <c r="D56" s="315">
        <f t="shared" si="30"/>
        <v>1.008148191570432</v>
      </c>
      <c r="E56" s="316">
        <f t="shared" si="30"/>
        <v>-6.083733100741387E-2</v>
      </c>
      <c r="F56" s="316">
        <f>AVERAGE(C56:D56)</f>
        <v>1.0165266574550453</v>
      </c>
      <c r="G56" s="235"/>
      <c r="H56" s="235"/>
      <c r="I56" s="235"/>
      <c r="J56" s="235"/>
      <c r="K56" s="235"/>
      <c r="L56" s="235"/>
      <c r="M56" s="235"/>
      <c r="N56" s="235"/>
      <c r="O56" s="235"/>
      <c r="P56" s="235"/>
      <c r="Q56" s="235"/>
      <c r="R56" s="235"/>
      <c r="S56" s="235"/>
      <c r="T56" s="235"/>
      <c r="U56" s="235"/>
      <c r="V56" s="235"/>
      <c r="W56" s="235"/>
      <c r="X56" s="235"/>
      <c r="Y56" s="235"/>
      <c r="Z56" s="235"/>
    </row>
    <row r="57" spans="1:26" ht="12.75" customHeight="1">
      <c r="A57" s="235"/>
      <c r="B57" s="235"/>
      <c r="C57" s="273"/>
      <c r="D57" s="274"/>
      <c r="E57" s="274"/>
      <c r="F57" s="235"/>
      <c r="G57" s="235"/>
      <c r="H57" s="235"/>
      <c r="I57" s="235"/>
      <c r="J57" s="235"/>
      <c r="K57" s="235"/>
      <c r="L57" s="235"/>
      <c r="M57" s="235"/>
      <c r="N57" s="235"/>
      <c r="O57" s="235"/>
      <c r="P57" s="235"/>
      <c r="Q57" s="235"/>
      <c r="R57" s="235"/>
      <c r="S57" s="235"/>
      <c r="T57" s="235"/>
      <c r="U57" s="235"/>
      <c r="V57" s="235"/>
      <c r="W57" s="235"/>
      <c r="X57" s="235"/>
      <c r="Y57" s="235"/>
      <c r="Z57" s="235"/>
    </row>
    <row r="58" spans="1:26" ht="12.75" customHeight="1">
      <c r="A58" s="235"/>
      <c r="B58" s="235"/>
      <c r="C58" s="235"/>
      <c r="D58" s="235"/>
      <c r="E58" s="235"/>
      <c r="F58" s="235"/>
      <c r="G58" s="235"/>
      <c r="H58" s="235"/>
      <c r="I58" s="235"/>
      <c r="J58" s="235"/>
      <c r="K58" s="235"/>
      <c r="L58" s="235"/>
      <c r="M58" s="235"/>
      <c r="N58" s="235"/>
      <c r="O58" s="235"/>
      <c r="P58" s="235"/>
      <c r="Q58" s="235"/>
      <c r="R58" s="235"/>
      <c r="S58" s="235"/>
      <c r="T58" s="235"/>
      <c r="U58" s="235"/>
      <c r="V58" s="235"/>
      <c r="W58" s="235"/>
      <c r="X58" s="235"/>
      <c r="Y58" s="235"/>
      <c r="Z58" s="235"/>
    </row>
    <row r="59" spans="1:26" ht="12.75" customHeight="1">
      <c r="A59" s="235" t="s">
        <v>269</v>
      </c>
      <c r="B59" s="317">
        <f>+B16</f>
        <v>0</v>
      </c>
      <c r="C59" s="302">
        <v>43465</v>
      </c>
      <c r="D59" s="302">
        <v>43830</v>
      </c>
      <c r="E59" s="303">
        <v>44196</v>
      </c>
      <c r="F59" s="310" t="s">
        <v>281</v>
      </c>
      <c r="G59" s="235"/>
      <c r="H59" s="235"/>
      <c r="I59" s="235"/>
      <c r="J59" s="235"/>
      <c r="K59" s="235"/>
      <c r="L59" s="235"/>
      <c r="M59" s="235"/>
      <c r="N59" s="235"/>
      <c r="O59" s="235"/>
      <c r="P59" s="235"/>
      <c r="Q59" s="235"/>
      <c r="R59" s="235"/>
      <c r="S59" s="235"/>
      <c r="T59" s="235"/>
      <c r="U59" s="235"/>
      <c r="V59" s="235"/>
      <c r="W59" s="235"/>
      <c r="X59" s="235"/>
      <c r="Y59" s="235"/>
      <c r="Z59" s="235"/>
    </row>
    <row r="60" spans="1:26" ht="12.75" customHeight="1">
      <c r="A60" s="235"/>
      <c r="B60" s="311" t="s">
        <v>277</v>
      </c>
      <c r="C60" s="312">
        <f t="shared" ref="C60:E60" si="31">+C17/C17</f>
        <v>1</v>
      </c>
      <c r="D60" s="312">
        <f t="shared" si="31"/>
        <v>1</v>
      </c>
      <c r="E60" s="312">
        <f t="shared" si="31"/>
        <v>1</v>
      </c>
      <c r="F60" s="313">
        <v>1</v>
      </c>
      <c r="G60" s="235"/>
      <c r="H60" s="235"/>
      <c r="I60" s="235"/>
      <c r="J60" s="235"/>
      <c r="K60" s="235"/>
      <c r="L60" s="235"/>
      <c r="M60" s="235"/>
      <c r="N60" s="235"/>
      <c r="O60" s="235"/>
      <c r="P60" s="235"/>
      <c r="Q60" s="235"/>
      <c r="R60" s="235"/>
      <c r="S60" s="235"/>
      <c r="T60" s="235"/>
      <c r="U60" s="235"/>
      <c r="V60" s="235"/>
      <c r="W60" s="235"/>
      <c r="X60" s="235"/>
      <c r="Y60" s="235"/>
      <c r="Z60" s="235"/>
    </row>
    <row r="61" spans="1:26" ht="12.75" customHeight="1">
      <c r="A61" s="235"/>
      <c r="B61" s="314" t="s">
        <v>278</v>
      </c>
      <c r="C61" s="315">
        <f t="shared" ref="C61:E61" si="32">+C18/C17</f>
        <v>5.2288280581693755E-2</v>
      </c>
      <c r="D61" s="315">
        <f t="shared" si="32"/>
        <v>3.8500674674276113E-2</v>
      </c>
      <c r="E61" s="315">
        <f t="shared" si="32"/>
        <v>6.5543132561723338E-2</v>
      </c>
      <c r="F61" s="316">
        <f>AVERAGE(C61:D61)</f>
        <v>4.539447762798493E-2</v>
      </c>
      <c r="G61" s="235"/>
      <c r="H61" s="235"/>
      <c r="I61" s="235"/>
      <c r="J61" s="235"/>
      <c r="K61" s="235"/>
      <c r="L61" s="235"/>
      <c r="M61" s="235"/>
      <c r="N61" s="235"/>
      <c r="O61" s="235"/>
      <c r="P61" s="235"/>
      <c r="Q61" s="235"/>
      <c r="R61" s="235"/>
      <c r="S61" s="235"/>
      <c r="T61" s="235"/>
      <c r="U61" s="235"/>
      <c r="V61" s="235"/>
      <c r="W61" s="235"/>
      <c r="X61" s="235"/>
      <c r="Y61" s="235"/>
      <c r="Z61" s="235"/>
    </row>
    <row r="62" spans="1:26" ht="12.75" customHeight="1">
      <c r="A62" s="235"/>
      <c r="B62" s="235"/>
      <c r="C62" s="235"/>
      <c r="D62" s="235"/>
      <c r="E62" s="235"/>
      <c r="F62" s="235"/>
      <c r="G62" s="235"/>
      <c r="H62" s="235"/>
      <c r="I62" s="235"/>
      <c r="J62" s="235"/>
      <c r="K62" s="235"/>
      <c r="L62" s="235"/>
      <c r="M62" s="235"/>
      <c r="N62" s="235"/>
      <c r="O62" s="235"/>
      <c r="P62" s="235"/>
      <c r="Q62" s="235"/>
      <c r="R62" s="235"/>
      <c r="S62" s="235"/>
      <c r="T62" s="235"/>
      <c r="U62" s="235"/>
      <c r="V62" s="235"/>
      <c r="W62" s="235"/>
      <c r="X62" s="235"/>
      <c r="Y62" s="235"/>
      <c r="Z62" s="235"/>
    </row>
    <row r="63" spans="1:26" ht="12.75" customHeight="1">
      <c r="A63" s="235"/>
      <c r="B63" s="235"/>
      <c r="C63" s="235"/>
      <c r="D63" s="1391" t="s">
        <v>282</v>
      </c>
      <c r="E63" s="1334"/>
      <c r="F63" s="318">
        <f>+AVERAGE(F56,F61)</f>
        <v>0.5309605675415151</v>
      </c>
      <c r="G63" s="235"/>
      <c r="H63" s="235"/>
      <c r="I63" s="235"/>
      <c r="J63" s="235"/>
      <c r="K63" s="235"/>
      <c r="L63" s="235"/>
      <c r="M63" s="235"/>
      <c r="N63" s="235"/>
      <c r="O63" s="235"/>
      <c r="P63" s="235"/>
      <c r="Q63" s="235"/>
      <c r="R63" s="235"/>
      <c r="S63" s="235"/>
      <c r="T63" s="235"/>
      <c r="U63" s="235"/>
      <c r="V63" s="235"/>
      <c r="W63" s="235"/>
      <c r="X63" s="235"/>
      <c r="Y63" s="235"/>
      <c r="Z63" s="235"/>
    </row>
    <row r="64" spans="1:26" ht="12.75" customHeight="1">
      <c r="A64" s="235"/>
      <c r="B64" s="235"/>
      <c r="C64" s="235"/>
      <c r="D64" s="235"/>
      <c r="E64" s="235"/>
      <c r="F64" s="235"/>
      <c r="G64" s="235"/>
      <c r="H64" s="235"/>
      <c r="I64" s="235"/>
      <c r="J64" s="235"/>
      <c r="K64" s="235"/>
      <c r="L64" s="235"/>
      <c r="M64" s="235"/>
      <c r="N64" s="235"/>
      <c r="O64" s="235"/>
      <c r="P64" s="235"/>
      <c r="Q64" s="235"/>
      <c r="R64" s="235"/>
      <c r="S64" s="235"/>
      <c r="T64" s="235"/>
      <c r="U64" s="235"/>
      <c r="V64" s="235"/>
      <c r="W64" s="235"/>
      <c r="X64" s="235"/>
      <c r="Y64" s="235"/>
      <c r="Z64" s="235"/>
    </row>
    <row r="65" spans="1:26" ht="12.75" customHeight="1">
      <c r="A65" s="235"/>
      <c r="B65" s="235"/>
      <c r="C65" s="235"/>
      <c r="D65" s="235"/>
      <c r="E65" s="235"/>
      <c r="F65" s="235"/>
      <c r="G65" s="235"/>
      <c r="H65" s="235"/>
      <c r="I65" s="235"/>
      <c r="J65" s="235"/>
      <c r="K65" s="235"/>
      <c r="L65" s="235"/>
      <c r="M65" s="235"/>
      <c r="N65" s="235"/>
      <c r="O65" s="235"/>
      <c r="P65" s="235"/>
      <c r="Q65" s="235"/>
      <c r="R65" s="235"/>
      <c r="S65" s="235"/>
      <c r="T65" s="235"/>
      <c r="U65" s="235"/>
      <c r="V65" s="235"/>
      <c r="W65" s="235"/>
      <c r="X65" s="235"/>
      <c r="Y65" s="235"/>
      <c r="Z65" s="235"/>
    </row>
    <row r="66" spans="1:26" ht="12.75" customHeight="1">
      <c r="A66" s="235"/>
      <c r="B66" s="235"/>
      <c r="C66" s="235"/>
      <c r="D66" s="235"/>
      <c r="E66" s="235"/>
      <c r="F66" s="235"/>
      <c r="G66" s="235"/>
      <c r="H66" s="235"/>
      <c r="I66" s="235"/>
      <c r="J66" s="235"/>
      <c r="K66" s="235"/>
      <c r="L66" s="235"/>
      <c r="M66" s="235"/>
      <c r="N66" s="235"/>
      <c r="O66" s="235"/>
      <c r="P66" s="235"/>
      <c r="Q66" s="235"/>
      <c r="R66" s="235"/>
      <c r="S66" s="235"/>
      <c r="T66" s="235"/>
      <c r="U66" s="235"/>
      <c r="V66" s="235"/>
      <c r="W66" s="235"/>
      <c r="X66" s="235"/>
      <c r="Y66" s="235"/>
      <c r="Z66" s="235"/>
    </row>
    <row r="67" spans="1:26" ht="12.75" customHeight="1">
      <c r="A67" s="235"/>
      <c r="B67" s="235"/>
      <c r="C67" s="235"/>
      <c r="D67" s="235"/>
      <c r="E67" s="235"/>
      <c r="F67" s="235"/>
      <c r="G67" s="235"/>
      <c r="H67" s="235"/>
      <c r="I67" s="235"/>
      <c r="J67" s="235"/>
      <c r="K67" s="235"/>
      <c r="L67" s="235"/>
      <c r="M67" s="235"/>
      <c r="N67" s="235"/>
      <c r="O67" s="235"/>
      <c r="P67" s="235"/>
      <c r="Q67" s="235"/>
      <c r="R67" s="235"/>
      <c r="S67" s="235"/>
      <c r="T67" s="235"/>
      <c r="U67" s="235"/>
      <c r="V67" s="235"/>
      <c r="W67" s="235"/>
      <c r="X67" s="235"/>
      <c r="Y67" s="235"/>
      <c r="Z67" s="235"/>
    </row>
    <row r="68" spans="1:26" ht="12.75" customHeight="1">
      <c r="A68" s="235"/>
      <c r="B68" s="235"/>
      <c r="C68" s="235"/>
      <c r="D68" s="235"/>
      <c r="E68" s="235"/>
      <c r="F68" s="235"/>
      <c r="G68" s="235"/>
      <c r="H68" s="235"/>
      <c r="I68" s="235"/>
      <c r="J68" s="235"/>
      <c r="K68" s="235"/>
      <c r="L68" s="235"/>
      <c r="M68" s="235"/>
      <c r="N68" s="235"/>
      <c r="O68" s="235"/>
      <c r="P68" s="235"/>
      <c r="Q68" s="235"/>
      <c r="R68" s="235"/>
      <c r="S68" s="235"/>
      <c r="T68" s="235"/>
      <c r="U68" s="235"/>
      <c r="V68" s="235"/>
      <c r="W68" s="235"/>
      <c r="X68" s="235"/>
      <c r="Y68" s="235"/>
      <c r="Z68" s="235"/>
    </row>
    <row r="69" spans="1:26" ht="12.75" customHeight="1">
      <c r="A69" s="235"/>
      <c r="B69" s="235"/>
      <c r="C69" s="235"/>
      <c r="D69" s="235"/>
      <c r="E69" s="235"/>
      <c r="F69" s="235"/>
      <c r="G69" s="235"/>
      <c r="H69" s="235"/>
      <c r="I69" s="235"/>
      <c r="J69" s="235"/>
      <c r="K69" s="235"/>
      <c r="L69" s="235"/>
      <c r="M69" s="235"/>
      <c r="N69" s="235"/>
      <c r="O69" s="235"/>
      <c r="P69" s="235"/>
      <c r="Q69" s="235"/>
      <c r="R69" s="235"/>
      <c r="S69" s="235"/>
      <c r="T69" s="235"/>
      <c r="U69" s="235"/>
      <c r="V69" s="235"/>
      <c r="W69" s="235"/>
      <c r="X69" s="235"/>
      <c r="Y69" s="235"/>
      <c r="Z69" s="235"/>
    </row>
    <row r="70" spans="1:26" ht="12.75" customHeight="1">
      <c r="A70" s="235"/>
      <c r="B70" s="235"/>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row>
    <row r="71" spans="1:26" ht="12.75" customHeight="1">
      <c r="A71" s="235"/>
      <c r="B71" s="235"/>
      <c r="C71" s="235"/>
      <c r="D71" s="235"/>
      <c r="E71" s="235"/>
      <c r="F71" s="235"/>
      <c r="G71" s="235"/>
      <c r="H71" s="235"/>
      <c r="I71" s="235"/>
      <c r="J71" s="235"/>
      <c r="K71" s="235"/>
      <c r="L71" s="235"/>
      <c r="M71" s="235"/>
      <c r="N71" s="235"/>
      <c r="O71" s="235"/>
      <c r="P71" s="235"/>
      <c r="Q71" s="235"/>
      <c r="R71" s="235"/>
      <c r="S71" s="235"/>
      <c r="T71" s="235"/>
      <c r="U71" s="235"/>
      <c r="V71" s="235"/>
      <c r="W71" s="235"/>
      <c r="X71" s="235"/>
      <c r="Y71" s="235"/>
      <c r="Z71" s="235"/>
    </row>
    <row r="72" spans="1:26" ht="12.75" customHeight="1">
      <c r="A72" s="235"/>
      <c r="B72" s="235"/>
      <c r="C72" s="235"/>
      <c r="D72" s="235"/>
      <c r="E72" s="235"/>
      <c r="F72" s="235"/>
      <c r="G72" s="235"/>
      <c r="H72" s="235"/>
      <c r="I72" s="235"/>
      <c r="J72" s="235"/>
      <c r="K72" s="235"/>
      <c r="L72" s="235"/>
      <c r="M72" s="235"/>
      <c r="N72" s="235"/>
      <c r="O72" s="235"/>
      <c r="P72" s="235"/>
      <c r="Q72" s="235"/>
      <c r="R72" s="235"/>
      <c r="S72" s="235"/>
      <c r="T72" s="235"/>
      <c r="U72" s="235"/>
      <c r="V72" s="235"/>
      <c r="W72" s="235"/>
      <c r="X72" s="235"/>
      <c r="Y72" s="235"/>
      <c r="Z72" s="235"/>
    </row>
    <row r="73" spans="1:26" ht="12.75" customHeight="1">
      <c r="A73" s="235"/>
      <c r="B73" s="235"/>
      <c r="C73" s="235"/>
      <c r="D73" s="235"/>
      <c r="E73" s="235"/>
      <c r="F73" s="235"/>
      <c r="G73" s="235"/>
      <c r="H73" s="235"/>
      <c r="I73" s="235"/>
      <c r="J73" s="235"/>
      <c r="K73" s="235"/>
      <c r="L73" s="235"/>
      <c r="M73" s="235"/>
      <c r="N73" s="235"/>
      <c r="O73" s="235"/>
      <c r="P73" s="235"/>
      <c r="Q73" s="235"/>
      <c r="R73" s="235"/>
      <c r="S73" s="235"/>
      <c r="T73" s="235"/>
      <c r="U73" s="235"/>
      <c r="V73" s="235"/>
      <c r="W73" s="235"/>
      <c r="X73" s="235"/>
      <c r="Y73" s="235"/>
      <c r="Z73" s="235"/>
    </row>
    <row r="74" spans="1:26" ht="12.75" customHeight="1">
      <c r="A74" s="235"/>
      <c r="B74" s="235"/>
      <c r="C74" s="235"/>
      <c r="D74" s="235"/>
      <c r="E74" s="235"/>
      <c r="F74" s="235"/>
      <c r="G74" s="235"/>
      <c r="H74" s="235"/>
      <c r="I74" s="235"/>
      <c r="J74" s="235"/>
      <c r="K74" s="235"/>
      <c r="L74" s="235"/>
      <c r="M74" s="235"/>
      <c r="N74" s="235"/>
      <c r="O74" s="235"/>
      <c r="P74" s="235"/>
      <c r="Q74" s="235"/>
      <c r="R74" s="235"/>
      <c r="S74" s="235"/>
      <c r="T74" s="235"/>
      <c r="U74" s="235"/>
      <c r="V74" s="235"/>
      <c r="W74" s="235"/>
      <c r="X74" s="235"/>
      <c r="Y74" s="235"/>
      <c r="Z74" s="235"/>
    </row>
    <row r="75" spans="1:26" ht="12.75" customHeight="1">
      <c r="A75" s="235"/>
      <c r="B75" s="235"/>
      <c r="C75" s="235"/>
      <c r="D75" s="235"/>
      <c r="E75" s="235"/>
      <c r="F75" s="235"/>
      <c r="G75" s="235"/>
      <c r="H75" s="235"/>
      <c r="I75" s="235"/>
      <c r="J75" s="235"/>
      <c r="K75" s="235"/>
      <c r="L75" s="235"/>
      <c r="M75" s="235"/>
      <c r="N75" s="235"/>
      <c r="O75" s="235"/>
      <c r="P75" s="235"/>
      <c r="Q75" s="235"/>
      <c r="R75" s="235"/>
      <c r="S75" s="235"/>
      <c r="T75" s="235"/>
      <c r="U75" s="235"/>
      <c r="V75" s="235"/>
      <c r="W75" s="235"/>
      <c r="X75" s="235"/>
      <c r="Y75" s="235"/>
      <c r="Z75" s="235"/>
    </row>
    <row r="76" spans="1:26" ht="12.75" customHeight="1">
      <c r="A76" s="235"/>
      <c r="B76" s="235"/>
      <c r="C76" s="235"/>
      <c r="D76" s="235"/>
      <c r="E76" s="235"/>
      <c r="F76" s="235"/>
      <c r="G76" s="235"/>
      <c r="H76" s="235"/>
      <c r="I76" s="235"/>
      <c r="J76" s="235"/>
      <c r="K76" s="235"/>
      <c r="L76" s="235"/>
      <c r="M76" s="235"/>
      <c r="N76" s="235"/>
      <c r="O76" s="235"/>
      <c r="P76" s="235"/>
      <c r="Q76" s="235"/>
      <c r="R76" s="235"/>
      <c r="S76" s="235"/>
      <c r="T76" s="235"/>
      <c r="U76" s="235"/>
      <c r="V76" s="235"/>
      <c r="W76" s="235"/>
      <c r="X76" s="235"/>
      <c r="Y76" s="235"/>
      <c r="Z76" s="235"/>
    </row>
    <row r="77" spans="1:26" ht="12.75" customHeight="1">
      <c r="A77" s="235"/>
      <c r="B77" s="235"/>
      <c r="C77" s="235"/>
      <c r="D77" s="235"/>
      <c r="E77" s="235"/>
      <c r="F77" s="235"/>
      <c r="G77" s="235"/>
      <c r="H77" s="235"/>
      <c r="I77" s="235"/>
      <c r="J77" s="235"/>
      <c r="K77" s="235"/>
      <c r="L77" s="235"/>
      <c r="M77" s="235"/>
      <c r="N77" s="235"/>
      <c r="O77" s="235"/>
      <c r="P77" s="235"/>
      <c r="Q77" s="235"/>
      <c r="R77" s="235"/>
      <c r="S77" s="235"/>
      <c r="T77" s="235"/>
      <c r="U77" s="235"/>
      <c r="V77" s="235"/>
      <c r="W77" s="235"/>
      <c r="X77" s="235"/>
      <c r="Y77" s="235"/>
      <c r="Z77" s="235"/>
    </row>
    <row r="78" spans="1:26" ht="12.75" customHeight="1">
      <c r="A78" s="235"/>
      <c r="B78" s="235"/>
      <c r="C78" s="235"/>
      <c r="D78" s="235"/>
      <c r="E78" s="235"/>
      <c r="F78" s="235"/>
      <c r="G78" s="235"/>
      <c r="H78" s="235"/>
      <c r="I78" s="235"/>
      <c r="J78" s="235"/>
      <c r="K78" s="235"/>
      <c r="L78" s="235"/>
      <c r="M78" s="235"/>
      <c r="N78" s="235"/>
      <c r="O78" s="235"/>
      <c r="P78" s="235"/>
      <c r="Q78" s="235"/>
      <c r="R78" s="235"/>
      <c r="S78" s="235"/>
      <c r="T78" s="235"/>
      <c r="U78" s="235"/>
      <c r="V78" s="235"/>
      <c r="W78" s="235"/>
      <c r="X78" s="235"/>
      <c r="Y78" s="235"/>
      <c r="Z78" s="235"/>
    </row>
    <row r="79" spans="1:26" ht="12.75" customHeight="1">
      <c r="A79" s="235"/>
      <c r="B79" s="235"/>
      <c r="C79" s="235"/>
      <c r="D79" s="235"/>
      <c r="E79" s="235"/>
      <c r="F79" s="235"/>
      <c r="G79" s="235"/>
      <c r="H79" s="235"/>
      <c r="I79" s="235"/>
      <c r="J79" s="235"/>
      <c r="K79" s="235"/>
      <c r="L79" s="235"/>
      <c r="M79" s="235"/>
      <c r="N79" s="235"/>
      <c r="O79" s="235"/>
      <c r="P79" s="235"/>
      <c r="Q79" s="235"/>
      <c r="R79" s="235"/>
      <c r="S79" s="235"/>
      <c r="T79" s="235"/>
      <c r="U79" s="235"/>
      <c r="V79" s="235"/>
      <c r="W79" s="235"/>
      <c r="X79" s="235"/>
      <c r="Y79" s="235"/>
      <c r="Z79" s="235"/>
    </row>
    <row r="80" spans="1:26" ht="12.75" customHeight="1">
      <c r="A80" s="235"/>
      <c r="B80" s="235"/>
      <c r="C80" s="235"/>
      <c r="D80" s="235"/>
      <c r="E80" s="235"/>
      <c r="F80" s="235"/>
      <c r="G80" s="235"/>
      <c r="H80" s="235"/>
      <c r="I80" s="235"/>
      <c r="J80" s="235"/>
      <c r="K80" s="235"/>
      <c r="L80" s="235"/>
      <c r="M80" s="235"/>
      <c r="N80" s="235"/>
      <c r="O80" s="235"/>
      <c r="P80" s="235"/>
      <c r="Q80" s="235"/>
      <c r="R80" s="235"/>
      <c r="S80" s="235"/>
      <c r="T80" s="235"/>
      <c r="U80" s="235"/>
      <c r="V80" s="235"/>
      <c r="W80" s="235"/>
      <c r="X80" s="235"/>
      <c r="Y80" s="235"/>
      <c r="Z80" s="235"/>
    </row>
    <row r="81" spans="1:26" ht="12.75" customHeight="1">
      <c r="A81" s="235"/>
      <c r="B81" s="235"/>
      <c r="C81" s="235"/>
      <c r="D81" s="235"/>
      <c r="E81" s="235"/>
      <c r="F81" s="235"/>
      <c r="G81" s="235"/>
      <c r="H81" s="235"/>
      <c r="I81" s="235"/>
      <c r="J81" s="235"/>
      <c r="K81" s="235"/>
      <c r="L81" s="235"/>
      <c r="M81" s="235"/>
      <c r="N81" s="235"/>
      <c r="O81" s="235"/>
      <c r="P81" s="235"/>
      <c r="Q81" s="235"/>
      <c r="R81" s="235"/>
      <c r="S81" s="235"/>
      <c r="T81" s="235"/>
      <c r="U81" s="235"/>
      <c r="V81" s="235"/>
      <c r="W81" s="235"/>
      <c r="X81" s="235"/>
      <c r="Y81" s="235"/>
      <c r="Z81" s="235"/>
    </row>
    <row r="82" spans="1:26" ht="12.75" customHeight="1">
      <c r="A82" s="235"/>
      <c r="B82" s="235"/>
      <c r="C82" s="235"/>
      <c r="D82" s="235"/>
      <c r="E82" s="235"/>
      <c r="F82" s="235"/>
      <c r="G82" s="235"/>
      <c r="H82" s="235"/>
      <c r="I82" s="235"/>
      <c r="J82" s="235"/>
      <c r="K82" s="235"/>
      <c r="L82" s="235"/>
      <c r="M82" s="235"/>
      <c r="N82" s="235"/>
      <c r="O82" s="235"/>
      <c r="P82" s="235"/>
      <c r="Q82" s="235"/>
      <c r="R82" s="235"/>
      <c r="S82" s="235"/>
      <c r="T82" s="235"/>
      <c r="U82" s="235"/>
      <c r="V82" s="235"/>
      <c r="W82" s="235"/>
      <c r="X82" s="235"/>
      <c r="Y82" s="235"/>
      <c r="Z82" s="235"/>
    </row>
    <row r="83" spans="1:26" ht="12.75" customHeight="1">
      <c r="A83" s="235"/>
      <c r="B83" s="235"/>
      <c r="C83" s="235"/>
      <c r="D83" s="235"/>
      <c r="E83" s="235"/>
      <c r="F83" s="235"/>
      <c r="G83" s="235"/>
      <c r="H83" s="235"/>
      <c r="I83" s="235"/>
      <c r="J83" s="235"/>
      <c r="K83" s="235"/>
      <c r="L83" s="235"/>
      <c r="M83" s="235"/>
      <c r="N83" s="235"/>
      <c r="O83" s="235"/>
      <c r="P83" s="235"/>
      <c r="Q83" s="235"/>
      <c r="R83" s="235"/>
      <c r="S83" s="235"/>
      <c r="T83" s="235"/>
      <c r="U83" s="235"/>
      <c r="V83" s="235"/>
      <c r="W83" s="235"/>
      <c r="X83" s="235"/>
      <c r="Y83" s="235"/>
      <c r="Z83" s="235"/>
    </row>
    <row r="84" spans="1:26" ht="12.75" customHeight="1">
      <c r="A84" s="235"/>
      <c r="B84" s="235"/>
      <c r="C84" s="235"/>
      <c r="D84" s="235"/>
      <c r="E84" s="235"/>
      <c r="F84" s="235"/>
      <c r="G84" s="235"/>
      <c r="H84" s="235"/>
      <c r="I84" s="235"/>
      <c r="J84" s="235"/>
      <c r="K84" s="235"/>
      <c r="L84" s="235"/>
      <c r="M84" s="235"/>
      <c r="N84" s="235"/>
      <c r="O84" s="235"/>
      <c r="P84" s="235"/>
      <c r="Q84" s="235"/>
      <c r="R84" s="235"/>
      <c r="S84" s="235"/>
      <c r="T84" s="235"/>
      <c r="U84" s="235"/>
      <c r="V84" s="235"/>
      <c r="W84" s="235"/>
      <c r="X84" s="235"/>
      <c r="Y84" s="235"/>
      <c r="Z84" s="235"/>
    </row>
    <row r="85" spans="1:26" ht="12.75" customHeight="1">
      <c r="A85" s="235"/>
      <c r="B85" s="235"/>
      <c r="C85" s="235"/>
      <c r="D85" s="235"/>
      <c r="E85" s="235"/>
      <c r="F85" s="235"/>
      <c r="G85" s="235"/>
      <c r="H85" s="235"/>
      <c r="I85" s="235"/>
      <c r="J85" s="235"/>
      <c r="K85" s="235"/>
      <c r="L85" s="235"/>
      <c r="M85" s="235"/>
      <c r="N85" s="235"/>
      <c r="O85" s="235"/>
      <c r="P85" s="235"/>
      <c r="Q85" s="235"/>
      <c r="R85" s="235"/>
      <c r="S85" s="235"/>
      <c r="T85" s="235"/>
      <c r="U85" s="235"/>
      <c r="V85" s="235"/>
      <c r="W85" s="235"/>
      <c r="X85" s="235"/>
      <c r="Y85" s="235"/>
      <c r="Z85" s="235"/>
    </row>
    <row r="86" spans="1:26" ht="12.75" customHeight="1">
      <c r="A86" s="235"/>
      <c r="B86" s="235"/>
      <c r="C86" s="235"/>
      <c r="D86" s="235"/>
      <c r="E86" s="235"/>
      <c r="F86" s="235"/>
      <c r="G86" s="235"/>
      <c r="H86" s="235"/>
      <c r="I86" s="235"/>
      <c r="J86" s="235"/>
      <c r="K86" s="235"/>
      <c r="L86" s="235"/>
      <c r="M86" s="235"/>
      <c r="N86" s="235"/>
      <c r="O86" s="235"/>
      <c r="P86" s="235"/>
      <c r="Q86" s="235"/>
      <c r="R86" s="235"/>
      <c r="S86" s="235"/>
      <c r="T86" s="235"/>
      <c r="U86" s="235"/>
      <c r="V86" s="235"/>
      <c r="W86" s="235"/>
      <c r="X86" s="235"/>
      <c r="Y86" s="235"/>
      <c r="Z86" s="235"/>
    </row>
    <row r="87" spans="1:26" ht="12.75" customHeight="1">
      <c r="A87" s="235"/>
      <c r="B87" s="235"/>
      <c r="C87" s="235"/>
      <c r="D87" s="235"/>
      <c r="E87" s="235"/>
      <c r="F87" s="235"/>
      <c r="G87" s="235"/>
      <c r="H87" s="235"/>
      <c r="I87" s="235"/>
      <c r="J87" s="235"/>
      <c r="K87" s="235"/>
      <c r="L87" s="235"/>
      <c r="M87" s="235"/>
      <c r="N87" s="235"/>
      <c r="O87" s="235"/>
      <c r="P87" s="235"/>
      <c r="Q87" s="235"/>
      <c r="R87" s="235"/>
      <c r="S87" s="235"/>
      <c r="T87" s="235"/>
      <c r="U87" s="235"/>
      <c r="V87" s="235"/>
      <c r="W87" s="235"/>
      <c r="X87" s="235"/>
      <c r="Y87" s="235"/>
      <c r="Z87" s="235"/>
    </row>
    <row r="88" spans="1:26" ht="12.75" customHeight="1">
      <c r="A88" s="235"/>
      <c r="B88" s="235"/>
      <c r="C88" s="235"/>
      <c r="D88" s="235"/>
      <c r="E88" s="235"/>
      <c r="F88" s="235"/>
      <c r="G88" s="235"/>
      <c r="H88" s="235"/>
      <c r="I88" s="235"/>
      <c r="J88" s="235"/>
      <c r="K88" s="235"/>
      <c r="L88" s="235"/>
      <c r="M88" s="235"/>
      <c r="N88" s="235"/>
      <c r="O88" s="235"/>
      <c r="P88" s="235"/>
      <c r="Q88" s="235"/>
      <c r="R88" s="235"/>
      <c r="S88" s="235"/>
      <c r="T88" s="235"/>
      <c r="U88" s="235"/>
      <c r="V88" s="235"/>
      <c r="W88" s="235"/>
      <c r="X88" s="235"/>
      <c r="Y88" s="235"/>
      <c r="Z88" s="235"/>
    </row>
    <row r="89" spans="1:26" ht="12.75" customHeight="1">
      <c r="A89" s="235"/>
      <c r="B89" s="235"/>
      <c r="C89" s="235"/>
      <c r="D89" s="235"/>
      <c r="E89" s="235"/>
      <c r="F89" s="235"/>
      <c r="G89" s="235"/>
      <c r="H89" s="235"/>
      <c r="I89" s="235"/>
      <c r="J89" s="235"/>
      <c r="K89" s="235"/>
      <c r="L89" s="235"/>
      <c r="M89" s="235"/>
      <c r="N89" s="235"/>
      <c r="O89" s="235"/>
      <c r="P89" s="235"/>
      <c r="Q89" s="235"/>
      <c r="R89" s="235"/>
      <c r="S89" s="235"/>
      <c r="T89" s="235"/>
      <c r="U89" s="235"/>
      <c r="V89" s="235"/>
      <c r="W89" s="235"/>
      <c r="X89" s="235"/>
      <c r="Y89" s="235"/>
      <c r="Z89" s="235"/>
    </row>
    <row r="90" spans="1:26" ht="12.75" customHeight="1">
      <c r="A90" s="235"/>
      <c r="B90" s="235"/>
      <c r="C90" s="235"/>
      <c r="D90" s="235"/>
      <c r="E90" s="235"/>
      <c r="F90" s="235"/>
      <c r="G90" s="235"/>
      <c r="H90" s="235"/>
      <c r="I90" s="235"/>
      <c r="J90" s="235"/>
      <c r="K90" s="235"/>
      <c r="L90" s="235"/>
      <c r="M90" s="235"/>
      <c r="N90" s="235"/>
      <c r="O90" s="235"/>
      <c r="P90" s="235"/>
      <c r="Q90" s="235"/>
      <c r="R90" s="235"/>
      <c r="S90" s="235"/>
      <c r="T90" s="235"/>
      <c r="U90" s="235"/>
      <c r="V90" s="235"/>
      <c r="W90" s="235"/>
      <c r="X90" s="235"/>
      <c r="Y90" s="235"/>
      <c r="Z90" s="235"/>
    </row>
    <row r="91" spans="1:26" ht="12.75" customHeight="1">
      <c r="A91" s="235"/>
      <c r="B91" s="235"/>
      <c r="C91" s="235"/>
      <c r="D91" s="235"/>
      <c r="E91" s="235"/>
      <c r="F91" s="235"/>
      <c r="G91" s="235"/>
      <c r="H91" s="235"/>
      <c r="I91" s="235"/>
      <c r="J91" s="235"/>
      <c r="K91" s="235"/>
      <c r="L91" s="235"/>
      <c r="M91" s="235"/>
      <c r="N91" s="235"/>
      <c r="O91" s="235"/>
      <c r="P91" s="235"/>
      <c r="Q91" s="235"/>
      <c r="R91" s="235"/>
      <c r="S91" s="235"/>
      <c r="T91" s="235"/>
      <c r="U91" s="235"/>
      <c r="V91" s="235"/>
      <c r="W91" s="235"/>
      <c r="X91" s="235"/>
      <c r="Y91" s="235"/>
      <c r="Z91" s="235"/>
    </row>
    <row r="92" spans="1:26" ht="12.75" customHeight="1">
      <c r="A92" s="235"/>
      <c r="B92" s="235"/>
      <c r="C92" s="235"/>
      <c r="D92" s="235"/>
      <c r="E92" s="235"/>
      <c r="F92" s="235"/>
      <c r="G92" s="235"/>
      <c r="H92" s="235"/>
      <c r="I92" s="235"/>
      <c r="J92" s="235"/>
      <c r="K92" s="235"/>
      <c r="L92" s="235"/>
      <c r="M92" s="235"/>
      <c r="N92" s="235"/>
      <c r="O92" s="235"/>
      <c r="P92" s="235"/>
      <c r="Q92" s="235"/>
      <c r="R92" s="235"/>
      <c r="S92" s="235"/>
      <c r="T92" s="235"/>
      <c r="U92" s="235"/>
      <c r="V92" s="235"/>
      <c r="W92" s="235"/>
      <c r="X92" s="235"/>
      <c r="Y92" s="235"/>
      <c r="Z92" s="235"/>
    </row>
    <row r="93" spans="1:26" ht="12.75" customHeight="1">
      <c r="A93" s="235"/>
      <c r="B93" s="235"/>
      <c r="C93" s="235"/>
      <c r="D93" s="235"/>
      <c r="E93" s="235"/>
      <c r="F93" s="235"/>
      <c r="G93" s="235"/>
      <c r="H93" s="235"/>
      <c r="I93" s="235"/>
      <c r="J93" s="235"/>
      <c r="K93" s="235"/>
      <c r="L93" s="235"/>
      <c r="M93" s="235"/>
      <c r="N93" s="235"/>
      <c r="O93" s="235"/>
      <c r="P93" s="235"/>
      <c r="Q93" s="235"/>
      <c r="R93" s="235"/>
      <c r="S93" s="235"/>
      <c r="T93" s="235"/>
      <c r="U93" s="235"/>
      <c r="V93" s="235"/>
      <c r="W93" s="235"/>
      <c r="X93" s="235"/>
      <c r="Y93" s="235"/>
      <c r="Z93" s="235"/>
    </row>
    <row r="94" spans="1:26" ht="12.75" customHeight="1">
      <c r="A94" s="235"/>
      <c r="B94" s="235"/>
      <c r="C94" s="235"/>
      <c r="D94" s="235"/>
      <c r="E94" s="235"/>
      <c r="F94" s="235"/>
      <c r="G94" s="235"/>
      <c r="H94" s="235"/>
      <c r="I94" s="235"/>
      <c r="J94" s="235"/>
      <c r="K94" s="235"/>
      <c r="L94" s="235"/>
      <c r="M94" s="235"/>
      <c r="N94" s="235"/>
      <c r="O94" s="235"/>
      <c r="P94" s="235"/>
      <c r="Q94" s="235"/>
      <c r="R94" s="235"/>
      <c r="S94" s="235"/>
      <c r="T94" s="235"/>
      <c r="U94" s="235"/>
      <c r="V94" s="235"/>
      <c r="W94" s="235"/>
      <c r="X94" s="235"/>
      <c r="Y94" s="235"/>
      <c r="Z94" s="235"/>
    </row>
    <row r="95" spans="1:26" ht="12.75" customHeight="1">
      <c r="A95" s="235"/>
      <c r="B95" s="235"/>
      <c r="C95" s="235"/>
      <c r="D95" s="235"/>
      <c r="E95" s="235"/>
      <c r="F95" s="235"/>
      <c r="G95" s="235"/>
      <c r="H95" s="235"/>
      <c r="I95" s="235"/>
      <c r="J95" s="235"/>
      <c r="K95" s="235"/>
      <c r="L95" s="235"/>
      <c r="M95" s="235"/>
      <c r="N95" s="235"/>
      <c r="O95" s="235"/>
      <c r="P95" s="235"/>
      <c r="Q95" s="235"/>
      <c r="R95" s="235"/>
      <c r="S95" s="235"/>
      <c r="T95" s="235"/>
      <c r="U95" s="235"/>
      <c r="V95" s="235"/>
      <c r="W95" s="235"/>
      <c r="X95" s="235"/>
      <c r="Y95" s="235"/>
      <c r="Z95" s="235"/>
    </row>
    <row r="96" spans="1:26" ht="12.75" customHeight="1">
      <c r="A96" s="235"/>
      <c r="B96" s="235"/>
      <c r="C96" s="235"/>
      <c r="D96" s="235"/>
      <c r="E96" s="235"/>
      <c r="F96" s="235"/>
      <c r="G96" s="235"/>
      <c r="H96" s="235"/>
      <c r="I96" s="235"/>
      <c r="J96" s="235"/>
      <c r="K96" s="235"/>
      <c r="L96" s="235"/>
      <c r="M96" s="235"/>
      <c r="N96" s="235"/>
      <c r="O96" s="235"/>
      <c r="P96" s="235"/>
      <c r="Q96" s="235"/>
      <c r="R96" s="235"/>
      <c r="S96" s="235"/>
      <c r="T96" s="235"/>
      <c r="U96" s="235"/>
      <c r="V96" s="235"/>
      <c r="W96" s="235"/>
      <c r="X96" s="235"/>
      <c r="Y96" s="235"/>
      <c r="Z96" s="235"/>
    </row>
    <row r="97" spans="1:26" ht="12.75" customHeight="1">
      <c r="A97" s="235"/>
      <c r="B97" s="235"/>
      <c r="C97" s="235"/>
      <c r="D97" s="235"/>
      <c r="E97" s="235"/>
      <c r="F97" s="235"/>
      <c r="G97" s="235"/>
      <c r="H97" s="235"/>
      <c r="I97" s="235"/>
      <c r="J97" s="235"/>
      <c r="K97" s="235"/>
      <c r="L97" s="235"/>
      <c r="M97" s="235"/>
      <c r="N97" s="235"/>
      <c r="O97" s="235"/>
      <c r="P97" s="235"/>
      <c r="Q97" s="235"/>
      <c r="R97" s="235"/>
      <c r="S97" s="235"/>
      <c r="T97" s="235"/>
      <c r="U97" s="235"/>
      <c r="V97" s="235"/>
      <c r="W97" s="235"/>
      <c r="X97" s="235"/>
      <c r="Y97" s="235"/>
      <c r="Z97" s="235"/>
    </row>
    <row r="98" spans="1:26" ht="12.75" customHeight="1">
      <c r="A98" s="235"/>
      <c r="B98" s="235"/>
      <c r="C98" s="235"/>
      <c r="D98" s="235"/>
      <c r="E98" s="235"/>
      <c r="F98" s="235"/>
      <c r="G98" s="235"/>
      <c r="H98" s="235"/>
      <c r="I98" s="235"/>
      <c r="J98" s="235"/>
      <c r="K98" s="235"/>
      <c r="L98" s="235"/>
      <c r="M98" s="235"/>
      <c r="N98" s="235"/>
      <c r="O98" s="235"/>
      <c r="P98" s="235"/>
      <c r="Q98" s="235"/>
      <c r="R98" s="235"/>
      <c r="S98" s="235"/>
      <c r="T98" s="235"/>
      <c r="U98" s="235"/>
      <c r="V98" s="235"/>
      <c r="W98" s="235"/>
      <c r="X98" s="235"/>
      <c r="Y98" s="235"/>
      <c r="Z98" s="235"/>
    </row>
    <row r="99" spans="1:26" ht="12.75" customHeight="1">
      <c r="A99" s="235"/>
      <c r="B99" s="235"/>
      <c r="C99" s="235"/>
      <c r="D99" s="235"/>
      <c r="E99" s="235"/>
      <c r="F99" s="235"/>
      <c r="G99" s="235"/>
      <c r="H99" s="235"/>
      <c r="I99" s="235"/>
      <c r="J99" s="235"/>
      <c r="K99" s="235"/>
      <c r="L99" s="235"/>
      <c r="M99" s="235"/>
      <c r="N99" s="235"/>
      <c r="O99" s="235"/>
      <c r="P99" s="235"/>
      <c r="Q99" s="235"/>
      <c r="R99" s="235"/>
      <c r="S99" s="235"/>
      <c r="T99" s="235"/>
      <c r="U99" s="235"/>
      <c r="V99" s="235"/>
      <c r="W99" s="235"/>
      <c r="X99" s="235"/>
      <c r="Y99" s="235"/>
      <c r="Z99" s="235"/>
    </row>
    <row r="100" spans="1:26" ht="12.75" customHeight="1">
      <c r="A100" s="235"/>
      <c r="B100" s="235"/>
      <c r="C100" s="235"/>
      <c r="D100" s="235"/>
      <c r="E100" s="235"/>
      <c r="F100" s="235"/>
      <c r="G100" s="235"/>
      <c r="H100" s="235"/>
      <c r="I100" s="235"/>
      <c r="J100" s="235"/>
      <c r="K100" s="235"/>
      <c r="L100" s="235"/>
      <c r="M100" s="235"/>
      <c r="N100" s="235"/>
      <c r="O100" s="235"/>
      <c r="P100" s="235"/>
      <c r="Q100" s="235"/>
      <c r="R100" s="235"/>
      <c r="S100" s="235"/>
      <c r="T100" s="235"/>
      <c r="U100" s="235"/>
      <c r="V100" s="235"/>
      <c r="W100" s="235"/>
      <c r="X100" s="235"/>
      <c r="Y100" s="235"/>
      <c r="Z100" s="235"/>
    </row>
    <row r="101" spans="1:26" ht="12.75" customHeight="1">
      <c r="A101" s="235"/>
      <c r="B101" s="235"/>
      <c r="C101" s="235"/>
      <c r="D101" s="235"/>
      <c r="E101" s="235"/>
      <c r="F101" s="235"/>
      <c r="G101" s="235"/>
      <c r="H101" s="235"/>
      <c r="I101" s="235"/>
      <c r="J101" s="235"/>
      <c r="K101" s="235"/>
      <c r="L101" s="235"/>
      <c r="M101" s="235"/>
      <c r="N101" s="235"/>
      <c r="O101" s="235"/>
      <c r="P101" s="235"/>
      <c r="Q101" s="235"/>
      <c r="R101" s="235"/>
      <c r="S101" s="235"/>
      <c r="T101" s="235"/>
      <c r="U101" s="235"/>
      <c r="V101" s="235"/>
      <c r="W101" s="235"/>
      <c r="X101" s="235"/>
      <c r="Y101" s="235"/>
      <c r="Z101" s="235"/>
    </row>
    <row r="102" spans="1:26" ht="12.75" customHeight="1">
      <c r="A102" s="235"/>
      <c r="B102" s="235"/>
      <c r="C102" s="235"/>
      <c r="D102" s="235"/>
      <c r="E102" s="235"/>
      <c r="F102" s="235"/>
      <c r="G102" s="235"/>
      <c r="H102" s="235"/>
      <c r="I102" s="235"/>
      <c r="J102" s="235"/>
      <c r="K102" s="235"/>
      <c r="L102" s="235"/>
      <c r="M102" s="235"/>
      <c r="N102" s="235"/>
      <c r="O102" s="235"/>
      <c r="P102" s="235"/>
      <c r="Q102" s="235"/>
      <c r="R102" s="235"/>
      <c r="S102" s="235"/>
      <c r="T102" s="235"/>
      <c r="U102" s="235"/>
      <c r="V102" s="235"/>
      <c r="W102" s="235"/>
      <c r="X102" s="235"/>
      <c r="Y102" s="235"/>
      <c r="Z102" s="235"/>
    </row>
    <row r="103" spans="1:26" ht="12.75" customHeight="1">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row>
    <row r="104" spans="1:26" ht="12.75" customHeight="1">
      <c r="A104" s="235"/>
      <c r="B104" s="235"/>
      <c r="C104" s="235"/>
      <c r="D104" s="235"/>
      <c r="E104" s="235"/>
      <c r="F104" s="235"/>
      <c r="G104" s="235"/>
      <c r="H104" s="235"/>
      <c r="I104" s="235"/>
      <c r="J104" s="235"/>
      <c r="K104" s="235"/>
      <c r="L104" s="235"/>
      <c r="M104" s="235"/>
      <c r="N104" s="235"/>
      <c r="O104" s="235"/>
      <c r="P104" s="235"/>
      <c r="Q104" s="235"/>
      <c r="R104" s="235"/>
      <c r="S104" s="235"/>
      <c r="T104" s="235"/>
      <c r="U104" s="235"/>
      <c r="V104" s="235"/>
      <c r="W104" s="235"/>
      <c r="X104" s="235"/>
      <c r="Y104" s="235"/>
      <c r="Z104" s="235"/>
    </row>
    <row r="105" spans="1:26" ht="12.75" customHeight="1">
      <c r="A105" s="235"/>
      <c r="B105" s="235"/>
      <c r="C105" s="235"/>
      <c r="D105" s="235"/>
      <c r="E105" s="235"/>
      <c r="F105" s="235"/>
      <c r="G105" s="235"/>
      <c r="H105" s="235"/>
      <c r="I105" s="235"/>
      <c r="J105" s="235"/>
      <c r="K105" s="235"/>
      <c r="L105" s="235"/>
      <c r="M105" s="235"/>
      <c r="N105" s="235"/>
      <c r="O105" s="235"/>
      <c r="P105" s="235"/>
      <c r="Q105" s="235"/>
      <c r="R105" s="235"/>
      <c r="S105" s="235"/>
      <c r="T105" s="235"/>
      <c r="U105" s="235"/>
      <c r="V105" s="235"/>
      <c r="W105" s="235"/>
      <c r="X105" s="235"/>
      <c r="Y105" s="235"/>
      <c r="Z105" s="235"/>
    </row>
    <row r="106" spans="1:26" ht="12.75" customHeight="1">
      <c r="A106" s="235"/>
      <c r="B106" s="235"/>
      <c r="C106" s="235"/>
      <c r="D106" s="235"/>
      <c r="E106" s="235"/>
      <c r="F106" s="235"/>
      <c r="G106" s="235"/>
      <c r="H106" s="235"/>
      <c r="I106" s="235"/>
      <c r="J106" s="235"/>
      <c r="K106" s="235"/>
      <c r="L106" s="235"/>
      <c r="M106" s="235"/>
      <c r="N106" s="235"/>
      <c r="O106" s="235"/>
      <c r="P106" s="235"/>
      <c r="Q106" s="235"/>
      <c r="R106" s="235"/>
      <c r="S106" s="235"/>
      <c r="T106" s="235"/>
      <c r="U106" s="235"/>
      <c r="V106" s="235"/>
      <c r="W106" s="235"/>
      <c r="X106" s="235"/>
      <c r="Y106" s="235"/>
      <c r="Z106" s="235"/>
    </row>
    <row r="107" spans="1:26" ht="12.75" customHeight="1">
      <c r="A107" s="235"/>
      <c r="B107" s="235"/>
      <c r="C107" s="235"/>
      <c r="D107" s="235"/>
      <c r="E107" s="235"/>
      <c r="F107" s="235"/>
      <c r="G107" s="235"/>
      <c r="H107" s="235"/>
      <c r="I107" s="235"/>
      <c r="J107" s="235"/>
      <c r="K107" s="235"/>
      <c r="L107" s="235"/>
      <c r="M107" s="235"/>
      <c r="N107" s="235"/>
      <c r="O107" s="235"/>
      <c r="P107" s="235"/>
      <c r="Q107" s="235"/>
      <c r="R107" s="235"/>
      <c r="S107" s="235"/>
      <c r="T107" s="235"/>
      <c r="U107" s="235"/>
      <c r="V107" s="235"/>
      <c r="W107" s="235"/>
      <c r="X107" s="235"/>
      <c r="Y107" s="235"/>
      <c r="Z107" s="235"/>
    </row>
    <row r="108" spans="1:26" ht="12.75" customHeight="1">
      <c r="A108" s="235"/>
      <c r="B108" s="235"/>
      <c r="C108" s="235"/>
      <c r="D108" s="235"/>
      <c r="E108" s="235"/>
      <c r="F108" s="235"/>
      <c r="G108" s="235"/>
      <c r="H108" s="235"/>
      <c r="I108" s="235"/>
      <c r="J108" s="235"/>
      <c r="K108" s="235"/>
      <c r="L108" s="235"/>
      <c r="M108" s="235"/>
      <c r="N108" s="235"/>
      <c r="O108" s="235"/>
      <c r="P108" s="235"/>
      <c r="Q108" s="235"/>
      <c r="R108" s="235"/>
      <c r="S108" s="235"/>
      <c r="T108" s="235"/>
      <c r="U108" s="235"/>
      <c r="V108" s="235"/>
      <c r="W108" s="235"/>
      <c r="X108" s="235"/>
      <c r="Y108" s="235"/>
      <c r="Z108" s="235"/>
    </row>
    <row r="109" spans="1:26" ht="12.75" customHeight="1">
      <c r="A109" s="235"/>
      <c r="B109" s="235"/>
      <c r="C109" s="235"/>
      <c r="D109" s="235"/>
      <c r="E109" s="235"/>
      <c r="F109" s="235"/>
      <c r="G109" s="235"/>
      <c r="H109" s="235"/>
      <c r="I109" s="235"/>
      <c r="J109" s="235"/>
      <c r="K109" s="235"/>
      <c r="L109" s="235"/>
      <c r="M109" s="235"/>
      <c r="N109" s="235"/>
      <c r="O109" s="235"/>
      <c r="P109" s="235"/>
      <c r="Q109" s="235"/>
      <c r="R109" s="235"/>
      <c r="S109" s="235"/>
      <c r="T109" s="235"/>
      <c r="U109" s="235"/>
      <c r="V109" s="235"/>
      <c r="W109" s="235"/>
      <c r="X109" s="235"/>
      <c r="Y109" s="235"/>
      <c r="Z109" s="235"/>
    </row>
    <row r="110" spans="1:26" ht="12.75" customHeight="1">
      <c r="A110" s="235"/>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row>
    <row r="111" spans="1:26" ht="12.75" customHeight="1">
      <c r="A111" s="235"/>
      <c r="B111" s="235"/>
      <c r="C111" s="235"/>
      <c r="D111" s="235"/>
      <c r="E111" s="235"/>
      <c r="F111" s="235"/>
      <c r="G111" s="235"/>
      <c r="H111" s="235"/>
      <c r="I111" s="235"/>
      <c r="J111" s="235"/>
      <c r="K111" s="235"/>
      <c r="L111" s="235"/>
      <c r="M111" s="235"/>
      <c r="N111" s="235"/>
      <c r="O111" s="235"/>
      <c r="P111" s="235"/>
      <c r="Q111" s="235"/>
      <c r="R111" s="235"/>
      <c r="S111" s="235"/>
      <c r="T111" s="235"/>
      <c r="U111" s="235"/>
      <c r="V111" s="235"/>
      <c r="W111" s="235"/>
      <c r="X111" s="235"/>
      <c r="Y111" s="235"/>
      <c r="Z111" s="235"/>
    </row>
    <row r="112" spans="1:26" ht="12.75" customHeight="1">
      <c r="A112" s="235"/>
      <c r="B112" s="235"/>
      <c r="C112" s="235"/>
      <c r="D112" s="235"/>
      <c r="E112" s="235"/>
      <c r="F112" s="235"/>
      <c r="G112" s="235"/>
      <c r="H112" s="235"/>
      <c r="I112" s="235"/>
      <c r="J112" s="235"/>
      <c r="K112" s="235"/>
      <c r="L112" s="235"/>
      <c r="M112" s="235"/>
      <c r="N112" s="235"/>
      <c r="O112" s="235"/>
      <c r="P112" s="235"/>
      <c r="Q112" s="235"/>
      <c r="R112" s="235"/>
      <c r="S112" s="235"/>
      <c r="T112" s="235"/>
      <c r="U112" s="235"/>
      <c r="V112" s="235"/>
      <c r="W112" s="235"/>
      <c r="X112" s="235"/>
      <c r="Y112" s="235"/>
      <c r="Z112" s="235"/>
    </row>
    <row r="113" spans="1:26" ht="12.75" customHeight="1">
      <c r="A113" s="235"/>
      <c r="B113" s="235"/>
      <c r="C113" s="235"/>
      <c r="D113" s="235"/>
      <c r="E113" s="235"/>
      <c r="F113" s="235"/>
      <c r="G113" s="235"/>
      <c r="H113" s="235"/>
      <c r="I113" s="235"/>
      <c r="J113" s="235"/>
      <c r="K113" s="235"/>
      <c r="L113" s="235"/>
      <c r="M113" s="235"/>
      <c r="N113" s="235"/>
      <c r="O113" s="235"/>
      <c r="P113" s="235"/>
      <c r="Q113" s="235"/>
      <c r="R113" s="235"/>
      <c r="S113" s="235"/>
      <c r="T113" s="235"/>
      <c r="U113" s="235"/>
      <c r="V113" s="235"/>
      <c r="W113" s="235"/>
      <c r="X113" s="235"/>
      <c r="Y113" s="235"/>
      <c r="Z113" s="235"/>
    </row>
    <row r="114" spans="1:26" ht="12.75" customHeight="1">
      <c r="A114" s="235"/>
      <c r="B114" s="235"/>
      <c r="C114" s="235"/>
      <c r="D114" s="235"/>
      <c r="E114" s="235"/>
      <c r="F114" s="235"/>
      <c r="G114" s="235"/>
      <c r="H114" s="235"/>
      <c r="I114" s="235"/>
      <c r="J114" s="235"/>
      <c r="K114" s="235"/>
      <c r="L114" s="235"/>
      <c r="M114" s="235"/>
      <c r="N114" s="235"/>
      <c r="O114" s="235"/>
      <c r="P114" s="235"/>
      <c r="Q114" s="235"/>
      <c r="R114" s="235"/>
      <c r="S114" s="235"/>
      <c r="T114" s="235"/>
      <c r="U114" s="235"/>
      <c r="V114" s="235"/>
      <c r="W114" s="235"/>
      <c r="X114" s="235"/>
      <c r="Y114" s="235"/>
      <c r="Z114" s="235"/>
    </row>
    <row r="115" spans="1:26" ht="12.75" customHeight="1">
      <c r="A115" s="235"/>
      <c r="B115" s="235"/>
      <c r="C115" s="235"/>
      <c r="D115" s="235"/>
      <c r="E115" s="235"/>
      <c r="F115" s="235"/>
      <c r="G115" s="235"/>
      <c r="H115" s="235"/>
      <c r="I115" s="235"/>
      <c r="J115" s="235"/>
      <c r="K115" s="235"/>
      <c r="L115" s="235"/>
      <c r="M115" s="235"/>
      <c r="N115" s="235"/>
      <c r="O115" s="235"/>
      <c r="P115" s="235"/>
      <c r="Q115" s="235"/>
      <c r="R115" s="235"/>
      <c r="S115" s="235"/>
      <c r="T115" s="235"/>
      <c r="U115" s="235"/>
      <c r="V115" s="235"/>
      <c r="W115" s="235"/>
      <c r="X115" s="235"/>
      <c r="Y115" s="235"/>
      <c r="Z115" s="235"/>
    </row>
    <row r="116" spans="1:26" ht="12.75" customHeight="1">
      <c r="A116" s="235"/>
      <c r="B116" s="235"/>
      <c r="C116" s="235"/>
      <c r="D116" s="235"/>
      <c r="E116" s="235"/>
      <c r="F116" s="235"/>
      <c r="G116" s="235"/>
      <c r="H116" s="235"/>
      <c r="I116" s="235"/>
      <c r="J116" s="235"/>
      <c r="K116" s="235"/>
      <c r="L116" s="235"/>
      <c r="M116" s="235"/>
      <c r="N116" s="235"/>
      <c r="O116" s="235"/>
      <c r="P116" s="235"/>
      <c r="Q116" s="235"/>
      <c r="R116" s="235"/>
      <c r="S116" s="235"/>
      <c r="T116" s="235"/>
      <c r="U116" s="235"/>
      <c r="V116" s="235"/>
      <c r="W116" s="235"/>
      <c r="X116" s="235"/>
      <c r="Y116" s="235"/>
      <c r="Z116" s="235"/>
    </row>
    <row r="117" spans="1:26" ht="12.75" customHeight="1">
      <c r="A117" s="235"/>
      <c r="B117" s="235"/>
      <c r="C117" s="235"/>
      <c r="D117" s="235"/>
      <c r="E117" s="235"/>
      <c r="F117" s="235"/>
      <c r="G117" s="235"/>
      <c r="H117" s="235"/>
      <c r="I117" s="235"/>
      <c r="J117" s="235"/>
      <c r="K117" s="235"/>
      <c r="L117" s="235"/>
      <c r="M117" s="235"/>
      <c r="N117" s="235"/>
      <c r="O117" s="235"/>
      <c r="P117" s="235"/>
      <c r="Q117" s="235"/>
      <c r="R117" s="235"/>
      <c r="S117" s="235"/>
      <c r="T117" s="235"/>
      <c r="U117" s="235"/>
      <c r="V117" s="235"/>
      <c r="W117" s="235"/>
      <c r="X117" s="235"/>
      <c r="Y117" s="235"/>
      <c r="Z117" s="235"/>
    </row>
    <row r="118" spans="1:26" ht="12.75" customHeight="1">
      <c r="A118" s="235"/>
      <c r="B118" s="235"/>
      <c r="C118" s="235"/>
      <c r="D118" s="235"/>
      <c r="E118" s="235"/>
      <c r="F118" s="235"/>
      <c r="G118" s="235"/>
      <c r="H118" s="235"/>
      <c r="I118" s="235"/>
      <c r="J118" s="235"/>
      <c r="K118" s="235"/>
      <c r="L118" s="235"/>
      <c r="M118" s="235"/>
      <c r="N118" s="235"/>
      <c r="O118" s="235"/>
      <c r="P118" s="235"/>
      <c r="Q118" s="235"/>
      <c r="R118" s="235"/>
      <c r="S118" s="235"/>
      <c r="T118" s="235"/>
      <c r="U118" s="235"/>
      <c r="V118" s="235"/>
      <c r="W118" s="235"/>
      <c r="X118" s="235"/>
      <c r="Y118" s="235"/>
      <c r="Z118" s="235"/>
    </row>
    <row r="119" spans="1:26" ht="12.75" customHeight="1">
      <c r="A119" s="235"/>
      <c r="B119" s="235"/>
      <c r="C119" s="235"/>
      <c r="D119" s="235"/>
      <c r="E119" s="235"/>
      <c r="F119" s="235"/>
      <c r="G119" s="235"/>
      <c r="H119" s="235"/>
      <c r="I119" s="235"/>
      <c r="J119" s="235"/>
      <c r="K119" s="235"/>
      <c r="L119" s="235"/>
      <c r="M119" s="235"/>
      <c r="N119" s="235"/>
      <c r="O119" s="235"/>
      <c r="P119" s="235"/>
      <c r="Q119" s="235"/>
      <c r="R119" s="235"/>
      <c r="S119" s="235"/>
      <c r="T119" s="235"/>
      <c r="U119" s="235"/>
      <c r="V119" s="235"/>
      <c r="W119" s="235"/>
      <c r="X119" s="235"/>
      <c r="Y119" s="235"/>
      <c r="Z119" s="235"/>
    </row>
    <row r="120" spans="1:26" ht="12.75" customHeight="1">
      <c r="A120" s="235"/>
      <c r="B120" s="235"/>
      <c r="C120" s="235"/>
      <c r="D120" s="235"/>
      <c r="E120" s="235"/>
      <c r="F120" s="235"/>
      <c r="G120" s="235"/>
      <c r="H120" s="235"/>
      <c r="I120" s="235"/>
      <c r="J120" s="235"/>
      <c r="K120" s="235"/>
      <c r="L120" s="235"/>
      <c r="M120" s="235"/>
      <c r="N120" s="235"/>
      <c r="O120" s="235"/>
      <c r="P120" s="235"/>
      <c r="Q120" s="235"/>
      <c r="R120" s="235"/>
      <c r="S120" s="235"/>
      <c r="T120" s="235"/>
      <c r="U120" s="235"/>
      <c r="V120" s="235"/>
      <c r="W120" s="235"/>
      <c r="X120" s="235"/>
      <c r="Y120" s="235"/>
      <c r="Z120" s="235"/>
    </row>
    <row r="121" spans="1:26" ht="12.75" customHeight="1">
      <c r="A121" s="235"/>
      <c r="B121" s="235"/>
      <c r="C121" s="235"/>
      <c r="D121" s="235"/>
      <c r="E121" s="235"/>
      <c r="F121" s="235"/>
      <c r="G121" s="235"/>
      <c r="H121" s="235"/>
      <c r="I121" s="235"/>
      <c r="J121" s="235"/>
      <c r="K121" s="235"/>
      <c r="L121" s="235"/>
      <c r="M121" s="235"/>
      <c r="N121" s="235"/>
      <c r="O121" s="235"/>
      <c r="P121" s="235"/>
      <c r="Q121" s="235"/>
      <c r="R121" s="235"/>
      <c r="S121" s="235"/>
      <c r="T121" s="235"/>
      <c r="U121" s="235"/>
      <c r="V121" s="235"/>
      <c r="W121" s="235"/>
      <c r="X121" s="235"/>
      <c r="Y121" s="235"/>
      <c r="Z121" s="235"/>
    </row>
    <row r="122" spans="1:26" ht="12.75" customHeight="1">
      <c r="A122" s="235"/>
      <c r="B122" s="235"/>
      <c r="C122" s="235"/>
      <c r="D122" s="235"/>
      <c r="E122" s="235"/>
      <c r="F122" s="235"/>
      <c r="G122" s="235"/>
      <c r="H122" s="235"/>
      <c r="I122" s="235"/>
      <c r="J122" s="235"/>
      <c r="K122" s="235"/>
      <c r="L122" s="235"/>
      <c r="M122" s="235"/>
      <c r="N122" s="235"/>
      <c r="O122" s="235"/>
      <c r="P122" s="235"/>
      <c r="Q122" s="235"/>
      <c r="R122" s="235"/>
      <c r="S122" s="235"/>
      <c r="T122" s="235"/>
      <c r="U122" s="235"/>
      <c r="V122" s="235"/>
      <c r="W122" s="235"/>
      <c r="X122" s="235"/>
      <c r="Y122" s="235"/>
      <c r="Z122" s="235"/>
    </row>
    <row r="123" spans="1:26" ht="12.75" customHeight="1">
      <c r="A123" s="235"/>
      <c r="B123" s="235"/>
      <c r="C123" s="235"/>
      <c r="D123" s="235"/>
      <c r="E123" s="235"/>
      <c r="F123" s="235"/>
      <c r="G123" s="235"/>
      <c r="H123" s="235"/>
      <c r="I123" s="235"/>
      <c r="J123" s="235"/>
      <c r="K123" s="235"/>
      <c r="L123" s="235"/>
      <c r="M123" s="235"/>
      <c r="N123" s="235"/>
      <c r="O123" s="235"/>
      <c r="P123" s="235"/>
      <c r="Q123" s="235"/>
      <c r="R123" s="235"/>
      <c r="S123" s="235"/>
      <c r="T123" s="235"/>
      <c r="U123" s="235"/>
      <c r="V123" s="235"/>
      <c r="W123" s="235"/>
      <c r="X123" s="235"/>
      <c r="Y123" s="235"/>
      <c r="Z123" s="235"/>
    </row>
    <row r="124" spans="1:26" ht="12.75" customHeight="1">
      <c r="A124" s="235"/>
      <c r="B124" s="235"/>
      <c r="C124" s="235"/>
      <c r="D124" s="235"/>
      <c r="E124" s="235"/>
      <c r="F124" s="235"/>
      <c r="G124" s="235"/>
      <c r="H124" s="235"/>
      <c r="I124" s="235"/>
      <c r="J124" s="235"/>
      <c r="K124" s="235"/>
      <c r="L124" s="235"/>
      <c r="M124" s="235"/>
      <c r="N124" s="235"/>
      <c r="O124" s="235"/>
      <c r="P124" s="235"/>
      <c r="Q124" s="235"/>
      <c r="R124" s="235"/>
      <c r="S124" s="235"/>
      <c r="T124" s="235"/>
      <c r="U124" s="235"/>
      <c r="V124" s="235"/>
      <c r="W124" s="235"/>
      <c r="X124" s="235"/>
      <c r="Y124" s="235"/>
      <c r="Z124" s="235"/>
    </row>
    <row r="125" spans="1:26" ht="12.75" customHeight="1">
      <c r="A125" s="235"/>
      <c r="B125" s="235"/>
      <c r="C125" s="235"/>
      <c r="D125" s="235"/>
      <c r="E125" s="235"/>
      <c r="F125" s="235"/>
      <c r="G125" s="235"/>
      <c r="H125" s="235"/>
      <c r="I125" s="235"/>
      <c r="J125" s="235"/>
      <c r="K125" s="235"/>
      <c r="L125" s="235"/>
      <c r="M125" s="235"/>
      <c r="N125" s="235"/>
      <c r="O125" s="235"/>
      <c r="P125" s="235"/>
      <c r="Q125" s="235"/>
      <c r="R125" s="235"/>
      <c r="S125" s="235"/>
      <c r="T125" s="235"/>
      <c r="U125" s="235"/>
      <c r="V125" s="235"/>
      <c r="W125" s="235"/>
      <c r="X125" s="235"/>
      <c r="Y125" s="235"/>
      <c r="Z125" s="235"/>
    </row>
    <row r="126" spans="1:26" ht="12.75" customHeight="1">
      <c r="A126" s="235"/>
      <c r="B126" s="235"/>
      <c r="C126" s="235"/>
      <c r="D126" s="235"/>
      <c r="E126" s="235"/>
      <c r="F126" s="235"/>
      <c r="G126" s="235"/>
      <c r="H126" s="235"/>
      <c r="I126" s="235"/>
      <c r="J126" s="235"/>
      <c r="K126" s="235"/>
      <c r="L126" s="235"/>
      <c r="M126" s="235"/>
      <c r="N126" s="235"/>
      <c r="O126" s="235"/>
      <c r="P126" s="235"/>
      <c r="Q126" s="235"/>
      <c r="R126" s="235"/>
      <c r="S126" s="235"/>
      <c r="T126" s="235"/>
      <c r="U126" s="235"/>
      <c r="V126" s="235"/>
      <c r="W126" s="235"/>
      <c r="X126" s="235"/>
      <c r="Y126" s="235"/>
      <c r="Z126" s="235"/>
    </row>
    <row r="127" spans="1:26" ht="12.75" customHeight="1">
      <c r="A127" s="235"/>
      <c r="B127" s="235"/>
      <c r="C127" s="235"/>
      <c r="D127" s="235"/>
      <c r="E127" s="235"/>
      <c r="F127" s="235"/>
      <c r="G127" s="235"/>
      <c r="H127" s="235"/>
      <c r="I127" s="235"/>
      <c r="J127" s="235"/>
      <c r="K127" s="235"/>
      <c r="L127" s="235"/>
      <c r="M127" s="235"/>
      <c r="N127" s="235"/>
      <c r="O127" s="235"/>
      <c r="P127" s="235"/>
      <c r="Q127" s="235"/>
      <c r="R127" s="235"/>
      <c r="S127" s="235"/>
      <c r="T127" s="235"/>
      <c r="U127" s="235"/>
      <c r="V127" s="235"/>
      <c r="W127" s="235"/>
      <c r="X127" s="235"/>
      <c r="Y127" s="235"/>
      <c r="Z127" s="235"/>
    </row>
    <row r="128" spans="1:26" ht="12.75" customHeight="1">
      <c r="A128" s="235"/>
      <c r="B128" s="235"/>
      <c r="C128" s="235"/>
      <c r="D128" s="235"/>
      <c r="E128" s="235"/>
      <c r="F128" s="235"/>
      <c r="G128" s="235"/>
      <c r="H128" s="235"/>
      <c r="I128" s="235"/>
      <c r="J128" s="235"/>
      <c r="K128" s="235"/>
      <c r="L128" s="235"/>
      <c r="M128" s="235"/>
      <c r="N128" s="235"/>
      <c r="O128" s="235"/>
      <c r="P128" s="235"/>
      <c r="Q128" s="235"/>
      <c r="R128" s="235"/>
      <c r="S128" s="235"/>
      <c r="T128" s="235"/>
      <c r="U128" s="235"/>
      <c r="V128" s="235"/>
      <c r="W128" s="235"/>
      <c r="X128" s="235"/>
      <c r="Y128" s="235"/>
      <c r="Z128" s="235"/>
    </row>
    <row r="129" spans="1:26" ht="12.75" customHeight="1">
      <c r="A129" s="235"/>
      <c r="B129" s="235"/>
      <c r="C129" s="235"/>
      <c r="D129" s="235"/>
      <c r="E129" s="235"/>
      <c r="F129" s="235"/>
      <c r="G129" s="235"/>
      <c r="H129" s="235"/>
      <c r="I129" s="235"/>
      <c r="J129" s="235"/>
      <c r="K129" s="235"/>
      <c r="L129" s="235"/>
      <c r="M129" s="235"/>
      <c r="N129" s="235"/>
      <c r="O129" s="235"/>
      <c r="P129" s="235"/>
      <c r="Q129" s="235"/>
      <c r="R129" s="235"/>
      <c r="S129" s="235"/>
      <c r="T129" s="235"/>
      <c r="U129" s="235"/>
      <c r="V129" s="235"/>
      <c r="W129" s="235"/>
      <c r="X129" s="235"/>
      <c r="Y129" s="235"/>
      <c r="Z129" s="235"/>
    </row>
    <row r="130" spans="1:26" ht="12.75" customHeight="1">
      <c r="A130" s="235"/>
      <c r="B130" s="235"/>
      <c r="C130" s="235"/>
      <c r="D130" s="235"/>
      <c r="E130" s="235"/>
      <c r="F130" s="235"/>
      <c r="G130" s="235"/>
      <c r="H130" s="235"/>
      <c r="I130" s="235"/>
      <c r="J130" s="235"/>
      <c r="K130" s="235"/>
      <c r="L130" s="235"/>
      <c r="M130" s="235"/>
      <c r="N130" s="235"/>
      <c r="O130" s="235"/>
      <c r="P130" s="235"/>
      <c r="Q130" s="235"/>
      <c r="R130" s="235"/>
      <c r="S130" s="235"/>
      <c r="T130" s="235"/>
      <c r="U130" s="235"/>
      <c r="V130" s="235"/>
      <c r="W130" s="235"/>
      <c r="X130" s="235"/>
      <c r="Y130" s="235"/>
      <c r="Z130" s="235"/>
    </row>
    <row r="131" spans="1:26" ht="12.75" customHeight="1">
      <c r="A131" s="235"/>
      <c r="B131" s="235"/>
      <c r="C131" s="235"/>
      <c r="D131" s="235"/>
      <c r="E131" s="235"/>
      <c r="F131" s="235"/>
      <c r="G131" s="235"/>
      <c r="H131" s="235"/>
      <c r="I131" s="235"/>
      <c r="J131" s="235"/>
      <c r="K131" s="235"/>
      <c r="L131" s="235"/>
      <c r="M131" s="235"/>
      <c r="N131" s="235"/>
      <c r="O131" s="235"/>
      <c r="P131" s="235"/>
      <c r="Q131" s="235"/>
      <c r="R131" s="235"/>
      <c r="S131" s="235"/>
      <c r="T131" s="235"/>
      <c r="U131" s="235"/>
      <c r="V131" s="235"/>
      <c r="W131" s="235"/>
      <c r="X131" s="235"/>
      <c r="Y131" s="235"/>
      <c r="Z131" s="235"/>
    </row>
    <row r="132" spans="1:26" ht="12.75" customHeight="1">
      <c r="A132" s="235"/>
      <c r="B132" s="235"/>
      <c r="C132" s="235"/>
      <c r="D132" s="235"/>
      <c r="E132" s="235"/>
      <c r="F132" s="235"/>
      <c r="G132" s="235"/>
      <c r="H132" s="235"/>
      <c r="I132" s="235"/>
      <c r="J132" s="235"/>
      <c r="K132" s="235"/>
      <c r="L132" s="235"/>
      <c r="M132" s="235"/>
      <c r="N132" s="235"/>
      <c r="O132" s="235"/>
      <c r="P132" s="235"/>
      <c r="Q132" s="235"/>
      <c r="R132" s="235"/>
      <c r="S132" s="235"/>
      <c r="T132" s="235"/>
      <c r="U132" s="235"/>
      <c r="V132" s="235"/>
      <c r="W132" s="235"/>
      <c r="X132" s="235"/>
      <c r="Y132" s="235"/>
      <c r="Z132" s="235"/>
    </row>
    <row r="133" spans="1:26" ht="12.75" customHeight="1">
      <c r="A133" s="235"/>
      <c r="B133" s="235"/>
      <c r="C133" s="235"/>
      <c r="D133" s="235"/>
      <c r="E133" s="235"/>
      <c r="F133" s="235"/>
      <c r="G133" s="235"/>
      <c r="H133" s="235"/>
      <c r="I133" s="235"/>
      <c r="J133" s="235"/>
      <c r="K133" s="235"/>
      <c r="L133" s="235"/>
      <c r="M133" s="235"/>
      <c r="N133" s="235"/>
      <c r="O133" s="235"/>
      <c r="P133" s="235"/>
      <c r="Q133" s="235"/>
      <c r="R133" s="235"/>
      <c r="S133" s="235"/>
      <c r="T133" s="235"/>
      <c r="U133" s="235"/>
      <c r="V133" s="235"/>
      <c r="W133" s="235"/>
      <c r="X133" s="235"/>
      <c r="Y133" s="235"/>
      <c r="Z133" s="235"/>
    </row>
    <row r="134" spans="1:26" ht="12.75" customHeight="1">
      <c r="A134" s="235"/>
      <c r="B134" s="235"/>
      <c r="C134" s="235"/>
      <c r="D134" s="235"/>
      <c r="E134" s="235"/>
      <c r="F134" s="235"/>
      <c r="G134" s="235"/>
      <c r="H134" s="235"/>
      <c r="I134" s="235"/>
      <c r="J134" s="235"/>
      <c r="K134" s="235"/>
      <c r="L134" s="235"/>
      <c r="M134" s="235"/>
      <c r="N134" s="235"/>
      <c r="O134" s="235"/>
      <c r="P134" s="235"/>
      <c r="Q134" s="235"/>
      <c r="R134" s="235"/>
      <c r="S134" s="235"/>
      <c r="T134" s="235"/>
      <c r="U134" s="235"/>
      <c r="V134" s="235"/>
      <c r="W134" s="235"/>
      <c r="X134" s="235"/>
      <c r="Y134" s="235"/>
      <c r="Z134" s="235"/>
    </row>
    <row r="135" spans="1:26" ht="12.75" customHeight="1">
      <c r="A135" s="235"/>
      <c r="B135" s="235"/>
      <c r="C135" s="235"/>
      <c r="D135" s="235"/>
      <c r="E135" s="235"/>
      <c r="F135" s="235"/>
      <c r="G135" s="235"/>
      <c r="H135" s="235"/>
      <c r="I135" s="235"/>
      <c r="J135" s="235"/>
      <c r="K135" s="235"/>
      <c r="L135" s="235"/>
      <c r="M135" s="235"/>
      <c r="N135" s="235"/>
      <c r="O135" s="235"/>
      <c r="P135" s="235"/>
      <c r="Q135" s="235"/>
      <c r="R135" s="235"/>
      <c r="S135" s="235"/>
      <c r="T135" s="235"/>
      <c r="U135" s="235"/>
      <c r="V135" s="235"/>
      <c r="W135" s="235"/>
      <c r="X135" s="235"/>
      <c r="Y135" s="235"/>
      <c r="Z135" s="235"/>
    </row>
    <row r="136" spans="1:26" ht="12.75" customHeight="1">
      <c r="A136" s="235"/>
      <c r="B136" s="235"/>
      <c r="C136" s="235"/>
      <c r="D136" s="235"/>
      <c r="E136" s="235"/>
      <c r="F136" s="235"/>
      <c r="G136" s="235"/>
      <c r="H136" s="235"/>
      <c r="I136" s="235"/>
      <c r="J136" s="235"/>
      <c r="K136" s="235"/>
      <c r="L136" s="235"/>
      <c r="M136" s="235"/>
      <c r="N136" s="235"/>
      <c r="O136" s="235"/>
      <c r="P136" s="235"/>
      <c r="Q136" s="235"/>
      <c r="R136" s="235"/>
      <c r="S136" s="235"/>
      <c r="T136" s="235"/>
      <c r="U136" s="235"/>
      <c r="V136" s="235"/>
      <c r="W136" s="235"/>
      <c r="X136" s="235"/>
      <c r="Y136" s="235"/>
      <c r="Z136" s="235"/>
    </row>
    <row r="137" spans="1:26" ht="12.75" customHeight="1">
      <c r="A137" s="235"/>
      <c r="B137" s="235"/>
      <c r="C137" s="235"/>
      <c r="D137" s="235"/>
      <c r="E137" s="235"/>
      <c r="F137" s="235"/>
      <c r="G137" s="235"/>
      <c r="H137" s="235"/>
      <c r="I137" s="235"/>
      <c r="J137" s="235"/>
      <c r="K137" s="235"/>
      <c r="L137" s="235"/>
      <c r="M137" s="235"/>
      <c r="N137" s="235"/>
      <c r="O137" s="235"/>
      <c r="P137" s="235"/>
      <c r="Q137" s="235"/>
      <c r="R137" s="235"/>
      <c r="S137" s="235"/>
      <c r="T137" s="235"/>
      <c r="U137" s="235"/>
      <c r="V137" s="235"/>
      <c r="W137" s="235"/>
      <c r="X137" s="235"/>
      <c r="Y137" s="235"/>
      <c r="Z137" s="235"/>
    </row>
    <row r="138" spans="1:26" ht="12.75" customHeight="1">
      <c r="A138" s="235"/>
      <c r="B138" s="235"/>
      <c r="C138" s="235"/>
      <c r="D138" s="235"/>
      <c r="E138" s="235"/>
      <c r="F138" s="235"/>
      <c r="G138" s="235"/>
      <c r="H138" s="235"/>
      <c r="I138" s="235"/>
      <c r="J138" s="235"/>
      <c r="K138" s="235"/>
      <c r="L138" s="235"/>
      <c r="M138" s="235"/>
      <c r="N138" s="235"/>
      <c r="O138" s="235"/>
      <c r="P138" s="235"/>
      <c r="Q138" s="235"/>
      <c r="R138" s="235"/>
      <c r="S138" s="235"/>
      <c r="T138" s="235"/>
      <c r="U138" s="235"/>
      <c r="V138" s="235"/>
      <c r="W138" s="235"/>
      <c r="X138" s="235"/>
      <c r="Y138" s="235"/>
      <c r="Z138" s="235"/>
    </row>
    <row r="139" spans="1:26" ht="12.75" customHeight="1">
      <c r="A139" s="235"/>
      <c r="B139" s="235"/>
      <c r="C139" s="235"/>
      <c r="D139" s="235"/>
      <c r="E139" s="235"/>
      <c r="F139" s="235"/>
      <c r="G139" s="235"/>
      <c r="H139" s="235"/>
      <c r="I139" s="235"/>
      <c r="J139" s="235"/>
      <c r="K139" s="235"/>
      <c r="L139" s="235"/>
      <c r="M139" s="235"/>
      <c r="N139" s="235"/>
      <c r="O139" s="235"/>
      <c r="P139" s="235"/>
      <c r="Q139" s="235"/>
      <c r="R139" s="235"/>
      <c r="S139" s="235"/>
      <c r="T139" s="235"/>
      <c r="U139" s="235"/>
      <c r="V139" s="235"/>
      <c r="W139" s="235"/>
      <c r="X139" s="235"/>
      <c r="Y139" s="235"/>
      <c r="Z139" s="235"/>
    </row>
    <row r="140" spans="1:26" ht="12.75" customHeight="1">
      <c r="A140" s="235"/>
      <c r="B140" s="235"/>
      <c r="C140" s="235"/>
      <c r="D140" s="235"/>
      <c r="E140" s="235"/>
      <c r="F140" s="235"/>
      <c r="G140" s="235"/>
      <c r="H140" s="235"/>
      <c r="I140" s="235"/>
      <c r="J140" s="235"/>
      <c r="K140" s="235"/>
      <c r="L140" s="235"/>
      <c r="M140" s="235"/>
      <c r="N140" s="235"/>
      <c r="O140" s="235"/>
      <c r="P140" s="235"/>
      <c r="Q140" s="235"/>
      <c r="R140" s="235"/>
      <c r="S140" s="235"/>
      <c r="T140" s="235"/>
      <c r="U140" s="235"/>
      <c r="V140" s="235"/>
      <c r="W140" s="235"/>
      <c r="X140" s="235"/>
      <c r="Y140" s="235"/>
      <c r="Z140" s="235"/>
    </row>
    <row r="141" spans="1:26" ht="12.75" customHeight="1">
      <c r="A141" s="235"/>
      <c r="B141" s="235"/>
      <c r="C141" s="235"/>
      <c r="D141" s="235"/>
      <c r="E141" s="235"/>
      <c r="F141" s="235"/>
      <c r="G141" s="235"/>
      <c r="H141" s="235"/>
      <c r="I141" s="235"/>
      <c r="J141" s="235"/>
      <c r="K141" s="235"/>
      <c r="L141" s="235"/>
      <c r="M141" s="235"/>
      <c r="N141" s="235"/>
      <c r="O141" s="235"/>
      <c r="P141" s="235"/>
      <c r="Q141" s="235"/>
      <c r="R141" s="235"/>
      <c r="S141" s="235"/>
      <c r="T141" s="235"/>
      <c r="U141" s="235"/>
      <c r="V141" s="235"/>
      <c r="W141" s="235"/>
      <c r="X141" s="235"/>
      <c r="Y141" s="235"/>
      <c r="Z141" s="235"/>
    </row>
    <row r="142" spans="1:26" ht="12.75" customHeight="1">
      <c r="A142" s="235"/>
      <c r="B142" s="235"/>
      <c r="C142" s="235"/>
      <c r="D142" s="235"/>
      <c r="E142" s="235"/>
      <c r="F142" s="235"/>
      <c r="G142" s="235"/>
      <c r="H142" s="235"/>
      <c r="I142" s="235"/>
      <c r="J142" s="235"/>
      <c r="K142" s="235"/>
      <c r="L142" s="235"/>
      <c r="M142" s="235"/>
      <c r="N142" s="235"/>
      <c r="O142" s="235"/>
      <c r="P142" s="235"/>
      <c r="Q142" s="235"/>
      <c r="R142" s="235"/>
      <c r="S142" s="235"/>
      <c r="T142" s="235"/>
      <c r="U142" s="235"/>
      <c r="V142" s="235"/>
      <c r="W142" s="235"/>
      <c r="X142" s="235"/>
      <c r="Y142" s="235"/>
      <c r="Z142" s="235"/>
    </row>
    <row r="143" spans="1:26" ht="12.75" customHeight="1">
      <c r="A143" s="235"/>
      <c r="B143" s="235"/>
      <c r="C143" s="235"/>
      <c r="D143" s="235"/>
      <c r="E143" s="235"/>
      <c r="F143" s="235"/>
      <c r="G143" s="235"/>
      <c r="H143" s="235"/>
      <c r="I143" s="235"/>
      <c r="J143" s="235"/>
      <c r="K143" s="235"/>
      <c r="L143" s="235"/>
      <c r="M143" s="235"/>
      <c r="N143" s="235"/>
      <c r="O143" s="235"/>
      <c r="P143" s="235"/>
      <c r="Q143" s="235"/>
      <c r="R143" s="235"/>
      <c r="S143" s="235"/>
      <c r="T143" s="235"/>
      <c r="U143" s="235"/>
      <c r="V143" s="235"/>
      <c r="W143" s="235"/>
      <c r="X143" s="235"/>
      <c r="Y143" s="235"/>
      <c r="Z143" s="235"/>
    </row>
    <row r="144" spans="1:26" ht="12.75" customHeight="1">
      <c r="A144" s="235"/>
      <c r="B144" s="235"/>
      <c r="C144" s="235"/>
      <c r="D144" s="235"/>
      <c r="E144" s="235"/>
      <c r="F144" s="235"/>
      <c r="G144" s="235"/>
      <c r="H144" s="235"/>
      <c r="I144" s="235"/>
      <c r="J144" s="235"/>
      <c r="K144" s="235"/>
      <c r="L144" s="235"/>
      <c r="M144" s="235"/>
      <c r="N144" s="235"/>
      <c r="O144" s="235"/>
      <c r="P144" s="235"/>
      <c r="Q144" s="235"/>
      <c r="R144" s="235"/>
      <c r="S144" s="235"/>
      <c r="T144" s="235"/>
      <c r="U144" s="235"/>
      <c r="V144" s="235"/>
      <c r="W144" s="235"/>
      <c r="X144" s="235"/>
      <c r="Y144" s="235"/>
      <c r="Z144" s="235"/>
    </row>
    <row r="145" spans="1:26" ht="12.75" customHeight="1">
      <c r="A145" s="235"/>
      <c r="B145" s="235"/>
      <c r="C145" s="235"/>
      <c r="D145" s="235"/>
      <c r="E145" s="235"/>
      <c r="F145" s="235"/>
      <c r="G145" s="235"/>
      <c r="H145" s="235"/>
      <c r="I145" s="235"/>
      <c r="J145" s="235"/>
      <c r="K145" s="235"/>
      <c r="L145" s="235"/>
      <c r="M145" s="235"/>
      <c r="N145" s="235"/>
      <c r="O145" s="235"/>
      <c r="P145" s="235"/>
      <c r="Q145" s="235"/>
      <c r="R145" s="235"/>
      <c r="S145" s="235"/>
      <c r="T145" s="235"/>
      <c r="U145" s="235"/>
      <c r="V145" s="235"/>
      <c r="W145" s="235"/>
      <c r="X145" s="235"/>
      <c r="Y145" s="235"/>
      <c r="Z145" s="235"/>
    </row>
    <row r="146" spans="1:26" ht="12.75" customHeight="1">
      <c r="A146" s="235"/>
      <c r="B146" s="235"/>
      <c r="C146" s="235"/>
      <c r="D146" s="235"/>
      <c r="E146" s="235"/>
      <c r="F146" s="235"/>
      <c r="G146" s="235"/>
      <c r="H146" s="235"/>
      <c r="I146" s="235"/>
      <c r="J146" s="235"/>
      <c r="K146" s="235"/>
      <c r="L146" s="235"/>
      <c r="M146" s="235"/>
      <c r="N146" s="235"/>
      <c r="O146" s="235"/>
      <c r="P146" s="235"/>
      <c r="Q146" s="235"/>
      <c r="R146" s="235"/>
      <c r="S146" s="235"/>
      <c r="T146" s="235"/>
      <c r="U146" s="235"/>
      <c r="V146" s="235"/>
      <c r="W146" s="235"/>
      <c r="X146" s="235"/>
      <c r="Y146" s="235"/>
      <c r="Z146" s="235"/>
    </row>
    <row r="147" spans="1:26" ht="12.75" customHeight="1">
      <c r="A147" s="235"/>
      <c r="B147" s="235"/>
      <c r="C147" s="235"/>
      <c r="D147" s="235"/>
      <c r="E147" s="235"/>
      <c r="F147" s="235"/>
      <c r="G147" s="235"/>
      <c r="H147" s="235"/>
      <c r="I147" s="235"/>
      <c r="J147" s="235"/>
      <c r="K147" s="235"/>
      <c r="L147" s="235"/>
      <c r="M147" s="235"/>
      <c r="N147" s="235"/>
      <c r="O147" s="235"/>
      <c r="P147" s="235"/>
      <c r="Q147" s="235"/>
      <c r="R147" s="235"/>
      <c r="S147" s="235"/>
      <c r="T147" s="235"/>
      <c r="U147" s="235"/>
      <c r="V147" s="235"/>
      <c r="W147" s="235"/>
      <c r="X147" s="235"/>
      <c r="Y147" s="235"/>
      <c r="Z147" s="235"/>
    </row>
    <row r="148" spans="1:26" ht="12.75" customHeight="1">
      <c r="A148" s="235"/>
      <c r="B148" s="235"/>
      <c r="C148" s="235"/>
      <c r="D148" s="235"/>
      <c r="E148" s="235"/>
      <c r="F148" s="235"/>
      <c r="G148" s="235"/>
      <c r="H148" s="235"/>
      <c r="I148" s="235"/>
      <c r="J148" s="235"/>
      <c r="K148" s="235"/>
      <c r="L148" s="235"/>
      <c r="M148" s="235"/>
      <c r="N148" s="235"/>
      <c r="O148" s="235"/>
      <c r="P148" s="235"/>
      <c r="Q148" s="235"/>
      <c r="R148" s="235"/>
      <c r="S148" s="235"/>
      <c r="T148" s="235"/>
      <c r="U148" s="235"/>
      <c r="V148" s="235"/>
      <c r="W148" s="235"/>
      <c r="X148" s="235"/>
      <c r="Y148" s="235"/>
      <c r="Z148" s="235"/>
    </row>
    <row r="149" spans="1:26" ht="12.75" customHeight="1">
      <c r="A149" s="235"/>
      <c r="B149" s="235"/>
      <c r="C149" s="235"/>
      <c r="D149" s="235"/>
      <c r="E149" s="235"/>
      <c r="F149" s="235"/>
      <c r="G149" s="235"/>
      <c r="H149" s="235"/>
      <c r="I149" s="235"/>
      <c r="J149" s="235"/>
      <c r="K149" s="235"/>
      <c r="L149" s="235"/>
      <c r="M149" s="235"/>
      <c r="N149" s="235"/>
      <c r="O149" s="235"/>
      <c r="P149" s="235"/>
      <c r="Q149" s="235"/>
      <c r="R149" s="235"/>
      <c r="S149" s="235"/>
      <c r="T149" s="235"/>
      <c r="U149" s="235"/>
      <c r="V149" s="235"/>
      <c r="W149" s="235"/>
      <c r="X149" s="235"/>
      <c r="Y149" s="235"/>
      <c r="Z149" s="235"/>
    </row>
    <row r="150" spans="1:26" ht="12.75" customHeight="1">
      <c r="A150" s="235"/>
      <c r="B150" s="235"/>
      <c r="C150" s="235"/>
      <c r="D150" s="235"/>
      <c r="E150" s="235"/>
      <c r="F150" s="235"/>
      <c r="G150" s="235"/>
      <c r="H150" s="235"/>
      <c r="I150" s="235"/>
      <c r="J150" s="235"/>
      <c r="K150" s="235"/>
      <c r="L150" s="235"/>
      <c r="M150" s="235"/>
      <c r="N150" s="235"/>
      <c r="O150" s="235"/>
      <c r="P150" s="235"/>
      <c r="Q150" s="235"/>
      <c r="R150" s="235"/>
      <c r="S150" s="235"/>
      <c r="T150" s="235"/>
      <c r="U150" s="235"/>
      <c r="V150" s="235"/>
      <c r="W150" s="235"/>
      <c r="X150" s="235"/>
      <c r="Y150" s="235"/>
      <c r="Z150" s="235"/>
    </row>
    <row r="151" spans="1:26" ht="12.75" customHeight="1">
      <c r="A151" s="235"/>
      <c r="B151" s="235"/>
      <c r="C151" s="235"/>
      <c r="D151" s="235"/>
      <c r="E151" s="235"/>
      <c r="F151" s="235"/>
      <c r="G151" s="235"/>
      <c r="H151" s="235"/>
      <c r="I151" s="235"/>
      <c r="J151" s="235"/>
      <c r="K151" s="235"/>
      <c r="L151" s="235"/>
      <c r="M151" s="235"/>
      <c r="N151" s="235"/>
      <c r="O151" s="235"/>
      <c r="P151" s="235"/>
      <c r="Q151" s="235"/>
      <c r="R151" s="235"/>
      <c r="S151" s="235"/>
      <c r="T151" s="235"/>
      <c r="U151" s="235"/>
      <c r="V151" s="235"/>
      <c r="W151" s="235"/>
      <c r="X151" s="235"/>
      <c r="Y151" s="235"/>
      <c r="Z151" s="235"/>
    </row>
    <row r="152" spans="1:26" ht="12.75" customHeight="1">
      <c r="A152" s="235"/>
      <c r="B152" s="235"/>
      <c r="C152" s="235"/>
      <c r="D152" s="235"/>
      <c r="E152" s="235"/>
      <c r="F152" s="235"/>
      <c r="G152" s="235"/>
      <c r="H152" s="235"/>
      <c r="I152" s="235"/>
      <c r="J152" s="235"/>
      <c r="K152" s="235"/>
      <c r="L152" s="235"/>
      <c r="M152" s="235"/>
      <c r="N152" s="235"/>
      <c r="O152" s="235"/>
      <c r="P152" s="235"/>
      <c r="Q152" s="235"/>
      <c r="R152" s="235"/>
      <c r="S152" s="235"/>
      <c r="T152" s="235"/>
      <c r="U152" s="235"/>
      <c r="V152" s="235"/>
      <c r="W152" s="235"/>
      <c r="X152" s="235"/>
      <c r="Y152" s="235"/>
      <c r="Z152" s="235"/>
    </row>
    <row r="153" spans="1:26" ht="12.75" customHeight="1">
      <c r="A153" s="235"/>
      <c r="B153" s="235"/>
      <c r="C153" s="235"/>
      <c r="D153" s="235"/>
      <c r="E153" s="235"/>
      <c r="F153" s="235"/>
      <c r="G153" s="235"/>
      <c r="H153" s="235"/>
      <c r="I153" s="235"/>
      <c r="J153" s="235"/>
      <c r="K153" s="235"/>
      <c r="L153" s="235"/>
      <c r="M153" s="235"/>
      <c r="N153" s="235"/>
      <c r="O153" s="235"/>
      <c r="P153" s="235"/>
      <c r="Q153" s="235"/>
      <c r="R153" s="235"/>
      <c r="S153" s="235"/>
      <c r="T153" s="235"/>
      <c r="U153" s="235"/>
      <c r="V153" s="235"/>
      <c r="W153" s="235"/>
      <c r="X153" s="235"/>
      <c r="Y153" s="235"/>
      <c r="Z153" s="235"/>
    </row>
    <row r="154" spans="1:26" ht="12.75" customHeight="1">
      <c r="A154" s="235"/>
      <c r="B154" s="235"/>
      <c r="C154" s="235"/>
      <c r="D154" s="235"/>
      <c r="E154" s="235"/>
      <c r="F154" s="235"/>
      <c r="G154" s="235"/>
      <c r="H154" s="235"/>
      <c r="I154" s="235"/>
      <c r="J154" s="235"/>
      <c r="K154" s="235"/>
      <c r="L154" s="235"/>
      <c r="M154" s="235"/>
      <c r="N154" s="235"/>
      <c r="O154" s="235"/>
      <c r="P154" s="235"/>
      <c r="Q154" s="235"/>
      <c r="R154" s="235"/>
      <c r="S154" s="235"/>
      <c r="T154" s="235"/>
      <c r="U154" s="235"/>
      <c r="V154" s="235"/>
      <c r="W154" s="235"/>
      <c r="X154" s="235"/>
      <c r="Y154" s="235"/>
      <c r="Z154" s="235"/>
    </row>
    <row r="155" spans="1:26" ht="12.75" customHeight="1">
      <c r="A155" s="235"/>
      <c r="B155" s="235"/>
      <c r="C155" s="235"/>
      <c r="D155" s="235"/>
      <c r="E155" s="235"/>
      <c r="F155" s="235"/>
      <c r="G155" s="235"/>
      <c r="H155" s="235"/>
      <c r="I155" s="235"/>
      <c r="J155" s="235"/>
      <c r="K155" s="235"/>
      <c r="L155" s="235"/>
      <c r="M155" s="235"/>
      <c r="N155" s="235"/>
      <c r="O155" s="235"/>
      <c r="P155" s="235"/>
      <c r="Q155" s="235"/>
      <c r="R155" s="235"/>
      <c r="S155" s="235"/>
      <c r="T155" s="235"/>
      <c r="U155" s="235"/>
      <c r="V155" s="235"/>
      <c r="W155" s="235"/>
      <c r="X155" s="235"/>
      <c r="Y155" s="235"/>
      <c r="Z155" s="235"/>
    </row>
    <row r="156" spans="1:26" ht="12.75" customHeight="1">
      <c r="A156" s="235"/>
      <c r="B156" s="235"/>
      <c r="C156" s="235"/>
      <c r="D156" s="235"/>
      <c r="E156" s="235"/>
      <c r="F156" s="235"/>
      <c r="G156" s="235"/>
      <c r="H156" s="235"/>
      <c r="I156" s="235"/>
      <c r="J156" s="235"/>
      <c r="K156" s="235"/>
      <c r="L156" s="235"/>
      <c r="M156" s="235"/>
      <c r="N156" s="235"/>
      <c r="O156" s="235"/>
      <c r="P156" s="235"/>
      <c r="Q156" s="235"/>
      <c r="R156" s="235"/>
      <c r="S156" s="235"/>
      <c r="T156" s="235"/>
      <c r="U156" s="235"/>
      <c r="V156" s="235"/>
      <c r="W156" s="235"/>
      <c r="X156" s="235"/>
      <c r="Y156" s="235"/>
      <c r="Z156" s="235"/>
    </row>
    <row r="157" spans="1:26" ht="12.75" customHeight="1">
      <c r="A157" s="235"/>
      <c r="B157" s="235"/>
      <c r="C157" s="235"/>
      <c r="D157" s="235"/>
      <c r="E157" s="235"/>
      <c r="F157" s="235"/>
      <c r="G157" s="235"/>
      <c r="H157" s="235"/>
      <c r="I157" s="235"/>
      <c r="J157" s="235"/>
      <c r="K157" s="235"/>
      <c r="L157" s="235"/>
      <c r="M157" s="235"/>
      <c r="N157" s="235"/>
      <c r="O157" s="235"/>
      <c r="P157" s="235"/>
      <c r="Q157" s="235"/>
      <c r="R157" s="235"/>
      <c r="S157" s="235"/>
      <c r="T157" s="235"/>
      <c r="U157" s="235"/>
      <c r="V157" s="235"/>
      <c r="W157" s="235"/>
      <c r="X157" s="235"/>
      <c r="Y157" s="235"/>
      <c r="Z157" s="235"/>
    </row>
    <row r="158" spans="1:26" ht="12.75" customHeight="1">
      <c r="A158" s="235"/>
      <c r="B158" s="235"/>
      <c r="C158" s="235"/>
      <c r="D158" s="235"/>
      <c r="E158" s="235"/>
      <c r="F158" s="235"/>
      <c r="G158" s="235"/>
      <c r="H158" s="235"/>
      <c r="I158" s="235"/>
      <c r="J158" s="235"/>
      <c r="K158" s="235"/>
      <c r="L158" s="235"/>
      <c r="M158" s="235"/>
      <c r="N158" s="235"/>
      <c r="O158" s="235"/>
      <c r="P158" s="235"/>
      <c r="Q158" s="235"/>
      <c r="R158" s="235"/>
      <c r="S158" s="235"/>
      <c r="T158" s="235"/>
      <c r="U158" s="235"/>
      <c r="V158" s="235"/>
      <c r="W158" s="235"/>
      <c r="X158" s="235"/>
      <c r="Y158" s="235"/>
      <c r="Z158" s="235"/>
    </row>
    <row r="159" spans="1:26" ht="12.75" customHeight="1">
      <c r="A159" s="235"/>
      <c r="B159" s="235"/>
      <c r="C159" s="235"/>
      <c r="D159" s="235"/>
      <c r="E159" s="235"/>
      <c r="F159" s="235"/>
      <c r="G159" s="235"/>
      <c r="H159" s="235"/>
      <c r="I159" s="235"/>
      <c r="J159" s="235"/>
      <c r="K159" s="235"/>
      <c r="L159" s="235"/>
      <c r="M159" s="235"/>
      <c r="N159" s="235"/>
      <c r="O159" s="235"/>
      <c r="P159" s="235"/>
      <c r="Q159" s="235"/>
      <c r="R159" s="235"/>
      <c r="S159" s="235"/>
      <c r="T159" s="235"/>
      <c r="U159" s="235"/>
      <c r="V159" s="235"/>
      <c r="W159" s="235"/>
      <c r="X159" s="235"/>
      <c r="Y159" s="235"/>
      <c r="Z159" s="235"/>
    </row>
    <row r="160" spans="1:26" ht="12.75" customHeight="1">
      <c r="A160" s="235"/>
      <c r="B160" s="235"/>
      <c r="C160" s="235"/>
      <c r="D160" s="235"/>
      <c r="E160" s="235"/>
      <c r="F160" s="235"/>
      <c r="G160" s="235"/>
      <c r="H160" s="235"/>
      <c r="I160" s="235"/>
      <c r="J160" s="235"/>
      <c r="K160" s="235"/>
      <c r="L160" s="235"/>
      <c r="M160" s="235"/>
      <c r="N160" s="235"/>
      <c r="O160" s="235"/>
      <c r="P160" s="235"/>
      <c r="Q160" s="235"/>
      <c r="R160" s="235"/>
      <c r="S160" s="235"/>
      <c r="T160" s="235"/>
      <c r="U160" s="235"/>
      <c r="V160" s="235"/>
      <c r="W160" s="235"/>
      <c r="X160" s="235"/>
      <c r="Y160" s="235"/>
      <c r="Z160" s="235"/>
    </row>
    <row r="161" spans="1:26" ht="12.75" customHeight="1">
      <c r="A161" s="235"/>
      <c r="B161" s="235"/>
      <c r="C161" s="235"/>
      <c r="D161" s="235"/>
      <c r="E161" s="235"/>
      <c r="F161" s="235"/>
      <c r="G161" s="235"/>
      <c r="H161" s="235"/>
      <c r="I161" s="235"/>
      <c r="J161" s="235"/>
      <c r="K161" s="235"/>
      <c r="L161" s="235"/>
      <c r="M161" s="235"/>
      <c r="N161" s="235"/>
      <c r="O161" s="235"/>
      <c r="P161" s="235"/>
      <c r="Q161" s="235"/>
      <c r="R161" s="235"/>
      <c r="S161" s="235"/>
      <c r="T161" s="235"/>
      <c r="U161" s="235"/>
      <c r="V161" s="235"/>
      <c r="W161" s="235"/>
      <c r="X161" s="235"/>
      <c r="Y161" s="235"/>
      <c r="Z161" s="235"/>
    </row>
    <row r="162" spans="1:26" ht="12.75" customHeight="1">
      <c r="A162" s="235"/>
      <c r="B162" s="235"/>
      <c r="C162" s="235"/>
      <c r="D162" s="235"/>
      <c r="E162" s="235"/>
      <c r="F162" s="235"/>
      <c r="G162" s="235"/>
      <c r="H162" s="235"/>
      <c r="I162" s="235"/>
      <c r="J162" s="235"/>
      <c r="K162" s="235"/>
      <c r="L162" s="235"/>
      <c r="M162" s="235"/>
      <c r="N162" s="235"/>
      <c r="O162" s="235"/>
      <c r="P162" s="235"/>
      <c r="Q162" s="235"/>
      <c r="R162" s="235"/>
      <c r="S162" s="235"/>
      <c r="T162" s="235"/>
      <c r="U162" s="235"/>
      <c r="V162" s="235"/>
      <c r="W162" s="235"/>
      <c r="X162" s="235"/>
      <c r="Y162" s="235"/>
      <c r="Z162" s="235"/>
    </row>
    <row r="163" spans="1:26" ht="12.75" customHeight="1">
      <c r="A163" s="235"/>
      <c r="B163" s="235"/>
      <c r="C163" s="235"/>
      <c r="D163" s="235"/>
      <c r="E163" s="235"/>
      <c r="F163" s="235"/>
      <c r="G163" s="235"/>
      <c r="H163" s="235"/>
      <c r="I163" s="235"/>
      <c r="J163" s="235"/>
      <c r="K163" s="235"/>
      <c r="L163" s="235"/>
      <c r="M163" s="235"/>
      <c r="N163" s="235"/>
      <c r="O163" s="235"/>
      <c r="P163" s="235"/>
      <c r="Q163" s="235"/>
      <c r="R163" s="235"/>
      <c r="S163" s="235"/>
      <c r="T163" s="235"/>
      <c r="U163" s="235"/>
      <c r="V163" s="235"/>
      <c r="W163" s="235"/>
      <c r="X163" s="235"/>
      <c r="Y163" s="235"/>
      <c r="Z163" s="235"/>
    </row>
    <row r="164" spans="1:26" ht="12.75" customHeight="1">
      <c r="A164" s="235"/>
      <c r="B164" s="235"/>
      <c r="C164" s="235"/>
      <c r="D164" s="235"/>
      <c r="E164" s="235"/>
      <c r="F164" s="235"/>
      <c r="G164" s="235"/>
      <c r="H164" s="235"/>
      <c r="I164" s="235"/>
      <c r="J164" s="235"/>
      <c r="K164" s="235"/>
      <c r="L164" s="235"/>
      <c r="M164" s="235"/>
      <c r="N164" s="235"/>
      <c r="O164" s="235"/>
      <c r="P164" s="235"/>
      <c r="Q164" s="235"/>
      <c r="R164" s="235"/>
      <c r="S164" s="235"/>
      <c r="T164" s="235"/>
      <c r="U164" s="235"/>
      <c r="V164" s="235"/>
      <c r="W164" s="235"/>
      <c r="X164" s="235"/>
      <c r="Y164" s="235"/>
      <c r="Z164" s="235"/>
    </row>
    <row r="165" spans="1:26" ht="12.75" customHeight="1">
      <c r="A165" s="235"/>
      <c r="B165" s="235"/>
      <c r="C165" s="235"/>
      <c r="D165" s="235"/>
      <c r="E165" s="235"/>
      <c r="F165" s="235"/>
      <c r="G165" s="235"/>
      <c r="H165" s="235"/>
      <c r="I165" s="235"/>
      <c r="J165" s="235"/>
      <c r="K165" s="235"/>
      <c r="L165" s="235"/>
      <c r="M165" s="235"/>
      <c r="N165" s="235"/>
      <c r="O165" s="235"/>
      <c r="P165" s="235"/>
      <c r="Q165" s="235"/>
      <c r="R165" s="235"/>
      <c r="S165" s="235"/>
      <c r="T165" s="235"/>
      <c r="U165" s="235"/>
      <c r="V165" s="235"/>
      <c r="W165" s="235"/>
      <c r="X165" s="235"/>
      <c r="Y165" s="235"/>
      <c r="Z165" s="235"/>
    </row>
    <row r="166" spans="1:26" ht="12.75" customHeight="1">
      <c r="A166" s="235"/>
      <c r="B166" s="235"/>
      <c r="C166" s="235"/>
      <c r="D166" s="235"/>
      <c r="E166" s="235"/>
      <c r="F166" s="235"/>
      <c r="G166" s="235"/>
      <c r="H166" s="235"/>
      <c r="I166" s="235"/>
      <c r="J166" s="235"/>
      <c r="K166" s="235"/>
      <c r="L166" s="235"/>
      <c r="M166" s="235"/>
      <c r="N166" s="235"/>
      <c r="O166" s="235"/>
      <c r="P166" s="235"/>
      <c r="Q166" s="235"/>
      <c r="R166" s="235"/>
      <c r="S166" s="235"/>
      <c r="T166" s="235"/>
      <c r="U166" s="235"/>
      <c r="V166" s="235"/>
      <c r="W166" s="235"/>
      <c r="X166" s="235"/>
      <c r="Y166" s="235"/>
      <c r="Z166" s="235"/>
    </row>
    <row r="167" spans="1:26" ht="12.75" customHeight="1">
      <c r="A167" s="235"/>
      <c r="B167" s="235"/>
      <c r="C167" s="235"/>
      <c r="D167" s="235"/>
      <c r="E167" s="235"/>
      <c r="F167" s="235"/>
      <c r="G167" s="235"/>
      <c r="H167" s="235"/>
      <c r="I167" s="235"/>
      <c r="J167" s="235"/>
      <c r="K167" s="235"/>
      <c r="L167" s="235"/>
      <c r="M167" s="235"/>
      <c r="N167" s="235"/>
      <c r="O167" s="235"/>
      <c r="P167" s="235"/>
      <c r="Q167" s="235"/>
      <c r="R167" s="235"/>
      <c r="S167" s="235"/>
      <c r="T167" s="235"/>
      <c r="U167" s="235"/>
      <c r="V167" s="235"/>
      <c r="W167" s="235"/>
      <c r="X167" s="235"/>
      <c r="Y167" s="235"/>
      <c r="Z167" s="235"/>
    </row>
    <row r="168" spans="1:26" ht="12.75" customHeight="1">
      <c r="A168" s="235"/>
      <c r="B168" s="235"/>
      <c r="C168" s="235"/>
      <c r="D168" s="235"/>
      <c r="E168" s="235"/>
      <c r="F168" s="235"/>
      <c r="G168" s="235"/>
      <c r="H168" s="235"/>
      <c r="I168" s="235"/>
      <c r="J168" s="235"/>
      <c r="K168" s="235"/>
      <c r="L168" s="235"/>
      <c r="M168" s="235"/>
      <c r="N168" s="235"/>
      <c r="O168" s="235"/>
      <c r="P168" s="235"/>
      <c r="Q168" s="235"/>
      <c r="R168" s="235"/>
      <c r="S168" s="235"/>
      <c r="T168" s="235"/>
      <c r="U168" s="235"/>
      <c r="V168" s="235"/>
      <c r="W168" s="235"/>
      <c r="X168" s="235"/>
      <c r="Y168" s="235"/>
      <c r="Z168" s="235"/>
    </row>
    <row r="169" spans="1:26" ht="12.75" customHeight="1">
      <c r="A169" s="235"/>
      <c r="B169" s="235"/>
      <c r="C169" s="235"/>
      <c r="D169" s="235"/>
      <c r="E169" s="235"/>
      <c r="F169" s="235"/>
      <c r="G169" s="235"/>
      <c r="H169" s="235"/>
      <c r="I169" s="235"/>
      <c r="J169" s="235"/>
      <c r="K169" s="235"/>
      <c r="L169" s="235"/>
      <c r="M169" s="235"/>
      <c r="N169" s="235"/>
      <c r="O169" s="235"/>
      <c r="P169" s="235"/>
      <c r="Q169" s="235"/>
      <c r="R169" s="235"/>
      <c r="S169" s="235"/>
      <c r="T169" s="235"/>
      <c r="U169" s="235"/>
      <c r="V169" s="235"/>
      <c r="W169" s="235"/>
      <c r="X169" s="235"/>
      <c r="Y169" s="235"/>
      <c r="Z169" s="235"/>
    </row>
    <row r="170" spans="1:26" ht="12.75" customHeight="1">
      <c r="A170" s="235"/>
      <c r="B170" s="235"/>
      <c r="C170" s="235"/>
      <c r="D170" s="235"/>
      <c r="E170" s="235"/>
      <c r="F170" s="235"/>
      <c r="G170" s="235"/>
      <c r="H170" s="235"/>
      <c r="I170" s="235"/>
      <c r="J170" s="235"/>
      <c r="K170" s="235"/>
      <c r="L170" s="235"/>
      <c r="M170" s="235"/>
      <c r="N170" s="235"/>
      <c r="O170" s="235"/>
      <c r="P170" s="235"/>
      <c r="Q170" s="235"/>
      <c r="R170" s="235"/>
      <c r="S170" s="235"/>
      <c r="T170" s="235"/>
      <c r="U170" s="235"/>
      <c r="V170" s="235"/>
      <c r="W170" s="235"/>
      <c r="X170" s="235"/>
      <c r="Y170" s="235"/>
      <c r="Z170" s="235"/>
    </row>
    <row r="171" spans="1:26" ht="12.75" customHeight="1">
      <c r="A171" s="235"/>
      <c r="B171" s="235"/>
      <c r="C171" s="235"/>
      <c r="D171" s="235"/>
      <c r="E171" s="235"/>
      <c r="F171" s="235"/>
      <c r="G171" s="235"/>
      <c r="H171" s="235"/>
      <c r="I171" s="235"/>
      <c r="J171" s="235"/>
      <c r="K171" s="235"/>
      <c r="L171" s="235"/>
      <c r="M171" s="235"/>
      <c r="N171" s="235"/>
      <c r="O171" s="235"/>
      <c r="P171" s="235"/>
      <c r="Q171" s="235"/>
      <c r="R171" s="235"/>
      <c r="S171" s="235"/>
      <c r="T171" s="235"/>
      <c r="U171" s="235"/>
      <c r="V171" s="235"/>
      <c r="W171" s="235"/>
      <c r="X171" s="235"/>
      <c r="Y171" s="235"/>
      <c r="Z171" s="235"/>
    </row>
    <row r="172" spans="1:26" ht="12.75" customHeight="1">
      <c r="A172" s="235"/>
      <c r="B172" s="235"/>
      <c r="C172" s="235"/>
      <c r="D172" s="235"/>
      <c r="E172" s="235"/>
      <c r="F172" s="235"/>
      <c r="G172" s="235"/>
      <c r="H172" s="235"/>
      <c r="I172" s="235"/>
      <c r="J172" s="235"/>
      <c r="K172" s="235"/>
      <c r="L172" s="235"/>
      <c r="M172" s="235"/>
      <c r="N172" s="235"/>
      <c r="O172" s="235"/>
      <c r="P172" s="235"/>
      <c r="Q172" s="235"/>
      <c r="R172" s="235"/>
      <c r="S172" s="235"/>
      <c r="T172" s="235"/>
      <c r="U172" s="235"/>
      <c r="V172" s="235"/>
      <c r="W172" s="235"/>
      <c r="X172" s="235"/>
      <c r="Y172" s="235"/>
      <c r="Z172" s="235"/>
    </row>
    <row r="173" spans="1:26" ht="12.75" customHeight="1">
      <c r="A173" s="235"/>
      <c r="B173" s="235"/>
      <c r="C173" s="235"/>
      <c r="D173" s="235"/>
      <c r="E173" s="235"/>
      <c r="F173" s="235"/>
      <c r="G173" s="235"/>
      <c r="H173" s="235"/>
      <c r="I173" s="235"/>
      <c r="J173" s="235"/>
      <c r="K173" s="235"/>
      <c r="L173" s="235"/>
      <c r="M173" s="235"/>
      <c r="N173" s="235"/>
      <c r="O173" s="235"/>
      <c r="P173" s="235"/>
      <c r="Q173" s="235"/>
      <c r="R173" s="235"/>
      <c r="S173" s="235"/>
      <c r="T173" s="235"/>
      <c r="U173" s="235"/>
      <c r="V173" s="235"/>
      <c r="W173" s="235"/>
      <c r="X173" s="235"/>
      <c r="Y173" s="235"/>
      <c r="Z173" s="235"/>
    </row>
    <row r="174" spans="1:26" ht="12.75" customHeight="1">
      <c r="A174" s="235"/>
      <c r="B174" s="235"/>
      <c r="C174" s="235"/>
      <c r="D174" s="235"/>
      <c r="E174" s="235"/>
      <c r="F174" s="235"/>
      <c r="G174" s="235"/>
      <c r="H174" s="235"/>
      <c r="I174" s="235"/>
      <c r="J174" s="235"/>
      <c r="K174" s="235"/>
      <c r="L174" s="235"/>
      <c r="M174" s="235"/>
      <c r="N174" s="235"/>
      <c r="O174" s="235"/>
      <c r="P174" s="235"/>
      <c r="Q174" s="235"/>
      <c r="R174" s="235"/>
      <c r="S174" s="235"/>
      <c r="T174" s="235"/>
      <c r="U174" s="235"/>
      <c r="V174" s="235"/>
      <c r="W174" s="235"/>
      <c r="X174" s="235"/>
      <c r="Y174" s="235"/>
      <c r="Z174" s="235"/>
    </row>
    <row r="175" spans="1:26" ht="12.75" customHeight="1">
      <c r="A175" s="235"/>
      <c r="B175" s="235"/>
      <c r="C175" s="235"/>
      <c r="D175" s="235"/>
      <c r="E175" s="235"/>
      <c r="F175" s="235"/>
      <c r="G175" s="235"/>
      <c r="H175" s="235"/>
      <c r="I175" s="235"/>
      <c r="J175" s="235"/>
      <c r="K175" s="235"/>
      <c r="L175" s="235"/>
      <c r="M175" s="235"/>
      <c r="N175" s="235"/>
      <c r="O175" s="235"/>
      <c r="P175" s="235"/>
      <c r="Q175" s="235"/>
      <c r="R175" s="235"/>
      <c r="S175" s="235"/>
      <c r="T175" s="235"/>
      <c r="U175" s="235"/>
      <c r="V175" s="235"/>
      <c r="W175" s="235"/>
      <c r="X175" s="235"/>
      <c r="Y175" s="235"/>
      <c r="Z175" s="235"/>
    </row>
    <row r="176" spans="1:26" ht="12.75" customHeight="1">
      <c r="A176" s="235"/>
      <c r="B176" s="235"/>
      <c r="C176" s="235"/>
      <c r="D176" s="235"/>
      <c r="E176" s="235"/>
      <c r="F176" s="235"/>
      <c r="G176" s="235"/>
      <c r="H176" s="235"/>
      <c r="I176" s="235"/>
      <c r="J176" s="235"/>
      <c r="K176" s="235"/>
      <c r="L176" s="235"/>
      <c r="M176" s="235"/>
      <c r="N176" s="235"/>
      <c r="O176" s="235"/>
      <c r="P176" s="235"/>
      <c r="Q176" s="235"/>
      <c r="R176" s="235"/>
      <c r="S176" s="235"/>
      <c r="T176" s="235"/>
      <c r="U176" s="235"/>
      <c r="V176" s="235"/>
      <c r="W176" s="235"/>
      <c r="X176" s="235"/>
      <c r="Y176" s="235"/>
      <c r="Z176" s="235"/>
    </row>
    <row r="177" spans="1:26" ht="12.75" customHeight="1">
      <c r="A177" s="235"/>
      <c r="B177" s="235"/>
      <c r="C177" s="235"/>
      <c r="D177" s="235"/>
      <c r="E177" s="235"/>
      <c r="F177" s="235"/>
      <c r="G177" s="235"/>
      <c r="H177" s="235"/>
      <c r="I177" s="235"/>
      <c r="J177" s="235"/>
      <c r="K177" s="235"/>
      <c r="L177" s="235"/>
      <c r="M177" s="235"/>
      <c r="N177" s="235"/>
      <c r="O177" s="235"/>
      <c r="P177" s="235"/>
      <c r="Q177" s="235"/>
      <c r="R177" s="235"/>
      <c r="S177" s="235"/>
      <c r="T177" s="235"/>
      <c r="U177" s="235"/>
      <c r="V177" s="235"/>
      <c r="W177" s="235"/>
      <c r="X177" s="235"/>
      <c r="Y177" s="235"/>
      <c r="Z177" s="235"/>
    </row>
    <row r="178" spans="1:26" ht="12.75" customHeight="1">
      <c r="A178" s="235"/>
      <c r="B178" s="235"/>
      <c r="C178" s="235"/>
      <c r="D178" s="235"/>
      <c r="E178" s="235"/>
      <c r="F178" s="235"/>
      <c r="G178" s="235"/>
      <c r="H178" s="235"/>
      <c r="I178" s="235"/>
      <c r="J178" s="235"/>
      <c r="K178" s="235"/>
      <c r="L178" s="235"/>
      <c r="M178" s="235"/>
      <c r="N178" s="235"/>
      <c r="O178" s="235"/>
      <c r="P178" s="235"/>
      <c r="Q178" s="235"/>
      <c r="R178" s="235"/>
      <c r="S178" s="235"/>
      <c r="T178" s="235"/>
      <c r="U178" s="235"/>
      <c r="V178" s="235"/>
      <c r="W178" s="235"/>
      <c r="X178" s="235"/>
      <c r="Y178" s="235"/>
      <c r="Z178" s="235"/>
    </row>
    <row r="179" spans="1:26" ht="12.75" customHeight="1">
      <c r="A179" s="235"/>
      <c r="B179" s="235"/>
      <c r="C179" s="235"/>
      <c r="D179" s="235"/>
      <c r="E179" s="235"/>
      <c r="F179" s="235"/>
      <c r="G179" s="235"/>
      <c r="H179" s="235"/>
      <c r="I179" s="235"/>
      <c r="J179" s="235"/>
      <c r="K179" s="235"/>
      <c r="L179" s="235"/>
      <c r="M179" s="235"/>
      <c r="N179" s="235"/>
      <c r="O179" s="235"/>
      <c r="P179" s="235"/>
      <c r="Q179" s="235"/>
      <c r="R179" s="235"/>
      <c r="S179" s="235"/>
      <c r="T179" s="235"/>
      <c r="U179" s="235"/>
      <c r="V179" s="235"/>
      <c r="W179" s="235"/>
      <c r="X179" s="235"/>
      <c r="Y179" s="235"/>
      <c r="Z179" s="235"/>
    </row>
    <row r="180" spans="1:26" ht="12.75" customHeight="1">
      <c r="A180" s="235"/>
      <c r="B180" s="235"/>
      <c r="C180" s="235"/>
      <c r="D180" s="235"/>
      <c r="E180" s="235"/>
      <c r="F180" s="235"/>
      <c r="G180" s="235"/>
      <c r="H180" s="235"/>
      <c r="I180" s="235"/>
      <c r="J180" s="235"/>
      <c r="K180" s="235"/>
      <c r="L180" s="235"/>
      <c r="M180" s="235"/>
      <c r="N180" s="235"/>
      <c r="O180" s="235"/>
      <c r="P180" s="235"/>
      <c r="Q180" s="235"/>
      <c r="R180" s="235"/>
      <c r="S180" s="235"/>
      <c r="T180" s="235"/>
      <c r="U180" s="235"/>
      <c r="V180" s="235"/>
      <c r="W180" s="235"/>
      <c r="X180" s="235"/>
      <c r="Y180" s="235"/>
      <c r="Z180" s="235"/>
    </row>
    <row r="181" spans="1:26" ht="12.75" customHeight="1">
      <c r="A181" s="235"/>
      <c r="B181" s="235"/>
      <c r="C181" s="235"/>
      <c r="D181" s="235"/>
      <c r="E181" s="235"/>
      <c r="F181" s="235"/>
      <c r="G181" s="235"/>
      <c r="H181" s="235"/>
      <c r="I181" s="235"/>
      <c r="J181" s="235"/>
      <c r="K181" s="235"/>
      <c r="L181" s="235"/>
      <c r="M181" s="235"/>
      <c r="N181" s="235"/>
      <c r="O181" s="235"/>
      <c r="P181" s="235"/>
      <c r="Q181" s="235"/>
      <c r="R181" s="235"/>
      <c r="S181" s="235"/>
      <c r="T181" s="235"/>
      <c r="U181" s="235"/>
      <c r="V181" s="235"/>
      <c r="W181" s="235"/>
      <c r="X181" s="235"/>
      <c r="Y181" s="235"/>
      <c r="Z181" s="235"/>
    </row>
    <row r="182" spans="1:26" ht="12.75" customHeight="1">
      <c r="A182" s="235"/>
      <c r="B182" s="235"/>
      <c r="C182" s="235"/>
      <c r="D182" s="235"/>
      <c r="E182" s="235"/>
      <c r="F182" s="235"/>
      <c r="G182" s="235"/>
      <c r="H182" s="235"/>
      <c r="I182" s="235"/>
      <c r="J182" s="235"/>
      <c r="K182" s="235"/>
      <c r="L182" s="235"/>
      <c r="M182" s="235"/>
      <c r="N182" s="235"/>
      <c r="O182" s="235"/>
      <c r="P182" s="235"/>
      <c r="Q182" s="235"/>
      <c r="R182" s="235"/>
      <c r="S182" s="235"/>
      <c r="T182" s="235"/>
      <c r="U182" s="235"/>
      <c r="V182" s="235"/>
      <c r="W182" s="235"/>
      <c r="X182" s="235"/>
      <c r="Y182" s="235"/>
      <c r="Z182" s="235"/>
    </row>
    <row r="183" spans="1:26" ht="12.75" customHeight="1">
      <c r="A183" s="235"/>
      <c r="B183" s="235"/>
      <c r="C183" s="235"/>
      <c r="D183" s="235"/>
      <c r="E183" s="235"/>
      <c r="F183" s="235"/>
      <c r="G183" s="235"/>
      <c r="H183" s="235"/>
      <c r="I183" s="235"/>
      <c r="J183" s="235"/>
      <c r="K183" s="235"/>
      <c r="L183" s="235"/>
      <c r="M183" s="235"/>
      <c r="N183" s="235"/>
      <c r="O183" s="235"/>
      <c r="P183" s="235"/>
      <c r="Q183" s="235"/>
      <c r="R183" s="235"/>
      <c r="S183" s="235"/>
      <c r="T183" s="235"/>
      <c r="U183" s="235"/>
      <c r="V183" s="235"/>
      <c r="W183" s="235"/>
      <c r="X183" s="235"/>
      <c r="Y183" s="235"/>
      <c r="Z183" s="235"/>
    </row>
    <row r="184" spans="1:26" ht="12.75" customHeight="1">
      <c r="A184" s="235"/>
      <c r="B184" s="235"/>
      <c r="C184" s="235"/>
      <c r="D184" s="235"/>
      <c r="E184" s="235"/>
      <c r="F184" s="235"/>
      <c r="G184" s="235"/>
      <c r="H184" s="235"/>
      <c r="I184" s="235"/>
      <c r="J184" s="235"/>
      <c r="K184" s="235"/>
      <c r="L184" s="235"/>
      <c r="M184" s="235"/>
      <c r="N184" s="235"/>
      <c r="O184" s="235"/>
      <c r="P184" s="235"/>
      <c r="Q184" s="235"/>
      <c r="R184" s="235"/>
      <c r="S184" s="235"/>
      <c r="T184" s="235"/>
      <c r="U184" s="235"/>
      <c r="V184" s="235"/>
      <c r="W184" s="235"/>
      <c r="X184" s="235"/>
      <c r="Y184" s="235"/>
      <c r="Z184" s="235"/>
    </row>
    <row r="185" spans="1:26" ht="12.75" customHeight="1">
      <c r="A185" s="235"/>
      <c r="B185" s="235"/>
      <c r="C185" s="235"/>
      <c r="D185" s="235"/>
      <c r="E185" s="235"/>
      <c r="F185" s="235"/>
      <c r="G185" s="235"/>
      <c r="H185" s="235"/>
      <c r="I185" s="235"/>
      <c r="J185" s="235"/>
      <c r="K185" s="235"/>
      <c r="L185" s="235"/>
      <c r="M185" s="235"/>
      <c r="N185" s="235"/>
      <c r="O185" s="235"/>
      <c r="P185" s="235"/>
      <c r="Q185" s="235"/>
      <c r="R185" s="235"/>
      <c r="S185" s="235"/>
      <c r="T185" s="235"/>
      <c r="U185" s="235"/>
      <c r="V185" s="235"/>
      <c r="W185" s="235"/>
      <c r="X185" s="235"/>
      <c r="Y185" s="235"/>
      <c r="Z185" s="235"/>
    </row>
    <row r="186" spans="1:26" ht="12.75" customHeight="1">
      <c r="A186" s="235"/>
      <c r="B186" s="235"/>
      <c r="C186" s="235"/>
      <c r="D186" s="235"/>
      <c r="E186" s="235"/>
      <c r="F186" s="235"/>
      <c r="G186" s="235"/>
      <c r="H186" s="235"/>
      <c r="I186" s="235"/>
      <c r="J186" s="235"/>
      <c r="K186" s="235"/>
      <c r="L186" s="235"/>
      <c r="M186" s="235"/>
      <c r="N186" s="235"/>
      <c r="O186" s="235"/>
      <c r="P186" s="235"/>
      <c r="Q186" s="235"/>
      <c r="R186" s="235"/>
      <c r="S186" s="235"/>
      <c r="T186" s="235"/>
      <c r="U186" s="235"/>
      <c r="V186" s="235"/>
      <c r="W186" s="235"/>
      <c r="X186" s="235"/>
      <c r="Y186" s="235"/>
      <c r="Z186" s="235"/>
    </row>
    <row r="187" spans="1:26" ht="12.75" customHeight="1">
      <c r="A187" s="235"/>
      <c r="B187" s="235"/>
      <c r="C187" s="235"/>
      <c r="D187" s="235"/>
      <c r="E187" s="235"/>
      <c r="F187" s="235"/>
      <c r="G187" s="235"/>
      <c r="H187" s="235"/>
      <c r="I187" s="235"/>
      <c r="J187" s="235"/>
      <c r="K187" s="235"/>
      <c r="L187" s="235"/>
      <c r="M187" s="235"/>
      <c r="N187" s="235"/>
      <c r="O187" s="235"/>
      <c r="P187" s="235"/>
      <c r="Q187" s="235"/>
      <c r="R187" s="235"/>
      <c r="S187" s="235"/>
      <c r="T187" s="235"/>
      <c r="U187" s="235"/>
      <c r="V187" s="235"/>
      <c r="W187" s="235"/>
      <c r="X187" s="235"/>
      <c r="Y187" s="235"/>
      <c r="Z187" s="235"/>
    </row>
    <row r="188" spans="1:26" ht="12.75" customHeight="1">
      <c r="A188" s="235"/>
      <c r="B188" s="235"/>
      <c r="C188" s="235"/>
      <c r="D188" s="235"/>
      <c r="E188" s="235"/>
      <c r="F188" s="235"/>
      <c r="G188" s="235"/>
      <c r="H188" s="235"/>
      <c r="I188" s="235"/>
      <c r="J188" s="235"/>
      <c r="K188" s="235"/>
      <c r="L188" s="235"/>
      <c r="M188" s="235"/>
      <c r="N188" s="235"/>
      <c r="O188" s="235"/>
      <c r="P188" s="235"/>
      <c r="Q188" s="235"/>
      <c r="R188" s="235"/>
      <c r="S188" s="235"/>
      <c r="T188" s="235"/>
      <c r="U188" s="235"/>
      <c r="V188" s="235"/>
      <c r="W188" s="235"/>
      <c r="X188" s="235"/>
      <c r="Y188" s="235"/>
      <c r="Z188" s="235"/>
    </row>
    <row r="189" spans="1:26" ht="12.75" customHeight="1">
      <c r="A189" s="235"/>
      <c r="B189" s="235"/>
      <c r="C189" s="235"/>
      <c r="D189" s="235"/>
      <c r="E189" s="235"/>
      <c r="F189" s="235"/>
      <c r="G189" s="235"/>
      <c r="H189" s="235"/>
      <c r="I189" s="235"/>
      <c r="J189" s="235"/>
      <c r="K189" s="235"/>
      <c r="L189" s="235"/>
      <c r="M189" s="235"/>
      <c r="N189" s="235"/>
      <c r="O189" s="235"/>
      <c r="P189" s="235"/>
      <c r="Q189" s="235"/>
      <c r="R189" s="235"/>
      <c r="S189" s="235"/>
      <c r="T189" s="235"/>
      <c r="U189" s="235"/>
      <c r="V189" s="235"/>
      <c r="W189" s="235"/>
      <c r="X189" s="235"/>
      <c r="Y189" s="235"/>
      <c r="Z189" s="235"/>
    </row>
    <row r="190" spans="1:26" ht="12.75" customHeight="1">
      <c r="A190" s="235"/>
      <c r="B190" s="235"/>
      <c r="C190" s="235"/>
      <c r="D190" s="235"/>
      <c r="E190" s="235"/>
      <c r="F190" s="235"/>
      <c r="G190" s="235"/>
      <c r="H190" s="235"/>
      <c r="I190" s="235"/>
      <c r="J190" s="235"/>
      <c r="K190" s="235"/>
      <c r="L190" s="235"/>
      <c r="M190" s="235"/>
      <c r="N190" s="235"/>
      <c r="O190" s="235"/>
      <c r="P190" s="235"/>
      <c r="Q190" s="235"/>
      <c r="R190" s="235"/>
      <c r="S190" s="235"/>
      <c r="T190" s="235"/>
      <c r="U190" s="235"/>
      <c r="V190" s="235"/>
      <c r="W190" s="235"/>
      <c r="X190" s="235"/>
      <c r="Y190" s="235"/>
      <c r="Z190" s="235"/>
    </row>
    <row r="191" spans="1:26" ht="12.75" customHeight="1">
      <c r="A191" s="235"/>
      <c r="B191" s="235"/>
      <c r="C191" s="235"/>
      <c r="D191" s="235"/>
      <c r="E191" s="235"/>
      <c r="F191" s="235"/>
      <c r="G191" s="235"/>
      <c r="H191" s="235"/>
      <c r="I191" s="235"/>
      <c r="J191" s="235"/>
      <c r="K191" s="235"/>
      <c r="L191" s="235"/>
      <c r="M191" s="235"/>
      <c r="N191" s="235"/>
      <c r="O191" s="235"/>
      <c r="P191" s="235"/>
      <c r="Q191" s="235"/>
      <c r="R191" s="235"/>
      <c r="S191" s="235"/>
      <c r="T191" s="235"/>
      <c r="U191" s="235"/>
      <c r="V191" s="235"/>
      <c r="W191" s="235"/>
      <c r="X191" s="235"/>
      <c r="Y191" s="235"/>
      <c r="Z191" s="235"/>
    </row>
    <row r="192" spans="1:26" ht="12.75" customHeight="1">
      <c r="A192" s="235"/>
      <c r="B192" s="235"/>
      <c r="C192" s="235"/>
      <c r="D192" s="235"/>
      <c r="E192" s="235"/>
      <c r="F192" s="235"/>
      <c r="G192" s="235"/>
      <c r="H192" s="235"/>
      <c r="I192" s="235"/>
      <c r="J192" s="235"/>
      <c r="K192" s="235"/>
      <c r="L192" s="235"/>
      <c r="M192" s="235"/>
      <c r="N192" s="235"/>
      <c r="O192" s="235"/>
      <c r="P192" s="235"/>
      <c r="Q192" s="235"/>
      <c r="R192" s="235"/>
      <c r="S192" s="235"/>
      <c r="T192" s="235"/>
      <c r="U192" s="235"/>
      <c r="V192" s="235"/>
      <c r="W192" s="235"/>
      <c r="X192" s="235"/>
      <c r="Y192" s="235"/>
      <c r="Z192" s="235"/>
    </row>
    <row r="193" spans="1:26" ht="12.75" customHeight="1">
      <c r="A193" s="235"/>
      <c r="B193" s="235"/>
      <c r="C193" s="235"/>
      <c r="D193" s="235"/>
      <c r="E193" s="235"/>
      <c r="F193" s="235"/>
      <c r="G193" s="235"/>
      <c r="H193" s="235"/>
      <c r="I193" s="235"/>
      <c r="J193" s="235"/>
      <c r="K193" s="235"/>
      <c r="L193" s="235"/>
      <c r="M193" s="235"/>
      <c r="N193" s="235"/>
      <c r="O193" s="235"/>
      <c r="P193" s="235"/>
      <c r="Q193" s="235"/>
      <c r="R193" s="235"/>
      <c r="S193" s="235"/>
      <c r="T193" s="235"/>
      <c r="U193" s="235"/>
      <c r="V193" s="235"/>
      <c r="W193" s="235"/>
      <c r="X193" s="235"/>
      <c r="Y193" s="235"/>
      <c r="Z193" s="235"/>
    </row>
    <row r="194" spans="1:26" ht="12.75" customHeight="1">
      <c r="A194" s="235"/>
      <c r="B194" s="235"/>
      <c r="C194" s="235"/>
      <c r="D194" s="235"/>
      <c r="E194" s="235"/>
      <c r="F194" s="235"/>
      <c r="G194" s="235"/>
      <c r="H194" s="235"/>
      <c r="I194" s="235"/>
      <c r="J194" s="235"/>
      <c r="K194" s="235"/>
      <c r="L194" s="235"/>
      <c r="M194" s="235"/>
      <c r="N194" s="235"/>
      <c r="O194" s="235"/>
      <c r="P194" s="235"/>
      <c r="Q194" s="235"/>
      <c r="R194" s="235"/>
      <c r="S194" s="235"/>
      <c r="T194" s="235"/>
      <c r="U194" s="235"/>
      <c r="V194" s="235"/>
      <c r="W194" s="235"/>
      <c r="X194" s="235"/>
      <c r="Y194" s="235"/>
      <c r="Z194" s="235"/>
    </row>
    <row r="195" spans="1:26" ht="12.75" customHeight="1">
      <c r="A195" s="235"/>
      <c r="B195" s="235"/>
      <c r="C195" s="235"/>
      <c r="D195" s="235"/>
      <c r="E195" s="235"/>
      <c r="F195" s="235"/>
      <c r="G195" s="235"/>
      <c r="H195" s="235"/>
      <c r="I195" s="235"/>
      <c r="J195" s="235"/>
      <c r="K195" s="235"/>
      <c r="L195" s="235"/>
      <c r="M195" s="235"/>
      <c r="N195" s="235"/>
      <c r="O195" s="235"/>
      <c r="P195" s="235"/>
      <c r="Q195" s="235"/>
      <c r="R195" s="235"/>
      <c r="S195" s="235"/>
      <c r="T195" s="235"/>
      <c r="U195" s="235"/>
      <c r="V195" s="235"/>
      <c r="W195" s="235"/>
      <c r="X195" s="235"/>
      <c r="Y195" s="235"/>
      <c r="Z195" s="235"/>
    </row>
    <row r="196" spans="1:26" ht="12.75" customHeight="1">
      <c r="A196" s="235"/>
      <c r="B196" s="235"/>
      <c r="C196" s="235"/>
      <c r="D196" s="235"/>
      <c r="E196" s="235"/>
      <c r="F196" s="235"/>
      <c r="G196" s="235"/>
      <c r="H196" s="235"/>
      <c r="I196" s="235"/>
      <c r="J196" s="235"/>
      <c r="K196" s="235"/>
      <c r="L196" s="235"/>
      <c r="M196" s="235"/>
      <c r="N196" s="235"/>
      <c r="O196" s="235"/>
      <c r="P196" s="235"/>
      <c r="Q196" s="235"/>
      <c r="R196" s="235"/>
      <c r="S196" s="235"/>
      <c r="T196" s="235"/>
      <c r="U196" s="235"/>
      <c r="V196" s="235"/>
      <c r="W196" s="235"/>
      <c r="X196" s="235"/>
      <c r="Y196" s="235"/>
      <c r="Z196" s="235"/>
    </row>
    <row r="197" spans="1:26" ht="12.75" customHeight="1">
      <c r="A197" s="235"/>
      <c r="B197" s="235"/>
      <c r="C197" s="235"/>
      <c r="D197" s="235"/>
      <c r="E197" s="235"/>
      <c r="F197" s="235"/>
      <c r="G197" s="235"/>
      <c r="H197" s="235"/>
      <c r="I197" s="235"/>
      <c r="J197" s="235"/>
      <c r="K197" s="235"/>
      <c r="L197" s="235"/>
      <c r="M197" s="235"/>
      <c r="N197" s="235"/>
      <c r="O197" s="235"/>
      <c r="P197" s="235"/>
      <c r="Q197" s="235"/>
      <c r="R197" s="235"/>
      <c r="S197" s="235"/>
      <c r="T197" s="235"/>
      <c r="U197" s="235"/>
      <c r="V197" s="235"/>
      <c r="W197" s="235"/>
      <c r="X197" s="235"/>
      <c r="Y197" s="235"/>
      <c r="Z197" s="235"/>
    </row>
    <row r="198" spans="1:26" ht="12.75" customHeight="1">
      <c r="A198" s="235"/>
      <c r="B198" s="235"/>
      <c r="C198" s="235"/>
      <c r="D198" s="235"/>
      <c r="E198" s="235"/>
      <c r="F198" s="235"/>
      <c r="G198" s="235"/>
      <c r="H198" s="235"/>
      <c r="I198" s="235"/>
      <c r="J198" s="235"/>
      <c r="K198" s="235"/>
      <c r="L198" s="235"/>
      <c r="M198" s="235"/>
      <c r="N198" s="235"/>
      <c r="O198" s="235"/>
      <c r="P198" s="235"/>
      <c r="Q198" s="235"/>
      <c r="R198" s="235"/>
      <c r="S198" s="235"/>
      <c r="T198" s="235"/>
      <c r="U198" s="235"/>
      <c r="V198" s="235"/>
      <c r="W198" s="235"/>
      <c r="X198" s="235"/>
      <c r="Y198" s="235"/>
      <c r="Z198" s="235"/>
    </row>
    <row r="199" spans="1:26" ht="12.75" customHeight="1">
      <c r="A199" s="235"/>
      <c r="B199" s="235"/>
      <c r="C199" s="235"/>
      <c r="D199" s="235"/>
      <c r="E199" s="235"/>
      <c r="F199" s="235"/>
      <c r="G199" s="235"/>
      <c r="H199" s="235"/>
      <c r="I199" s="235"/>
      <c r="J199" s="235"/>
      <c r="K199" s="235"/>
      <c r="L199" s="235"/>
      <c r="M199" s="235"/>
      <c r="N199" s="235"/>
      <c r="O199" s="235"/>
      <c r="P199" s="235"/>
      <c r="Q199" s="235"/>
      <c r="R199" s="235"/>
      <c r="S199" s="235"/>
      <c r="T199" s="235"/>
      <c r="U199" s="235"/>
      <c r="V199" s="235"/>
      <c r="W199" s="235"/>
      <c r="X199" s="235"/>
      <c r="Y199" s="235"/>
      <c r="Z199" s="235"/>
    </row>
    <row r="200" spans="1:26" ht="12.75" customHeight="1">
      <c r="A200" s="235"/>
      <c r="B200" s="235"/>
      <c r="C200" s="235"/>
      <c r="D200" s="235"/>
      <c r="E200" s="235"/>
      <c r="F200" s="235"/>
      <c r="G200" s="235"/>
      <c r="H200" s="235"/>
      <c r="I200" s="235"/>
      <c r="J200" s="235"/>
      <c r="K200" s="235"/>
      <c r="L200" s="235"/>
      <c r="M200" s="235"/>
      <c r="N200" s="235"/>
      <c r="O200" s="235"/>
      <c r="P200" s="235"/>
      <c r="Q200" s="235"/>
      <c r="R200" s="235"/>
      <c r="S200" s="235"/>
      <c r="T200" s="235"/>
      <c r="U200" s="235"/>
      <c r="V200" s="235"/>
      <c r="W200" s="235"/>
      <c r="X200" s="235"/>
      <c r="Y200" s="235"/>
      <c r="Z200" s="235"/>
    </row>
    <row r="201" spans="1:26" ht="12.75" customHeight="1">
      <c r="A201" s="235"/>
      <c r="B201" s="235"/>
      <c r="C201" s="235"/>
      <c r="D201" s="235"/>
      <c r="E201" s="235"/>
      <c r="F201" s="235"/>
      <c r="G201" s="235"/>
      <c r="H201" s="235"/>
      <c r="I201" s="235"/>
      <c r="J201" s="235"/>
      <c r="K201" s="235"/>
      <c r="L201" s="235"/>
      <c r="M201" s="235"/>
      <c r="N201" s="235"/>
      <c r="O201" s="235"/>
      <c r="P201" s="235"/>
      <c r="Q201" s="235"/>
      <c r="R201" s="235"/>
      <c r="S201" s="235"/>
      <c r="T201" s="235"/>
      <c r="U201" s="235"/>
      <c r="V201" s="235"/>
      <c r="W201" s="235"/>
      <c r="X201" s="235"/>
      <c r="Y201" s="235"/>
      <c r="Z201" s="235"/>
    </row>
    <row r="202" spans="1:26" ht="12.75" customHeight="1">
      <c r="A202" s="235"/>
      <c r="B202" s="235"/>
      <c r="C202" s="235"/>
      <c r="D202" s="235"/>
      <c r="E202" s="235"/>
      <c r="F202" s="235"/>
      <c r="G202" s="235"/>
      <c r="H202" s="235"/>
      <c r="I202" s="235"/>
      <c r="J202" s="235"/>
      <c r="K202" s="235"/>
      <c r="L202" s="235"/>
      <c r="M202" s="235"/>
      <c r="N202" s="235"/>
      <c r="O202" s="235"/>
      <c r="P202" s="235"/>
      <c r="Q202" s="235"/>
      <c r="R202" s="235"/>
      <c r="S202" s="235"/>
      <c r="T202" s="235"/>
      <c r="U202" s="235"/>
      <c r="V202" s="235"/>
      <c r="W202" s="235"/>
      <c r="X202" s="235"/>
      <c r="Y202" s="235"/>
      <c r="Z202" s="235"/>
    </row>
    <row r="203" spans="1:26" ht="12.75" customHeight="1">
      <c r="A203" s="235"/>
      <c r="B203" s="235"/>
      <c r="C203" s="235"/>
      <c r="D203" s="235"/>
      <c r="E203" s="235"/>
      <c r="F203" s="235"/>
      <c r="G203" s="235"/>
      <c r="H203" s="235"/>
      <c r="I203" s="235"/>
      <c r="J203" s="235"/>
      <c r="K203" s="235"/>
      <c r="L203" s="235"/>
      <c r="M203" s="235"/>
      <c r="N203" s="235"/>
      <c r="O203" s="235"/>
      <c r="P203" s="235"/>
      <c r="Q203" s="235"/>
      <c r="R203" s="235"/>
      <c r="S203" s="235"/>
      <c r="T203" s="235"/>
      <c r="U203" s="235"/>
      <c r="V203" s="235"/>
      <c r="W203" s="235"/>
      <c r="X203" s="235"/>
      <c r="Y203" s="235"/>
      <c r="Z203" s="235"/>
    </row>
    <row r="204" spans="1:26" ht="12.75" customHeight="1">
      <c r="A204" s="235"/>
      <c r="B204" s="235"/>
      <c r="C204" s="235"/>
      <c r="D204" s="235"/>
      <c r="E204" s="235"/>
      <c r="F204" s="235"/>
      <c r="G204" s="235"/>
      <c r="H204" s="235"/>
      <c r="I204" s="235"/>
      <c r="J204" s="235"/>
      <c r="K204" s="235"/>
      <c r="L204" s="235"/>
      <c r="M204" s="235"/>
      <c r="N204" s="235"/>
      <c r="O204" s="235"/>
      <c r="P204" s="235"/>
      <c r="Q204" s="235"/>
      <c r="R204" s="235"/>
      <c r="S204" s="235"/>
      <c r="T204" s="235"/>
      <c r="U204" s="235"/>
      <c r="V204" s="235"/>
      <c r="W204" s="235"/>
      <c r="X204" s="235"/>
      <c r="Y204" s="235"/>
      <c r="Z204" s="235"/>
    </row>
    <row r="205" spans="1:26" ht="12.75" customHeight="1">
      <c r="A205" s="235"/>
      <c r="B205" s="235"/>
      <c r="C205" s="235"/>
      <c r="D205" s="235"/>
      <c r="E205" s="235"/>
      <c r="F205" s="235"/>
      <c r="G205" s="235"/>
      <c r="H205" s="235"/>
      <c r="I205" s="235"/>
      <c r="J205" s="235"/>
      <c r="K205" s="235"/>
      <c r="L205" s="235"/>
      <c r="M205" s="235"/>
      <c r="N205" s="235"/>
      <c r="O205" s="235"/>
      <c r="P205" s="235"/>
      <c r="Q205" s="235"/>
      <c r="R205" s="235"/>
      <c r="S205" s="235"/>
      <c r="T205" s="235"/>
      <c r="U205" s="235"/>
      <c r="V205" s="235"/>
      <c r="W205" s="235"/>
      <c r="X205" s="235"/>
      <c r="Y205" s="235"/>
      <c r="Z205" s="235"/>
    </row>
    <row r="206" spans="1:26" ht="12.75" customHeight="1">
      <c r="A206" s="235"/>
      <c r="B206" s="235"/>
      <c r="C206" s="235"/>
      <c r="D206" s="235"/>
      <c r="E206" s="235"/>
      <c r="F206" s="235"/>
      <c r="G206" s="235"/>
      <c r="H206" s="235"/>
      <c r="I206" s="235"/>
      <c r="J206" s="235"/>
      <c r="K206" s="235"/>
      <c r="L206" s="235"/>
      <c r="M206" s="235"/>
      <c r="N206" s="235"/>
      <c r="O206" s="235"/>
      <c r="P206" s="235"/>
      <c r="Q206" s="235"/>
      <c r="R206" s="235"/>
      <c r="S206" s="235"/>
      <c r="T206" s="235"/>
      <c r="U206" s="235"/>
      <c r="V206" s="235"/>
      <c r="W206" s="235"/>
      <c r="X206" s="235"/>
      <c r="Y206" s="235"/>
      <c r="Z206" s="235"/>
    </row>
    <row r="207" spans="1:26" ht="12.75" customHeight="1">
      <c r="A207" s="235"/>
      <c r="B207" s="235"/>
      <c r="C207" s="235"/>
      <c r="D207" s="235"/>
      <c r="E207" s="235"/>
      <c r="F207" s="235"/>
      <c r="G207" s="235"/>
      <c r="H207" s="235"/>
      <c r="I207" s="235"/>
      <c r="J207" s="235"/>
      <c r="K207" s="235"/>
      <c r="L207" s="235"/>
      <c r="M207" s="235"/>
      <c r="N207" s="235"/>
      <c r="O207" s="235"/>
      <c r="P207" s="235"/>
      <c r="Q207" s="235"/>
      <c r="R207" s="235"/>
      <c r="S207" s="235"/>
      <c r="T207" s="235"/>
      <c r="U207" s="235"/>
      <c r="V207" s="235"/>
      <c r="W207" s="235"/>
      <c r="X207" s="235"/>
      <c r="Y207" s="235"/>
      <c r="Z207" s="235"/>
    </row>
    <row r="208" spans="1:26" ht="12.75" customHeight="1">
      <c r="A208" s="235"/>
      <c r="B208" s="235"/>
      <c r="C208" s="235"/>
      <c r="D208" s="235"/>
      <c r="E208" s="235"/>
      <c r="F208" s="235"/>
      <c r="G208" s="235"/>
      <c r="H208" s="235"/>
      <c r="I208" s="235"/>
      <c r="J208" s="235"/>
      <c r="K208" s="235"/>
      <c r="L208" s="235"/>
      <c r="M208" s="235"/>
      <c r="N208" s="235"/>
      <c r="O208" s="235"/>
      <c r="P208" s="235"/>
      <c r="Q208" s="235"/>
      <c r="R208" s="235"/>
      <c r="S208" s="235"/>
      <c r="T208" s="235"/>
      <c r="U208" s="235"/>
      <c r="V208" s="235"/>
      <c r="W208" s="235"/>
      <c r="X208" s="235"/>
      <c r="Y208" s="235"/>
      <c r="Z208" s="235"/>
    </row>
    <row r="209" spans="1:26" ht="12.75" customHeight="1">
      <c r="A209" s="235"/>
      <c r="B209" s="235"/>
      <c r="C209" s="235"/>
      <c r="D209" s="235"/>
      <c r="E209" s="235"/>
      <c r="F209" s="235"/>
      <c r="G209" s="235"/>
      <c r="H209" s="235"/>
      <c r="I209" s="235"/>
      <c r="J209" s="235"/>
      <c r="K209" s="235"/>
      <c r="L209" s="235"/>
      <c r="M209" s="235"/>
      <c r="N209" s="235"/>
      <c r="O209" s="235"/>
      <c r="P209" s="235"/>
      <c r="Q209" s="235"/>
      <c r="R209" s="235"/>
      <c r="S209" s="235"/>
      <c r="T209" s="235"/>
      <c r="U209" s="235"/>
      <c r="V209" s="235"/>
      <c r="W209" s="235"/>
      <c r="X209" s="235"/>
      <c r="Y209" s="235"/>
      <c r="Z209" s="235"/>
    </row>
    <row r="210" spans="1:26" ht="12.75" customHeight="1">
      <c r="A210" s="235"/>
      <c r="B210" s="235"/>
      <c r="C210" s="235"/>
      <c r="D210" s="235"/>
      <c r="E210" s="235"/>
      <c r="F210" s="235"/>
      <c r="G210" s="235"/>
      <c r="H210" s="235"/>
      <c r="I210" s="235"/>
      <c r="J210" s="235"/>
      <c r="K210" s="235"/>
      <c r="L210" s="235"/>
      <c r="M210" s="235"/>
      <c r="N210" s="235"/>
      <c r="O210" s="235"/>
      <c r="P210" s="235"/>
      <c r="Q210" s="235"/>
      <c r="R210" s="235"/>
      <c r="S210" s="235"/>
      <c r="T210" s="235"/>
      <c r="U210" s="235"/>
      <c r="V210" s="235"/>
      <c r="W210" s="235"/>
      <c r="X210" s="235"/>
      <c r="Y210" s="235"/>
      <c r="Z210" s="235"/>
    </row>
    <row r="211" spans="1:26" ht="12.75" customHeight="1">
      <c r="A211" s="235"/>
      <c r="B211" s="235"/>
      <c r="C211" s="235"/>
      <c r="D211" s="235"/>
      <c r="E211" s="235"/>
      <c r="F211" s="235"/>
      <c r="G211" s="235"/>
      <c r="H211" s="235"/>
      <c r="I211" s="235"/>
      <c r="J211" s="235"/>
      <c r="K211" s="235"/>
      <c r="L211" s="235"/>
      <c r="M211" s="235"/>
      <c r="N211" s="235"/>
      <c r="O211" s="235"/>
      <c r="P211" s="235"/>
      <c r="Q211" s="235"/>
      <c r="R211" s="235"/>
      <c r="S211" s="235"/>
      <c r="T211" s="235"/>
      <c r="U211" s="235"/>
      <c r="V211" s="235"/>
      <c r="W211" s="235"/>
      <c r="X211" s="235"/>
      <c r="Y211" s="235"/>
      <c r="Z211" s="235"/>
    </row>
    <row r="212" spans="1:26" ht="12.75" customHeight="1">
      <c r="A212" s="235"/>
      <c r="B212" s="235"/>
      <c r="C212" s="235"/>
      <c r="D212" s="235"/>
      <c r="E212" s="235"/>
      <c r="F212" s="235"/>
      <c r="G212" s="235"/>
      <c r="H212" s="235"/>
      <c r="I212" s="235"/>
      <c r="J212" s="235"/>
      <c r="K212" s="235"/>
      <c r="L212" s="235"/>
      <c r="M212" s="235"/>
      <c r="N212" s="235"/>
      <c r="O212" s="235"/>
      <c r="P212" s="235"/>
      <c r="Q212" s="235"/>
      <c r="R212" s="235"/>
      <c r="S212" s="235"/>
      <c r="T212" s="235"/>
      <c r="U212" s="235"/>
      <c r="V212" s="235"/>
      <c r="W212" s="235"/>
      <c r="X212" s="235"/>
      <c r="Y212" s="235"/>
      <c r="Z212" s="235"/>
    </row>
    <row r="213" spans="1:26" ht="12.75" customHeight="1">
      <c r="A213" s="235"/>
      <c r="B213" s="235"/>
      <c r="C213" s="235"/>
      <c r="D213" s="235"/>
      <c r="E213" s="235"/>
      <c r="F213" s="235"/>
      <c r="G213" s="235"/>
      <c r="H213" s="235"/>
      <c r="I213" s="235"/>
      <c r="J213" s="235"/>
      <c r="K213" s="235"/>
      <c r="L213" s="235"/>
      <c r="M213" s="235"/>
      <c r="N213" s="235"/>
      <c r="O213" s="235"/>
      <c r="P213" s="235"/>
      <c r="Q213" s="235"/>
      <c r="R213" s="235"/>
      <c r="S213" s="235"/>
      <c r="T213" s="235"/>
      <c r="U213" s="235"/>
      <c r="V213" s="235"/>
      <c r="W213" s="235"/>
      <c r="X213" s="235"/>
      <c r="Y213" s="235"/>
      <c r="Z213" s="235"/>
    </row>
    <row r="214" spans="1:26" ht="12.75" customHeight="1">
      <c r="A214" s="235"/>
      <c r="B214" s="235"/>
      <c r="C214" s="235"/>
      <c r="D214" s="235"/>
      <c r="E214" s="235"/>
      <c r="F214" s="235"/>
      <c r="G214" s="235"/>
      <c r="H214" s="235"/>
      <c r="I214" s="235"/>
      <c r="J214" s="235"/>
      <c r="K214" s="235"/>
      <c r="L214" s="235"/>
      <c r="M214" s="235"/>
      <c r="N214" s="235"/>
      <c r="O214" s="235"/>
      <c r="P214" s="235"/>
      <c r="Q214" s="235"/>
      <c r="R214" s="235"/>
      <c r="S214" s="235"/>
      <c r="T214" s="235"/>
      <c r="U214" s="235"/>
      <c r="V214" s="235"/>
      <c r="W214" s="235"/>
      <c r="X214" s="235"/>
      <c r="Y214" s="235"/>
      <c r="Z214" s="235"/>
    </row>
    <row r="215" spans="1:26" ht="12.75" customHeight="1">
      <c r="A215" s="235"/>
      <c r="B215" s="235"/>
      <c r="C215" s="235"/>
      <c r="D215" s="235"/>
      <c r="E215" s="235"/>
      <c r="F215" s="235"/>
      <c r="G215" s="235"/>
      <c r="H215" s="235"/>
      <c r="I215" s="235"/>
      <c r="J215" s="235"/>
      <c r="K215" s="235"/>
      <c r="L215" s="235"/>
      <c r="M215" s="235"/>
      <c r="N215" s="235"/>
      <c r="O215" s="235"/>
      <c r="P215" s="235"/>
      <c r="Q215" s="235"/>
      <c r="R215" s="235"/>
      <c r="S215" s="235"/>
      <c r="T215" s="235"/>
      <c r="U215" s="235"/>
      <c r="V215" s="235"/>
      <c r="W215" s="235"/>
      <c r="X215" s="235"/>
      <c r="Y215" s="235"/>
      <c r="Z215" s="235"/>
    </row>
    <row r="216" spans="1:26" ht="12.75" customHeight="1">
      <c r="A216" s="235"/>
      <c r="B216" s="235"/>
      <c r="C216" s="235"/>
      <c r="D216" s="235"/>
      <c r="E216" s="235"/>
      <c r="F216" s="235"/>
      <c r="G216" s="235"/>
      <c r="H216" s="235"/>
      <c r="I216" s="235"/>
      <c r="J216" s="235"/>
      <c r="K216" s="235"/>
      <c r="L216" s="235"/>
      <c r="M216" s="235"/>
      <c r="N216" s="235"/>
      <c r="O216" s="235"/>
      <c r="P216" s="235"/>
      <c r="Q216" s="235"/>
      <c r="R216" s="235"/>
      <c r="S216" s="235"/>
      <c r="T216" s="235"/>
      <c r="U216" s="235"/>
      <c r="V216" s="235"/>
      <c r="W216" s="235"/>
      <c r="X216" s="235"/>
      <c r="Y216" s="235"/>
      <c r="Z216" s="235"/>
    </row>
    <row r="217" spans="1:26" ht="12.75" customHeight="1">
      <c r="A217" s="235"/>
      <c r="B217" s="235"/>
      <c r="C217" s="235"/>
      <c r="D217" s="235"/>
      <c r="E217" s="235"/>
      <c r="F217" s="235"/>
      <c r="G217" s="235"/>
      <c r="H217" s="235"/>
      <c r="I217" s="235"/>
      <c r="J217" s="235"/>
      <c r="K217" s="235"/>
      <c r="L217" s="235"/>
      <c r="M217" s="235"/>
      <c r="N217" s="235"/>
      <c r="O217" s="235"/>
      <c r="P217" s="235"/>
      <c r="Q217" s="235"/>
      <c r="R217" s="235"/>
      <c r="S217" s="235"/>
      <c r="T217" s="235"/>
      <c r="U217" s="235"/>
      <c r="V217" s="235"/>
      <c r="W217" s="235"/>
      <c r="X217" s="235"/>
      <c r="Y217" s="235"/>
      <c r="Z217" s="235"/>
    </row>
    <row r="218" spans="1:26" ht="12.75" customHeight="1">
      <c r="A218" s="235"/>
      <c r="B218" s="235"/>
      <c r="C218" s="235"/>
      <c r="D218" s="235"/>
      <c r="E218" s="235"/>
      <c r="F218" s="235"/>
      <c r="G218" s="235"/>
      <c r="H218" s="235"/>
      <c r="I218" s="235"/>
      <c r="J218" s="235"/>
      <c r="K218" s="235"/>
      <c r="L218" s="235"/>
      <c r="M218" s="235"/>
      <c r="N218" s="235"/>
      <c r="O218" s="235"/>
      <c r="P218" s="235"/>
      <c r="Q218" s="235"/>
      <c r="R218" s="235"/>
      <c r="S218" s="235"/>
      <c r="T218" s="235"/>
      <c r="U218" s="235"/>
      <c r="V218" s="235"/>
      <c r="W218" s="235"/>
      <c r="X218" s="235"/>
      <c r="Y218" s="235"/>
      <c r="Z218" s="235"/>
    </row>
    <row r="219" spans="1:26" ht="12.75" customHeight="1">
      <c r="A219" s="235"/>
      <c r="B219" s="235"/>
      <c r="C219" s="235"/>
      <c r="D219" s="235"/>
      <c r="E219" s="235"/>
      <c r="F219" s="235"/>
      <c r="G219" s="235"/>
      <c r="H219" s="235"/>
      <c r="I219" s="235"/>
      <c r="J219" s="235"/>
      <c r="K219" s="235"/>
      <c r="L219" s="235"/>
      <c r="M219" s="235"/>
      <c r="N219" s="235"/>
      <c r="O219" s="235"/>
      <c r="P219" s="235"/>
      <c r="Q219" s="235"/>
      <c r="R219" s="235"/>
      <c r="S219" s="235"/>
      <c r="T219" s="235"/>
      <c r="U219" s="235"/>
      <c r="V219" s="235"/>
      <c r="W219" s="235"/>
      <c r="X219" s="235"/>
      <c r="Y219" s="235"/>
      <c r="Z219" s="235"/>
    </row>
    <row r="220" spans="1:26" ht="12.75" customHeight="1">
      <c r="A220" s="235"/>
      <c r="B220" s="235"/>
      <c r="C220" s="235"/>
      <c r="D220" s="235"/>
      <c r="E220" s="235"/>
      <c r="F220" s="235"/>
      <c r="G220" s="235"/>
      <c r="H220" s="235"/>
      <c r="I220" s="235"/>
      <c r="J220" s="235"/>
      <c r="K220" s="235"/>
      <c r="L220" s="235"/>
      <c r="M220" s="235"/>
      <c r="N220" s="235"/>
      <c r="O220" s="235"/>
      <c r="P220" s="235"/>
      <c r="Q220" s="235"/>
      <c r="R220" s="235"/>
      <c r="S220" s="235"/>
      <c r="T220" s="235"/>
      <c r="U220" s="235"/>
      <c r="V220" s="235"/>
      <c r="W220" s="235"/>
      <c r="X220" s="235"/>
      <c r="Y220" s="235"/>
      <c r="Z220" s="235"/>
    </row>
    <row r="221" spans="1:26" ht="12.75" customHeight="1">
      <c r="A221" s="235"/>
      <c r="B221" s="235"/>
      <c r="C221" s="235"/>
      <c r="D221" s="235"/>
      <c r="E221" s="235"/>
      <c r="F221" s="235"/>
      <c r="G221" s="235"/>
      <c r="H221" s="235"/>
      <c r="I221" s="235"/>
      <c r="J221" s="235"/>
      <c r="K221" s="235"/>
      <c r="L221" s="235"/>
      <c r="M221" s="235"/>
      <c r="N221" s="235"/>
      <c r="O221" s="235"/>
      <c r="P221" s="235"/>
      <c r="Q221" s="235"/>
      <c r="R221" s="235"/>
      <c r="S221" s="235"/>
      <c r="T221" s="235"/>
      <c r="U221" s="235"/>
      <c r="V221" s="235"/>
      <c r="W221" s="235"/>
      <c r="X221" s="235"/>
      <c r="Y221" s="235"/>
      <c r="Z221" s="235"/>
    </row>
    <row r="222" spans="1:26" ht="12.75" customHeight="1">
      <c r="A222" s="235"/>
      <c r="B222" s="235"/>
      <c r="C222" s="235"/>
      <c r="D222" s="235"/>
      <c r="E222" s="235"/>
      <c r="F222" s="235"/>
      <c r="G222" s="235"/>
      <c r="H222" s="235"/>
      <c r="I222" s="235"/>
      <c r="J222" s="235"/>
      <c r="K222" s="235"/>
      <c r="L222" s="235"/>
      <c r="M222" s="235"/>
      <c r="N222" s="235"/>
      <c r="O222" s="235"/>
      <c r="P222" s="235"/>
      <c r="Q222" s="235"/>
      <c r="R222" s="235"/>
      <c r="S222" s="235"/>
      <c r="T222" s="235"/>
      <c r="U222" s="235"/>
      <c r="V222" s="235"/>
      <c r="W222" s="235"/>
      <c r="X222" s="235"/>
      <c r="Y222" s="235"/>
      <c r="Z222" s="235"/>
    </row>
    <row r="223" spans="1:26" ht="12.75" customHeight="1">
      <c r="A223" s="235"/>
      <c r="B223" s="235"/>
      <c r="C223" s="235"/>
      <c r="D223" s="235"/>
      <c r="E223" s="235"/>
      <c r="F223" s="235"/>
      <c r="G223" s="235"/>
      <c r="H223" s="235"/>
      <c r="I223" s="235"/>
      <c r="J223" s="235"/>
      <c r="K223" s="235"/>
      <c r="L223" s="235"/>
      <c r="M223" s="235"/>
      <c r="N223" s="235"/>
      <c r="O223" s="235"/>
      <c r="P223" s="235"/>
      <c r="Q223" s="235"/>
      <c r="R223" s="235"/>
      <c r="S223" s="235"/>
      <c r="T223" s="235"/>
      <c r="U223" s="235"/>
      <c r="V223" s="235"/>
      <c r="W223" s="235"/>
      <c r="X223" s="235"/>
      <c r="Y223" s="235"/>
      <c r="Z223" s="235"/>
    </row>
    <row r="224" spans="1:26" ht="12.75" customHeight="1">
      <c r="A224" s="235"/>
      <c r="B224" s="235"/>
      <c r="C224" s="235"/>
      <c r="D224" s="235"/>
      <c r="E224" s="235"/>
      <c r="F224" s="235"/>
      <c r="G224" s="235"/>
      <c r="H224" s="235"/>
      <c r="I224" s="235"/>
      <c r="J224" s="235"/>
      <c r="K224" s="235"/>
      <c r="L224" s="235"/>
      <c r="M224" s="235"/>
      <c r="N224" s="235"/>
      <c r="O224" s="235"/>
      <c r="P224" s="235"/>
      <c r="Q224" s="235"/>
      <c r="R224" s="235"/>
      <c r="S224" s="235"/>
      <c r="T224" s="235"/>
      <c r="U224" s="235"/>
      <c r="V224" s="235"/>
      <c r="W224" s="235"/>
      <c r="X224" s="235"/>
      <c r="Y224" s="235"/>
      <c r="Z224" s="235"/>
    </row>
    <row r="225" spans="1:26" ht="12.75" customHeight="1">
      <c r="A225" s="235"/>
      <c r="B225" s="235"/>
      <c r="C225" s="235"/>
      <c r="D225" s="235"/>
      <c r="E225" s="235"/>
      <c r="F225" s="235"/>
      <c r="G225" s="235"/>
      <c r="H225" s="235"/>
      <c r="I225" s="235"/>
      <c r="J225" s="235"/>
      <c r="K225" s="235"/>
      <c r="L225" s="235"/>
      <c r="M225" s="235"/>
      <c r="N225" s="235"/>
      <c r="O225" s="235"/>
      <c r="P225" s="235"/>
      <c r="Q225" s="235"/>
      <c r="R225" s="235"/>
      <c r="S225" s="235"/>
      <c r="T225" s="235"/>
      <c r="U225" s="235"/>
      <c r="V225" s="235"/>
      <c r="W225" s="235"/>
      <c r="X225" s="235"/>
      <c r="Y225" s="235"/>
      <c r="Z225" s="235"/>
    </row>
    <row r="226" spans="1:26" ht="12.75" customHeight="1">
      <c r="A226" s="235"/>
      <c r="B226" s="235"/>
      <c r="C226" s="235"/>
      <c r="D226" s="235"/>
      <c r="E226" s="235"/>
      <c r="F226" s="235"/>
      <c r="G226" s="235"/>
      <c r="H226" s="235"/>
      <c r="I226" s="235"/>
      <c r="J226" s="235"/>
      <c r="K226" s="235"/>
      <c r="L226" s="235"/>
      <c r="M226" s="235"/>
      <c r="N226" s="235"/>
      <c r="O226" s="235"/>
      <c r="P226" s="235"/>
      <c r="Q226" s="235"/>
      <c r="R226" s="235"/>
      <c r="S226" s="235"/>
      <c r="T226" s="235"/>
      <c r="U226" s="235"/>
      <c r="V226" s="235"/>
      <c r="W226" s="235"/>
      <c r="X226" s="235"/>
      <c r="Y226" s="235"/>
      <c r="Z226" s="235"/>
    </row>
    <row r="227" spans="1:26" ht="12.75" customHeight="1">
      <c r="A227" s="235"/>
      <c r="B227" s="235"/>
      <c r="C227" s="235"/>
      <c r="D227" s="235"/>
      <c r="E227" s="235"/>
      <c r="F227" s="235"/>
      <c r="G227" s="235"/>
      <c r="H227" s="235"/>
      <c r="I227" s="235"/>
      <c r="J227" s="235"/>
      <c r="K227" s="235"/>
      <c r="L227" s="235"/>
      <c r="M227" s="235"/>
      <c r="N227" s="235"/>
      <c r="O227" s="235"/>
      <c r="P227" s="235"/>
      <c r="Q227" s="235"/>
      <c r="R227" s="235"/>
      <c r="S227" s="235"/>
      <c r="T227" s="235"/>
      <c r="U227" s="235"/>
      <c r="V227" s="235"/>
      <c r="W227" s="235"/>
      <c r="X227" s="235"/>
      <c r="Y227" s="235"/>
      <c r="Z227" s="235"/>
    </row>
    <row r="228" spans="1:26" ht="12.75" customHeight="1">
      <c r="A228" s="235"/>
      <c r="B228" s="235"/>
      <c r="C228" s="235"/>
      <c r="D228" s="235"/>
      <c r="E228" s="235"/>
      <c r="F228" s="235"/>
      <c r="G228" s="235"/>
      <c r="H228" s="235"/>
      <c r="I228" s="235"/>
      <c r="J228" s="235"/>
      <c r="K228" s="235"/>
      <c r="L228" s="235"/>
      <c r="M228" s="235"/>
      <c r="N228" s="235"/>
      <c r="O228" s="235"/>
      <c r="P228" s="235"/>
      <c r="Q228" s="235"/>
      <c r="R228" s="235"/>
      <c r="S228" s="235"/>
      <c r="T228" s="235"/>
      <c r="U228" s="235"/>
      <c r="V228" s="235"/>
      <c r="W228" s="235"/>
      <c r="X228" s="235"/>
      <c r="Y228" s="235"/>
      <c r="Z228" s="235"/>
    </row>
    <row r="229" spans="1:26" ht="12.75" customHeight="1">
      <c r="A229" s="235"/>
      <c r="B229" s="235"/>
      <c r="C229" s="235"/>
      <c r="D229" s="235"/>
      <c r="E229" s="235"/>
      <c r="F229" s="235"/>
      <c r="G229" s="235"/>
      <c r="H229" s="235"/>
      <c r="I229" s="235"/>
      <c r="J229" s="235"/>
      <c r="K229" s="235"/>
      <c r="L229" s="235"/>
      <c r="M229" s="235"/>
      <c r="N229" s="235"/>
      <c r="O229" s="235"/>
      <c r="P229" s="235"/>
      <c r="Q229" s="235"/>
      <c r="R229" s="235"/>
      <c r="S229" s="235"/>
      <c r="T229" s="235"/>
      <c r="U229" s="235"/>
      <c r="V229" s="235"/>
      <c r="W229" s="235"/>
      <c r="X229" s="235"/>
      <c r="Y229" s="235"/>
      <c r="Z229" s="235"/>
    </row>
    <row r="230" spans="1:26" ht="12.75" customHeight="1">
      <c r="A230" s="235"/>
      <c r="B230" s="235"/>
      <c r="C230" s="235"/>
      <c r="D230" s="235"/>
      <c r="E230" s="235"/>
      <c r="F230" s="235"/>
      <c r="G230" s="235"/>
      <c r="H230" s="235"/>
      <c r="I230" s="235"/>
      <c r="J230" s="235"/>
      <c r="K230" s="235"/>
      <c r="L230" s="235"/>
      <c r="M230" s="235"/>
      <c r="N230" s="235"/>
      <c r="O230" s="235"/>
      <c r="P230" s="235"/>
      <c r="Q230" s="235"/>
      <c r="R230" s="235"/>
      <c r="S230" s="235"/>
      <c r="T230" s="235"/>
      <c r="U230" s="235"/>
      <c r="V230" s="235"/>
      <c r="W230" s="235"/>
      <c r="X230" s="235"/>
      <c r="Y230" s="235"/>
      <c r="Z230" s="235"/>
    </row>
    <row r="231" spans="1:26" ht="12.75" customHeight="1">
      <c r="A231" s="235"/>
      <c r="B231" s="235"/>
      <c r="C231" s="235"/>
      <c r="D231" s="235"/>
      <c r="E231" s="235"/>
      <c r="F231" s="235"/>
      <c r="G231" s="235"/>
      <c r="H231" s="235"/>
      <c r="I231" s="235"/>
      <c r="J231" s="235"/>
      <c r="K231" s="235"/>
      <c r="L231" s="235"/>
      <c r="M231" s="235"/>
      <c r="N231" s="235"/>
      <c r="O231" s="235"/>
      <c r="P231" s="235"/>
      <c r="Q231" s="235"/>
      <c r="R231" s="235"/>
      <c r="S231" s="235"/>
      <c r="T231" s="235"/>
      <c r="U231" s="235"/>
      <c r="V231" s="235"/>
      <c r="W231" s="235"/>
      <c r="X231" s="235"/>
      <c r="Y231" s="235"/>
      <c r="Z231" s="235"/>
    </row>
    <row r="232" spans="1:26" ht="12.75" customHeight="1">
      <c r="A232" s="235"/>
      <c r="B232" s="235"/>
      <c r="C232" s="235"/>
      <c r="D232" s="235"/>
      <c r="E232" s="235"/>
      <c r="F232" s="235"/>
      <c r="G232" s="235"/>
      <c r="H232" s="235"/>
      <c r="I232" s="235"/>
      <c r="J232" s="235"/>
      <c r="K232" s="235"/>
      <c r="L232" s="235"/>
      <c r="M232" s="235"/>
      <c r="N232" s="235"/>
      <c r="O232" s="235"/>
      <c r="P232" s="235"/>
      <c r="Q232" s="235"/>
      <c r="R232" s="235"/>
      <c r="S232" s="235"/>
      <c r="T232" s="235"/>
      <c r="U232" s="235"/>
      <c r="V232" s="235"/>
      <c r="W232" s="235"/>
      <c r="X232" s="235"/>
      <c r="Y232" s="235"/>
      <c r="Z232" s="235"/>
    </row>
    <row r="233" spans="1:26" ht="12.75" customHeight="1">
      <c r="A233" s="235"/>
      <c r="B233" s="235"/>
      <c r="C233" s="235"/>
      <c r="D233" s="235"/>
      <c r="E233" s="235"/>
      <c r="F233" s="235"/>
      <c r="G233" s="235"/>
      <c r="H233" s="235"/>
      <c r="I233" s="235"/>
      <c r="J233" s="235"/>
      <c r="K233" s="235"/>
      <c r="L233" s="235"/>
      <c r="M233" s="235"/>
      <c r="N233" s="235"/>
      <c r="O233" s="235"/>
      <c r="P233" s="235"/>
      <c r="Q233" s="235"/>
      <c r="R233" s="235"/>
      <c r="S233" s="235"/>
      <c r="T233" s="235"/>
      <c r="U233" s="235"/>
      <c r="V233" s="235"/>
      <c r="W233" s="235"/>
      <c r="X233" s="235"/>
      <c r="Y233" s="235"/>
      <c r="Z233" s="235"/>
    </row>
    <row r="234" spans="1:26" ht="12.75" customHeight="1">
      <c r="A234" s="235"/>
      <c r="B234" s="235"/>
      <c r="C234" s="235"/>
      <c r="D234" s="235"/>
      <c r="E234" s="235"/>
      <c r="F234" s="235"/>
      <c r="G234" s="235"/>
      <c r="H234" s="235"/>
      <c r="I234" s="235"/>
      <c r="J234" s="235"/>
      <c r="K234" s="235"/>
      <c r="L234" s="235"/>
      <c r="M234" s="235"/>
      <c r="N234" s="235"/>
      <c r="O234" s="235"/>
      <c r="P234" s="235"/>
      <c r="Q234" s="235"/>
      <c r="R234" s="235"/>
      <c r="S234" s="235"/>
      <c r="T234" s="235"/>
      <c r="U234" s="235"/>
      <c r="V234" s="235"/>
      <c r="W234" s="235"/>
      <c r="X234" s="235"/>
      <c r="Y234" s="235"/>
      <c r="Z234" s="235"/>
    </row>
    <row r="235" spans="1:26" ht="12.75" customHeight="1">
      <c r="A235" s="235"/>
      <c r="B235" s="235"/>
      <c r="C235" s="235"/>
      <c r="D235" s="235"/>
      <c r="E235" s="235"/>
      <c r="F235" s="235"/>
      <c r="G235" s="235"/>
      <c r="H235" s="235"/>
      <c r="I235" s="235"/>
      <c r="J235" s="235"/>
      <c r="K235" s="235"/>
      <c r="L235" s="235"/>
      <c r="M235" s="235"/>
      <c r="N235" s="235"/>
      <c r="O235" s="235"/>
      <c r="P235" s="235"/>
      <c r="Q235" s="235"/>
      <c r="R235" s="235"/>
      <c r="S235" s="235"/>
      <c r="T235" s="235"/>
      <c r="U235" s="235"/>
      <c r="V235" s="235"/>
      <c r="W235" s="235"/>
      <c r="X235" s="235"/>
      <c r="Y235" s="235"/>
      <c r="Z235" s="235"/>
    </row>
    <row r="236" spans="1:26" ht="12.75" customHeight="1">
      <c r="A236" s="235"/>
      <c r="B236" s="235"/>
      <c r="C236" s="235"/>
      <c r="D236" s="235"/>
      <c r="E236" s="235"/>
      <c r="F236" s="235"/>
      <c r="G236" s="235"/>
      <c r="H236" s="235"/>
      <c r="I236" s="235"/>
      <c r="J236" s="235"/>
      <c r="K236" s="235"/>
      <c r="L236" s="235"/>
      <c r="M236" s="235"/>
      <c r="N236" s="235"/>
      <c r="O236" s="235"/>
      <c r="P236" s="235"/>
      <c r="Q236" s="235"/>
      <c r="R236" s="235"/>
      <c r="S236" s="235"/>
      <c r="T236" s="235"/>
      <c r="U236" s="235"/>
      <c r="V236" s="235"/>
      <c r="W236" s="235"/>
      <c r="X236" s="235"/>
      <c r="Y236" s="235"/>
      <c r="Z236" s="235"/>
    </row>
    <row r="237" spans="1:26" ht="12.75" customHeight="1">
      <c r="A237" s="235"/>
      <c r="B237" s="235"/>
      <c r="C237" s="235"/>
      <c r="D237" s="235"/>
      <c r="E237" s="235"/>
      <c r="F237" s="235"/>
      <c r="G237" s="235"/>
      <c r="H237" s="235"/>
      <c r="I237" s="235"/>
      <c r="J237" s="235"/>
      <c r="K237" s="235"/>
      <c r="L237" s="235"/>
      <c r="M237" s="235"/>
      <c r="N237" s="235"/>
      <c r="O237" s="235"/>
      <c r="P237" s="235"/>
      <c r="Q237" s="235"/>
      <c r="R237" s="235"/>
      <c r="S237" s="235"/>
      <c r="T237" s="235"/>
      <c r="U237" s="235"/>
      <c r="V237" s="235"/>
      <c r="W237" s="235"/>
      <c r="X237" s="235"/>
      <c r="Y237" s="235"/>
      <c r="Z237" s="235"/>
    </row>
    <row r="238" spans="1:26" ht="12.75" customHeight="1">
      <c r="A238" s="235"/>
      <c r="B238" s="235"/>
      <c r="C238" s="235"/>
      <c r="D238" s="235"/>
      <c r="E238" s="235"/>
      <c r="F238" s="235"/>
      <c r="G238" s="235"/>
      <c r="H238" s="235"/>
      <c r="I238" s="235"/>
      <c r="J238" s="235"/>
      <c r="K238" s="235"/>
      <c r="L238" s="235"/>
      <c r="M238" s="235"/>
      <c r="N238" s="235"/>
      <c r="O238" s="235"/>
      <c r="P238" s="235"/>
      <c r="Q238" s="235"/>
      <c r="R238" s="235"/>
      <c r="S238" s="235"/>
      <c r="T238" s="235"/>
      <c r="U238" s="235"/>
      <c r="V238" s="235"/>
      <c r="W238" s="235"/>
      <c r="X238" s="235"/>
      <c r="Y238" s="235"/>
      <c r="Z238" s="235"/>
    </row>
    <row r="239" spans="1:26" ht="12.75" customHeight="1">
      <c r="A239" s="235"/>
      <c r="B239" s="235"/>
      <c r="C239" s="235"/>
      <c r="D239" s="235"/>
      <c r="E239" s="235"/>
      <c r="F239" s="235"/>
      <c r="G239" s="235"/>
      <c r="H239" s="235"/>
      <c r="I239" s="235"/>
      <c r="J239" s="235"/>
      <c r="K239" s="235"/>
      <c r="L239" s="235"/>
      <c r="M239" s="235"/>
      <c r="N239" s="235"/>
      <c r="O239" s="235"/>
      <c r="P239" s="235"/>
      <c r="Q239" s="235"/>
      <c r="R239" s="235"/>
      <c r="S239" s="235"/>
      <c r="T239" s="235"/>
      <c r="U239" s="235"/>
      <c r="V239" s="235"/>
      <c r="W239" s="235"/>
      <c r="X239" s="235"/>
      <c r="Y239" s="235"/>
      <c r="Z239" s="235"/>
    </row>
    <row r="240" spans="1:26" ht="12.75" customHeight="1">
      <c r="A240" s="235"/>
      <c r="B240" s="235"/>
      <c r="C240" s="235"/>
      <c r="D240" s="235"/>
      <c r="E240" s="235"/>
      <c r="F240" s="235"/>
      <c r="G240" s="235"/>
      <c r="H240" s="235"/>
      <c r="I240" s="235"/>
      <c r="J240" s="235"/>
      <c r="K240" s="235"/>
      <c r="L240" s="235"/>
      <c r="M240" s="235"/>
      <c r="N240" s="235"/>
      <c r="O240" s="235"/>
      <c r="P240" s="235"/>
      <c r="Q240" s="235"/>
      <c r="R240" s="235"/>
      <c r="S240" s="235"/>
      <c r="T240" s="235"/>
      <c r="U240" s="235"/>
      <c r="V240" s="235"/>
      <c r="W240" s="235"/>
      <c r="X240" s="235"/>
      <c r="Y240" s="235"/>
      <c r="Z240" s="235"/>
    </row>
    <row r="241" spans="1:26" ht="12.75" customHeight="1">
      <c r="A241" s="235"/>
      <c r="B241" s="235"/>
      <c r="C241" s="235"/>
      <c r="D241" s="235"/>
      <c r="E241" s="235"/>
      <c r="F241" s="235"/>
      <c r="G241" s="235"/>
      <c r="H241" s="235"/>
      <c r="I241" s="235"/>
      <c r="J241" s="235"/>
      <c r="K241" s="235"/>
      <c r="L241" s="235"/>
      <c r="M241" s="235"/>
      <c r="N241" s="235"/>
      <c r="O241" s="235"/>
      <c r="P241" s="235"/>
      <c r="Q241" s="235"/>
      <c r="R241" s="235"/>
      <c r="S241" s="235"/>
      <c r="T241" s="235"/>
      <c r="U241" s="235"/>
      <c r="V241" s="235"/>
      <c r="W241" s="235"/>
      <c r="X241" s="235"/>
      <c r="Y241" s="235"/>
      <c r="Z241" s="235"/>
    </row>
    <row r="242" spans="1:26" ht="12.75" customHeight="1">
      <c r="A242" s="235"/>
      <c r="B242" s="235"/>
      <c r="C242" s="235"/>
      <c r="D242" s="235"/>
      <c r="E242" s="235"/>
      <c r="F242" s="235"/>
      <c r="G242" s="235"/>
      <c r="H242" s="235"/>
      <c r="I242" s="235"/>
      <c r="J242" s="235"/>
      <c r="K242" s="235"/>
      <c r="L242" s="235"/>
      <c r="M242" s="235"/>
      <c r="N242" s="235"/>
      <c r="O242" s="235"/>
      <c r="P242" s="235"/>
      <c r="Q242" s="235"/>
      <c r="R242" s="235"/>
      <c r="S242" s="235"/>
      <c r="T242" s="235"/>
      <c r="U242" s="235"/>
      <c r="V242" s="235"/>
      <c r="W242" s="235"/>
      <c r="X242" s="235"/>
      <c r="Y242" s="235"/>
      <c r="Z242" s="235"/>
    </row>
    <row r="243" spans="1:26" ht="12.75" customHeight="1">
      <c r="A243" s="235"/>
      <c r="B243" s="235"/>
      <c r="C243" s="235"/>
      <c r="D243" s="235"/>
      <c r="E243" s="235"/>
      <c r="F243" s="235"/>
      <c r="G243" s="235"/>
      <c r="H243" s="235"/>
      <c r="I243" s="235"/>
      <c r="J243" s="235"/>
      <c r="K243" s="235"/>
      <c r="L243" s="235"/>
      <c r="M243" s="235"/>
      <c r="N243" s="235"/>
      <c r="O243" s="235"/>
      <c r="P243" s="235"/>
      <c r="Q243" s="235"/>
      <c r="R243" s="235"/>
      <c r="S243" s="235"/>
      <c r="T243" s="235"/>
      <c r="U243" s="235"/>
      <c r="V243" s="235"/>
      <c r="W243" s="235"/>
      <c r="X243" s="235"/>
      <c r="Y243" s="235"/>
      <c r="Z243" s="235"/>
    </row>
    <row r="244" spans="1:26" ht="12.75" customHeight="1">
      <c r="A244" s="235"/>
      <c r="B244" s="235"/>
      <c r="C244" s="235"/>
      <c r="D244" s="235"/>
      <c r="E244" s="235"/>
      <c r="F244" s="235"/>
      <c r="G244" s="235"/>
      <c r="H244" s="235"/>
      <c r="I244" s="235"/>
      <c r="J244" s="235"/>
      <c r="K244" s="235"/>
      <c r="L244" s="235"/>
      <c r="M244" s="235"/>
      <c r="N244" s="235"/>
      <c r="O244" s="235"/>
      <c r="P244" s="235"/>
      <c r="Q244" s="235"/>
      <c r="R244" s="235"/>
      <c r="S244" s="235"/>
      <c r="T244" s="235"/>
      <c r="U244" s="235"/>
      <c r="V244" s="235"/>
      <c r="W244" s="235"/>
      <c r="X244" s="235"/>
      <c r="Y244" s="235"/>
      <c r="Z244" s="235"/>
    </row>
    <row r="245" spans="1:26" ht="12.75" customHeight="1">
      <c r="A245" s="235"/>
      <c r="B245" s="235"/>
      <c r="C245" s="235"/>
      <c r="D245" s="235"/>
      <c r="E245" s="235"/>
      <c r="F245" s="235"/>
      <c r="G245" s="235"/>
      <c r="H245" s="235"/>
      <c r="I245" s="235"/>
      <c r="J245" s="235"/>
      <c r="K245" s="235"/>
      <c r="L245" s="235"/>
      <c r="M245" s="235"/>
      <c r="N245" s="235"/>
      <c r="O245" s="235"/>
      <c r="P245" s="235"/>
      <c r="Q245" s="235"/>
      <c r="R245" s="235"/>
      <c r="S245" s="235"/>
      <c r="T245" s="235"/>
      <c r="U245" s="235"/>
      <c r="V245" s="235"/>
      <c r="W245" s="235"/>
      <c r="X245" s="235"/>
      <c r="Y245" s="235"/>
      <c r="Z245" s="235"/>
    </row>
    <row r="246" spans="1:26" ht="12.75" customHeight="1">
      <c r="A246" s="235"/>
      <c r="B246" s="235"/>
      <c r="C246" s="235"/>
      <c r="D246" s="235"/>
      <c r="E246" s="235"/>
      <c r="F246" s="235"/>
      <c r="G246" s="235"/>
      <c r="H246" s="235"/>
      <c r="I246" s="235"/>
      <c r="J246" s="235"/>
      <c r="K246" s="235"/>
      <c r="L246" s="235"/>
      <c r="M246" s="235"/>
      <c r="N246" s="235"/>
      <c r="O246" s="235"/>
      <c r="P246" s="235"/>
      <c r="Q246" s="235"/>
      <c r="R246" s="235"/>
      <c r="S246" s="235"/>
      <c r="T246" s="235"/>
      <c r="U246" s="235"/>
      <c r="V246" s="235"/>
      <c r="W246" s="235"/>
      <c r="X246" s="235"/>
      <c r="Y246" s="235"/>
      <c r="Z246" s="235"/>
    </row>
    <row r="247" spans="1:26" ht="12.75" customHeight="1">
      <c r="A247" s="235"/>
      <c r="B247" s="235"/>
      <c r="C247" s="235"/>
      <c r="D247" s="235"/>
      <c r="E247" s="235"/>
      <c r="F247" s="235"/>
      <c r="G247" s="235"/>
      <c r="H247" s="235"/>
      <c r="I247" s="235"/>
      <c r="J247" s="235"/>
      <c r="K247" s="235"/>
      <c r="L247" s="235"/>
      <c r="M247" s="235"/>
      <c r="N247" s="235"/>
      <c r="O247" s="235"/>
      <c r="P247" s="235"/>
      <c r="Q247" s="235"/>
      <c r="R247" s="235"/>
      <c r="S247" s="235"/>
      <c r="T247" s="235"/>
      <c r="U247" s="235"/>
      <c r="V247" s="235"/>
      <c r="W247" s="235"/>
      <c r="X247" s="235"/>
      <c r="Y247" s="235"/>
      <c r="Z247" s="235"/>
    </row>
    <row r="248" spans="1:26" ht="12.75" customHeight="1">
      <c r="A248" s="235"/>
      <c r="B248" s="235"/>
      <c r="C248" s="235"/>
      <c r="D248" s="235"/>
      <c r="E248" s="235"/>
      <c r="F248" s="235"/>
      <c r="G248" s="235"/>
      <c r="H248" s="235"/>
      <c r="I248" s="235"/>
      <c r="J248" s="235"/>
      <c r="K248" s="235"/>
      <c r="L248" s="235"/>
      <c r="M248" s="235"/>
      <c r="N248" s="235"/>
      <c r="O248" s="235"/>
      <c r="P248" s="235"/>
      <c r="Q248" s="235"/>
      <c r="R248" s="235"/>
      <c r="S248" s="235"/>
      <c r="T248" s="235"/>
      <c r="U248" s="235"/>
      <c r="V248" s="235"/>
      <c r="W248" s="235"/>
      <c r="X248" s="235"/>
      <c r="Y248" s="235"/>
      <c r="Z248" s="235"/>
    </row>
    <row r="249" spans="1:26" ht="12.75" customHeight="1">
      <c r="A249" s="235"/>
      <c r="B249" s="235"/>
      <c r="C249" s="235"/>
      <c r="D249" s="235"/>
      <c r="E249" s="235"/>
      <c r="F249" s="235"/>
      <c r="G249" s="235"/>
      <c r="H249" s="235"/>
      <c r="I249" s="235"/>
      <c r="J249" s="235"/>
      <c r="K249" s="235"/>
      <c r="L249" s="235"/>
      <c r="M249" s="235"/>
      <c r="N249" s="235"/>
      <c r="O249" s="235"/>
      <c r="P249" s="235"/>
      <c r="Q249" s="235"/>
      <c r="R249" s="235"/>
      <c r="S249" s="235"/>
      <c r="T249" s="235"/>
      <c r="U249" s="235"/>
      <c r="V249" s="235"/>
      <c r="W249" s="235"/>
      <c r="X249" s="235"/>
      <c r="Y249" s="235"/>
      <c r="Z249" s="235"/>
    </row>
    <row r="250" spans="1:26" ht="12.75" customHeight="1">
      <c r="A250" s="235"/>
      <c r="B250" s="235"/>
      <c r="C250" s="235"/>
      <c r="D250" s="235"/>
      <c r="E250" s="235"/>
      <c r="F250" s="235"/>
      <c r="G250" s="235"/>
      <c r="H250" s="235"/>
      <c r="I250" s="235"/>
      <c r="J250" s="235"/>
      <c r="K250" s="235"/>
      <c r="L250" s="235"/>
      <c r="M250" s="235"/>
      <c r="N250" s="235"/>
      <c r="O250" s="235"/>
      <c r="P250" s="235"/>
      <c r="Q250" s="235"/>
      <c r="R250" s="235"/>
      <c r="S250" s="235"/>
      <c r="T250" s="235"/>
      <c r="U250" s="235"/>
      <c r="V250" s="235"/>
      <c r="W250" s="235"/>
      <c r="X250" s="235"/>
      <c r="Y250" s="235"/>
      <c r="Z250" s="235"/>
    </row>
    <row r="251" spans="1:26" ht="12.75" customHeight="1">
      <c r="A251" s="235"/>
      <c r="B251" s="235"/>
      <c r="C251" s="235"/>
      <c r="D251" s="235"/>
      <c r="E251" s="235"/>
      <c r="F251" s="235"/>
      <c r="G251" s="235"/>
      <c r="H251" s="235"/>
      <c r="I251" s="235"/>
      <c r="J251" s="235"/>
      <c r="K251" s="235"/>
      <c r="L251" s="235"/>
      <c r="M251" s="235"/>
      <c r="N251" s="235"/>
      <c r="O251" s="235"/>
      <c r="P251" s="235"/>
      <c r="Q251" s="235"/>
      <c r="R251" s="235"/>
      <c r="S251" s="235"/>
      <c r="T251" s="235"/>
      <c r="U251" s="235"/>
      <c r="V251" s="235"/>
      <c r="W251" s="235"/>
      <c r="X251" s="235"/>
      <c r="Y251" s="235"/>
      <c r="Z251" s="235"/>
    </row>
    <row r="252" spans="1:26" ht="12.75" customHeight="1">
      <c r="A252" s="235"/>
      <c r="B252" s="235"/>
      <c r="C252" s="235"/>
      <c r="D252" s="235"/>
      <c r="E252" s="235"/>
      <c r="F252" s="235"/>
      <c r="G252" s="235"/>
      <c r="H252" s="235"/>
      <c r="I252" s="235"/>
      <c r="J252" s="235"/>
      <c r="K252" s="235"/>
      <c r="L252" s="235"/>
      <c r="M252" s="235"/>
      <c r="N252" s="235"/>
      <c r="O252" s="235"/>
      <c r="P252" s="235"/>
      <c r="Q252" s="235"/>
      <c r="R252" s="235"/>
      <c r="S252" s="235"/>
      <c r="T252" s="235"/>
      <c r="U252" s="235"/>
      <c r="V252" s="235"/>
      <c r="W252" s="235"/>
      <c r="X252" s="235"/>
      <c r="Y252" s="235"/>
      <c r="Z252" s="235"/>
    </row>
    <row r="253" spans="1:26" ht="12.75" customHeight="1">
      <c r="A253" s="235"/>
      <c r="B253" s="235"/>
      <c r="C253" s="235"/>
      <c r="D253" s="235"/>
      <c r="E253" s="235"/>
      <c r="F253" s="235"/>
      <c r="G253" s="235"/>
      <c r="H253" s="235"/>
      <c r="I253" s="235"/>
      <c r="J253" s="235"/>
      <c r="K253" s="235"/>
      <c r="L253" s="235"/>
      <c r="M253" s="235"/>
      <c r="N253" s="235"/>
      <c r="O253" s="235"/>
      <c r="P253" s="235"/>
      <c r="Q253" s="235"/>
      <c r="R253" s="235"/>
      <c r="S253" s="235"/>
      <c r="T253" s="235"/>
      <c r="U253" s="235"/>
      <c r="V253" s="235"/>
      <c r="W253" s="235"/>
      <c r="X253" s="235"/>
      <c r="Y253" s="235"/>
      <c r="Z253" s="235"/>
    </row>
    <row r="254" spans="1:26" ht="12.75" customHeight="1">
      <c r="A254" s="235"/>
      <c r="B254" s="235"/>
      <c r="C254" s="235"/>
      <c r="D254" s="235"/>
      <c r="E254" s="235"/>
      <c r="F254" s="235"/>
      <c r="G254" s="235"/>
      <c r="H254" s="235"/>
      <c r="I254" s="235"/>
      <c r="J254" s="235"/>
      <c r="K254" s="235"/>
      <c r="L254" s="235"/>
      <c r="M254" s="235"/>
      <c r="N254" s="235"/>
      <c r="O254" s="235"/>
      <c r="P254" s="235"/>
      <c r="Q254" s="235"/>
      <c r="R254" s="235"/>
      <c r="S254" s="235"/>
      <c r="T254" s="235"/>
      <c r="U254" s="235"/>
      <c r="V254" s="235"/>
      <c r="W254" s="235"/>
      <c r="X254" s="235"/>
      <c r="Y254" s="235"/>
      <c r="Z254" s="235"/>
    </row>
    <row r="255" spans="1:26" ht="12.75" customHeight="1">
      <c r="A255" s="235"/>
      <c r="B255" s="235"/>
      <c r="C255" s="235"/>
      <c r="D255" s="235"/>
      <c r="E255" s="235"/>
      <c r="F255" s="235"/>
      <c r="G255" s="235"/>
      <c r="H255" s="235"/>
      <c r="I255" s="235"/>
      <c r="J255" s="235"/>
      <c r="K255" s="235"/>
      <c r="L255" s="235"/>
      <c r="M255" s="235"/>
      <c r="N255" s="235"/>
      <c r="O255" s="235"/>
      <c r="P255" s="235"/>
      <c r="Q255" s="235"/>
      <c r="R255" s="235"/>
      <c r="S255" s="235"/>
      <c r="T255" s="235"/>
      <c r="U255" s="235"/>
      <c r="V255" s="235"/>
      <c r="W255" s="235"/>
      <c r="X255" s="235"/>
      <c r="Y255" s="235"/>
      <c r="Z255" s="235"/>
    </row>
    <row r="256" spans="1:26" ht="12.75" customHeight="1">
      <c r="A256" s="235"/>
      <c r="B256" s="235"/>
      <c r="C256" s="235"/>
      <c r="D256" s="235"/>
      <c r="E256" s="235"/>
      <c r="F256" s="235"/>
      <c r="G256" s="235"/>
      <c r="H256" s="235"/>
      <c r="I256" s="235"/>
      <c r="J256" s="235"/>
      <c r="K256" s="235"/>
      <c r="L256" s="235"/>
      <c r="M256" s="235"/>
      <c r="N256" s="235"/>
      <c r="O256" s="235"/>
      <c r="P256" s="235"/>
      <c r="Q256" s="235"/>
      <c r="R256" s="235"/>
      <c r="S256" s="235"/>
      <c r="T256" s="235"/>
      <c r="U256" s="235"/>
      <c r="V256" s="235"/>
      <c r="W256" s="235"/>
      <c r="X256" s="235"/>
      <c r="Y256" s="235"/>
      <c r="Z256" s="235"/>
    </row>
    <row r="257" spans="1:26" ht="12.75" customHeight="1">
      <c r="A257" s="235"/>
      <c r="B257" s="235"/>
      <c r="C257" s="235"/>
      <c r="D257" s="235"/>
      <c r="E257" s="235"/>
      <c r="F257" s="235"/>
      <c r="G257" s="235"/>
      <c r="H257" s="235"/>
      <c r="I257" s="235"/>
      <c r="J257" s="235"/>
      <c r="K257" s="235"/>
      <c r="L257" s="235"/>
      <c r="M257" s="235"/>
      <c r="N257" s="235"/>
      <c r="O257" s="235"/>
      <c r="P257" s="235"/>
      <c r="Q257" s="235"/>
      <c r="R257" s="235"/>
      <c r="S257" s="235"/>
      <c r="T257" s="235"/>
      <c r="U257" s="235"/>
      <c r="V257" s="235"/>
      <c r="W257" s="235"/>
      <c r="X257" s="235"/>
      <c r="Y257" s="235"/>
      <c r="Z257" s="235"/>
    </row>
    <row r="258" spans="1:26" ht="12.75" customHeight="1">
      <c r="A258" s="235"/>
      <c r="B258" s="235"/>
      <c r="C258" s="235"/>
      <c r="D258" s="235"/>
      <c r="E258" s="235"/>
      <c r="F258" s="235"/>
      <c r="G258" s="235"/>
      <c r="H258" s="235"/>
      <c r="I258" s="235"/>
      <c r="J258" s="235"/>
      <c r="K258" s="235"/>
      <c r="L258" s="235"/>
      <c r="M258" s="235"/>
      <c r="N258" s="235"/>
      <c r="O258" s="235"/>
      <c r="P258" s="235"/>
      <c r="Q258" s="235"/>
      <c r="R258" s="235"/>
      <c r="S258" s="235"/>
      <c r="T258" s="235"/>
      <c r="U258" s="235"/>
      <c r="V258" s="235"/>
      <c r="W258" s="235"/>
      <c r="X258" s="235"/>
      <c r="Y258" s="235"/>
      <c r="Z258" s="235"/>
    </row>
    <row r="259" spans="1:26" ht="12.75" customHeight="1">
      <c r="A259" s="235"/>
      <c r="B259" s="235"/>
      <c r="C259" s="235"/>
      <c r="D259" s="235"/>
      <c r="E259" s="235"/>
      <c r="F259" s="235"/>
      <c r="G259" s="235"/>
      <c r="H259" s="235"/>
      <c r="I259" s="235"/>
      <c r="J259" s="235"/>
      <c r="K259" s="235"/>
      <c r="L259" s="235"/>
      <c r="M259" s="235"/>
      <c r="N259" s="235"/>
      <c r="O259" s="235"/>
      <c r="P259" s="235"/>
      <c r="Q259" s="235"/>
      <c r="R259" s="235"/>
      <c r="S259" s="235"/>
      <c r="T259" s="235"/>
      <c r="U259" s="235"/>
      <c r="V259" s="235"/>
      <c r="W259" s="235"/>
      <c r="X259" s="235"/>
      <c r="Y259" s="235"/>
      <c r="Z259" s="235"/>
    </row>
    <row r="260" spans="1:26" ht="12.75" customHeight="1">
      <c r="A260" s="235"/>
      <c r="B260" s="235"/>
      <c r="C260" s="235"/>
      <c r="D260" s="235"/>
      <c r="E260" s="235"/>
      <c r="F260" s="235"/>
      <c r="G260" s="235"/>
      <c r="H260" s="235"/>
      <c r="I260" s="235"/>
      <c r="J260" s="235"/>
      <c r="K260" s="235"/>
      <c r="L260" s="235"/>
      <c r="M260" s="235"/>
      <c r="N260" s="235"/>
      <c r="O260" s="235"/>
      <c r="P260" s="235"/>
      <c r="Q260" s="235"/>
      <c r="R260" s="235"/>
      <c r="S260" s="235"/>
      <c r="T260" s="235"/>
      <c r="U260" s="235"/>
      <c r="V260" s="235"/>
      <c r="W260" s="235"/>
      <c r="X260" s="235"/>
      <c r="Y260" s="235"/>
      <c r="Z260" s="235"/>
    </row>
    <row r="261" spans="1:26" ht="12.75" customHeight="1">
      <c r="A261" s="235"/>
      <c r="B261" s="235"/>
      <c r="C261" s="235"/>
      <c r="D261" s="235"/>
      <c r="E261" s="235"/>
      <c r="F261" s="235"/>
      <c r="G261" s="235"/>
      <c r="H261" s="235"/>
      <c r="I261" s="235"/>
      <c r="J261" s="235"/>
      <c r="K261" s="235"/>
      <c r="L261" s="235"/>
      <c r="M261" s="235"/>
      <c r="N261" s="235"/>
      <c r="O261" s="235"/>
      <c r="P261" s="235"/>
      <c r="Q261" s="235"/>
      <c r="R261" s="235"/>
      <c r="S261" s="235"/>
      <c r="T261" s="235"/>
      <c r="U261" s="235"/>
      <c r="V261" s="235"/>
      <c r="W261" s="235"/>
      <c r="X261" s="235"/>
      <c r="Y261" s="235"/>
      <c r="Z261" s="235"/>
    </row>
    <row r="262" spans="1:26" ht="12.75" customHeight="1">
      <c r="A262" s="235"/>
      <c r="B262" s="235"/>
      <c r="C262" s="235"/>
      <c r="D262" s="235"/>
      <c r="E262" s="235"/>
      <c r="F262" s="235"/>
      <c r="G262" s="235"/>
      <c r="H262" s="235"/>
      <c r="I262" s="235"/>
      <c r="J262" s="235"/>
      <c r="K262" s="235"/>
      <c r="L262" s="235"/>
      <c r="M262" s="235"/>
      <c r="N262" s="235"/>
      <c r="O262" s="235"/>
      <c r="P262" s="235"/>
      <c r="Q262" s="235"/>
      <c r="R262" s="235"/>
      <c r="S262" s="235"/>
      <c r="T262" s="235"/>
      <c r="U262" s="235"/>
      <c r="V262" s="235"/>
      <c r="W262" s="235"/>
      <c r="X262" s="235"/>
      <c r="Y262" s="235"/>
      <c r="Z262" s="235"/>
    </row>
    <row r="263" spans="1:26" ht="12.75" customHeight="1">
      <c r="A263" s="235"/>
      <c r="B263" s="235"/>
      <c r="C263" s="235"/>
      <c r="D263" s="235"/>
      <c r="E263" s="235"/>
      <c r="F263" s="235"/>
      <c r="G263" s="235"/>
      <c r="H263" s="235"/>
      <c r="I263" s="235"/>
      <c r="J263" s="235"/>
      <c r="K263" s="235"/>
      <c r="L263" s="235"/>
      <c r="M263" s="235"/>
      <c r="N263" s="235"/>
      <c r="O263" s="235"/>
      <c r="P263" s="235"/>
      <c r="Q263" s="235"/>
      <c r="R263" s="235"/>
      <c r="S263" s="235"/>
      <c r="T263" s="235"/>
      <c r="U263" s="235"/>
      <c r="V263" s="235"/>
      <c r="W263" s="235"/>
      <c r="X263" s="235"/>
      <c r="Y263" s="235"/>
      <c r="Z263" s="235"/>
    </row>
    <row r="264" spans="1:26" ht="15.75" customHeight="1"/>
    <row r="265" spans="1:26" ht="15.75" customHeight="1"/>
    <row r="266" spans="1:26" ht="15.75" customHeight="1"/>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D63:E63"/>
    <mergeCell ref="H1:L2"/>
    <mergeCell ref="F12:I12"/>
    <mergeCell ref="F16:I16"/>
    <mergeCell ref="F20:I20"/>
    <mergeCell ref="F24:I24"/>
    <mergeCell ref="F28:I28"/>
    <mergeCell ref="G32:I32"/>
    <mergeCell ref="G33:I33"/>
    <mergeCell ref="F38:I38"/>
    <mergeCell ref="F43:I43"/>
    <mergeCell ref="G47:I47"/>
    <mergeCell ref="G48:I48"/>
  </mergeCell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1000"/>
  <sheetViews>
    <sheetView showGridLines="0" workbookViewId="0"/>
  </sheetViews>
  <sheetFormatPr baseColWidth="10" defaultColWidth="14.44140625" defaultRowHeight="15" customHeight="1"/>
  <cols>
    <col min="1" max="1" width="37.6640625" customWidth="1"/>
    <col min="2" max="2" width="21.33203125" customWidth="1"/>
    <col min="3" max="3" width="35.88671875" customWidth="1"/>
    <col min="4" max="4" width="34.33203125" customWidth="1"/>
    <col min="5" max="5" width="46.33203125" customWidth="1"/>
    <col min="6" max="6" width="40.44140625" customWidth="1"/>
    <col min="7" max="26" width="10.6640625" customWidth="1"/>
  </cols>
  <sheetData>
    <row r="1" spans="1:26" ht="15.6">
      <c r="A1" s="986" t="s">
        <v>69</v>
      </c>
      <c r="B1" s="1362">
        <v>44566</v>
      </c>
      <c r="C1" s="1363"/>
      <c r="D1" s="1363"/>
      <c r="E1" s="1363"/>
      <c r="F1" s="1363"/>
      <c r="G1" s="1368"/>
      <c r="H1" s="1"/>
      <c r="I1" s="1"/>
      <c r="J1" s="1"/>
      <c r="K1" s="1"/>
      <c r="L1" s="1"/>
      <c r="M1" s="1"/>
      <c r="N1" s="1"/>
      <c r="O1" s="1"/>
      <c r="P1" s="1"/>
      <c r="Q1" s="1"/>
      <c r="R1" s="1"/>
      <c r="S1" s="1"/>
      <c r="T1" s="1"/>
      <c r="U1" s="1"/>
      <c r="V1" s="1"/>
      <c r="W1" s="1"/>
      <c r="X1" s="1"/>
      <c r="Y1" s="1"/>
      <c r="Z1" s="1"/>
    </row>
    <row r="2" spans="1:26" ht="15.6">
      <c r="A2" s="200" t="s">
        <v>72</v>
      </c>
      <c r="B2" s="1369" t="s">
        <v>73</v>
      </c>
      <c r="C2" s="1339"/>
      <c r="D2" s="1339"/>
      <c r="E2" s="1339"/>
      <c r="F2" s="1339"/>
      <c r="G2" s="1387"/>
      <c r="H2" s="1"/>
      <c r="I2" s="1"/>
      <c r="J2" s="1"/>
      <c r="K2" s="1"/>
      <c r="L2" s="1"/>
      <c r="M2" s="1"/>
      <c r="N2" s="1"/>
      <c r="O2" s="1"/>
      <c r="P2" s="1"/>
      <c r="Q2" s="1"/>
      <c r="R2" s="1"/>
      <c r="S2" s="1"/>
      <c r="T2" s="1"/>
      <c r="U2" s="1"/>
      <c r="V2" s="1"/>
      <c r="W2" s="1"/>
      <c r="X2" s="1"/>
      <c r="Y2" s="1"/>
      <c r="Z2" s="1"/>
    </row>
    <row r="3" spans="1:26" ht="15.6">
      <c r="A3" s="200" t="s">
        <v>75</v>
      </c>
      <c r="B3" s="1375" t="s">
        <v>244</v>
      </c>
      <c r="C3" s="1339"/>
      <c r="D3" s="1339"/>
      <c r="E3" s="1340"/>
      <c r="F3" s="1375" t="s">
        <v>77</v>
      </c>
      <c r="G3" s="1387"/>
      <c r="H3" s="84"/>
      <c r="I3" s="84"/>
      <c r="J3" s="84"/>
      <c r="K3" s="1"/>
      <c r="L3" s="1"/>
      <c r="M3" s="1"/>
      <c r="N3" s="1"/>
      <c r="O3" s="1"/>
      <c r="P3" s="1"/>
      <c r="Q3" s="1"/>
      <c r="R3" s="1"/>
      <c r="S3" s="1"/>
      <c r="T3" s="1"/>
      <c r="U3" s="1"/>
      <c r="V3" s="1"/>
      <c r="W3" s="1"/>
      <c r="X3" s="1"/>
      <c r="Y3" s="1"/>
      <c r="Z3" s="1"/>
    </row>
    <row r="4" spans="1:26" ht="15.6">
      <c r="A4" s="200" t="s">
        <v>78</v>
      </c>
      <c r="B4" s="1376" t="s">
        <v>79</v>
      </c>
      <c r="C4" s="1339"/>
      <c r="D4" s="1339"/>
      <c r="E4" s="1339"/>
      <c r="F4" s="1339"/>
      <c r="G4" s="1387"/>
      <c r="H4" s="1"/>
      <c r="I4" s="1"/>
      <c r="J4" s="1"/>
      <c r="K4" s="1"/>
      <c r="L4" s="1"/>
      <c r="M4" s="1"/>
      <c r="N4" s="1"/>
      <c r="O4" s="1"/>
      <c r="P4" s="1"/>
      <c r="Q4" s="1"/>
      <c r="R4" s="1"/>
      <c r="S4" s="1"/>
      <c r="T4" s="1"/>
      <c r="U4" s="1"/>
      <c r="V4" s="1"/>
      <c r="W4" s="1"/>
      <c r="X4" s="1"/>
      <c r="Y4" s="1"/>
      <c r="Z4" s="1"/>
    </row>
    <row r="5" spans="1:26" ht="15.6">
      <c r="A5" s="200" t="s">
        <v>80</v>
      </c>
      <c r="B5" s="1470" t="s">
        <v>749</v>
      </c>
      <c r="C5" s="1339"/>
      <c r="D5" s="1339"/>
      <c r="E5" s="1339"/>
      <c r="F5" s="1339"/>
      <c r="G5" s="1387"/>
      <c r="H5" s="1"/>
      <c r="I5" s="1"/>
      <c r="J5" s="1"/>
      <c r="K5" s="1"/>
      <c r="L5" s="1"/>
      <c r="M5" s="1"/>
      <c r="N5" s="1"/>
      <c r="O5" s="1"/>
      <c r="P5" s="1"/>
      <c r="Q5" s="1"/>
      <c r="R5" s="1"/>
      <c r="S5" s="1"/>
      <c r="T5" s="1"/>
      <c r="U5" s="1"/>
      <c r="V5" s="1"/>
      <c r="W5" s="1"/>
      <c r="X5" s="1"/>
      <c r="Y5" s="1"/>
      <c r="Z5" s="1"/>
    </row>
    <row r="6" spans="1:26" ht="15.6">
      <c r="A6" s="200" t="s">
        <v>82</v>
      </c>
      <c r="B6" s="1369" t="s">
        <v>632</v>
      </c>
      <c r="C6" s="1339"/>
      <c r="D6" s="1339"/>
      <c r="E6" s="1339"/>
      <c r="F6" s="1339"/>
      <c r="G6" s="1387"/>
      <c r="H6" s="95"/>
      <c r="I6" s="95"/>
      <c r="J6" s="95"/>
      <c r="K6" s="95"/>
      <c r="L6" s="95"/>
      <c r="M6" s="95"/>
      <c r="N6" s="95"/>
      <c r="O6" s="95"/>
      <c r="P6" s="95"/>
      <c r="Q6" s="95"/>
      <c r="R6" s="95"/>
      <c r="S6" s="95"/>
      <c r="T6" s="95"/>
      <c r="U6" s="95"/>
      <c r="V6" s="95"/>
      <c r="W6" s="95"/>
      <c r="X6" s="95"/>
      <c r="Y6" s="95"/>
      <c r="Z6" s="95"/>
    </row>
    <row r="7" spans="1:26" ht="15.6">
      <c r="A7" s="201" t="s">
        <v>84</v>
      </c>
      <c r="B7" s="1388" t="s">
        <v>633</v>
      </c>
      <c r="C7" s="1389"/>
      <c r="D7" s="1389"/>
      <c r="E7" s="1389"/>
      <c r="F7" s="1389"/>
      <c r="G7" s="1390"/>
      <c r="H7" s="1"/>
      <c r="I7" s="1"/>
      <c r="J7" s="1"/>
      <c r="K7" s="1"/>
      <c r="L7" s="1"/>
      <c r="M7" s="1"/>
      <c r="N7" s="1"/>
      <c r="O7" s="1"/>
      <c r="P7" s="1"/>
      <c r="Q7" s="1"/>
      <c r="R7" s="1"/>
      <c r="S7" s="1"/>
      <c r="T7" s="1"/>
      <c r="U7" s="1"/>
      <c r="V7" s="1"/>
      <c r="W7" s="1"/>
      <c r="X7" s="1"/>
      <c r="Y7" s="1"/>
      <c r="Z7" s="1"/>
    </row>
    <row r="8" spans="1:26" ht="15" customHeight="1">
      <c r="A8" s="1206" t="s">
        <v>204</v>
      </c>
      <c r="B8" s="1207" t="s">
        <v>247</v>
      </c>
      <c r="C8" s="1208" t="s">
        <v>248</v>
      </c>
      <c r="D8" s="1208" t="s">
        <v>249</v>
      </c>
      <c r="E8" s="1209" t="s">
        <v>250</v>
      </c>
      <c r="F8" s="1210" t="s">
        <v>252</v>
      </c>
      <c r="G8" s="322"/>
      <c r="H8" s="322"/>
      <c r="I8" s="322"/>
      <c r="J8" s="322"/>
      <c r="K8" s="322"/>
      <c r="L8" s="322"/>
      <c r="M8" s="322"/>
      <c r="N8" s="322"/>
      <c r="O8" s="322"/>
      <c r="P8" s="322"/>
      <c r="Q8" s="322"/>
      <c r="R8" s="322"/>
      <c r="S8" s="322"/>
      <c r="T8" s="322"/>
      <c r="U8" s="322"/>
      <c r="V8" s="322"/>
      <c r="W8" s="322"/>
      <c r="X8" s="322"/>
      <c r="Y8" s="322"/>
      <c r="Z8" s="322"/>
    </row>
    <row r="9" spans="1:26" ht="15.6" hidden="1">
      <c r="A9" s="1211" t="s">
        <v>106</v>
      </c>
      <c r="B9" s="14">
        <v>49</v>
      </c>
      <c r="C9" s="103">
        <v>0.10708000000000002</v>
      </c>
      <c r="D9" s="103">
        <v>7.1315789473684194E-2</v>
      </c>
      <c r="E9" s="103">
        <v>0.23349333333333336</v>
      </c>
      <c r="F9" s="1212">
        <v>0.1782</v>
      </c>
      <c r="G9" s="1213"/>
      <c r="H9" s="1213"/>
      <c r="I9" s="1213"/>
      <c r="J9" s="1213"/>
      <c r="K9" s="1213"/>
      <c r="L9" s="1213"/>
      <c r="M9" s="1213"/>
      <c r="N9" s="1213"/>
      <c r="O9" s="1213"/>
      <c r="P9" s="1213"/>
      <c r="Q9" s="1213"/>
      <c r="R9" s="1213"/>
      <c r="S9" s="1213"/>
      <c r="T9" s="1213"/>
      <c r="U9" s="1213"/>
      <c r="V9" s="1213"/>
      <c r="W9" s="1213"/>
      <c r="X9" s="1213"/>
      <c r="Y9" s="1213"/>
      <c r="Z9" s="1213"/>
    </row>
    <row r="10" spans="1:26" ht="15.6" hidden="1">
      <c r="A10" s="1211" t="s">
        <v>107</v>
      </c>
      <c r="B10" s="14">
        <v>73</v>
      </c>
      <c r="C10" s="103">
        <v>5.4805E-2</v>
      </c>
      <c r="D10" s="103">
        <v>4.9397560975609753E-2</v>
      </c>
      <c r="E10" s="103">
        <v>0.2684624324324324</v>
      </c>
      <c r="F10" s="1212">
        <v>0.10253181818181817</v>
      </c>
      <c r="G10" s="1213"/>
      <c r="H10" s="1213"/>
      <c r="I10" s="1213"/>
      <c r="J10" s="1213"/>
      <c r="K10" s="1213"/>
      <c r="L10" s="1213"/>
      <c r="M10" s="1213"/>
      <c r="N10" s="1213"/>
      <c r="O10" s="1213"/>
      <c r="P10" s="1213"/>
      <c r="Q10" s="1213"/>
      <c r="R10" s="1213"/>
      <c r="S10" s="1213"/>
      <c r="T10" s="1213"/>
      <c r="U10" s="1213"/>
      <c r="V10" s="1213"/>
      <c r="W10" s="1213"/>
      <c r="X10" s="1213"/>
      <c r="Y10" s="1213"/>
      <c r="Z10" s="1213"/>
    </row>
    <row r="11" spans="1:26" ht="15.6" hidden="1">
      <c r="A11" s="1211" t="s">
        <v>108</v>
      </c>
      <c r="B11" s="14">
        <v>21</v>
      </c>
      <c r="C11" s="103">
        <v>-0.32732000000000006</v>
      </c>
      <c r="D11" s="103">
        <v>-6.9958333333333331E-2</v>
      </c>
      <c r="E11" s="103">
        <v>0.52592857142857141</v>
      </c>
      <c r="F11" s="1212">
        <v>0.45600000000000002</v>
      </c>
      <c r="G11" s="1213"/>
      <c r="H11" s="1213"/>
      <c r="I11" s="1213"/>
      <c r="J11" s="1213"/>
      <c r="K11" s="1213"/>
      <c r="L11" s="1213"/>
      <c r="M11" s="1213"/>
      <c r="N11" s="1213"/>
      <c r="O11" s="1213"/>
      <c r="P11" s="1213"/>
      <c r="Q11" s="1213"/>
      <c r="R11" s="1213"/>
      <c r="S11" s="1213"/>
      <c r="T11" s="1213"/>
      <c r="U11" s="1213"/>
      <c r="V11" s="1213"/>
      <c r="W11" s="1213"/>
      <c r="X11" s="1213"/>
      <c r="Y11" s="1213"/>
      <c r="Z11" s="1213"/>
    </row>
    <row r="12" spans="1:26" ht="15.6" hidden="1">
      <c r="A12" s="1211" t="s">
        <v>109</v>
      </c>
      <c r="B12" s="14">
        <v>39</v>
      </c>
      <c r="C12" s="103">
        <v>3.8211999999999996E-2</v>
      </c>
      <c r="D12" s="103">
        <v>6.1161999999999994E-2</v>
      </c>
      <c r="E12" s="103">
        <v>0.16094120000000001</v>
      </c>
      <c r="F12" s="1212">
        <v>0.26835714285714285</v>
      </c>
      <c r="G12" s="1213"/>
      <c r="H12" s="1213"/>
      <c r="I12" s="1213"/>
      <c r="J12" s="1213"/>
      <c r="K12" s="1213"/>
      <c r="L12" s="1213"/>
      <c r="M12" s="1213"/>
      <c r="N12" s="1213"/>
      <c r="O12" s="1213"/>
      <c r="P12" s="1213"/>
      <c r="Q12" s="1213"/>
      <c r="R12" s="1213"/>
      <c r="S12" s="1213"/>
      <c r="T12" s="1213"/>
      <c r="U12" s="1213"/>
      <c r="V12" s="1213"/>
      <c r="W12" s="1213"/>
      <c r="X12" s="1213"/>
      <c r="Y12" s="1213"/>
      <c r="Z12" s="1213"/>
    </row>
    <row r="13" spans="1:26" ht="15.6" hidden="1">
      <c r="A13" s="1211" t="s">
        <v>110</v>
      </c>
      <c r="B13" s="14">
        <v>26</v>
      </c>
      <c r="C13" s="103">
        <v>8.5020000000000012E-2</v>
      </c>
      <c r="D13" s="103">
        <v>0.1193714285714286</v>
      </c>
      <c r="E13" s="103">
        <v>1.6060090909090909</v>
      </c>
      <c r="F13" s="1212">
        <v>4.6714285714285708E-2</v>
      </c>
      <c r="G13" s="1213"/>
      <c r="H13" s="1213"/>
      <c r="I13" s="1213"/>
      <c r="J13" s="1213"/>
      <c r="K13" s="1213"/>
      <c r="L13" s="1213"/>
      <c r="M13" s="1213"/>
      <c r="N13" s="1213"/>
      <c r="O13" s="1213"/>
      <c r="P13" s="1213"/>
      <c r="Q13" s="1213"/>
      <c r="R13" s="1213"/>
      <c r="S13" s="1213"/>
      <c r="T13" s="1213"/>
      <c r="U13" s="1213"/>
      <c r="V13" s="1213"/>
      <c r="W13" s="1213"/>
      <c r="X13" s="1213"/>
      <c r="Y13" s="1213"/>
      <c r="Z13" s="1213"/>
    </row>
    <row r="14" spans="1:26" ht="15.6" hidden="1">
      <c r="A14" s="1211" t="s">
        <v>111</v>
      </c>
      <c r="B14" s="14">
        <v>38</v>
      </c>
      <c r="C14" s="103">
        <v>5.5300000000000009E-2</v>
      </c>
      <c r="D14" s="103">
        <v>6.1078076923076922E-2</v>
      </c>
      <c r="E14" s="103">
        <v>0.18462800000000004</v>
      </c>
      <c r="F14" s="1212">
        <v>0.45484615384615384</v>
      </c>
      <c r="G14" s="1213"/>
      <c r="H14" s="1213"/>
      <c r="I14" s="1213"/>
      <c r="J14" s="1213"/>
      <c r="K14" s="1213"/>
      <c r="L14" s="1213"/>
      <c r="M14" s="1213"/>
      <c r="N14" s="1213"/>
      <c r="O14" s="1213"/>
      <c r="P14" s="1213"/>
      <c r="Q14" s="1213"/>
      <c r="R14" s="1213"/>
      <c r="S14" s="1213"/>
      <c r="T14" s="1213"/>
      <c r="U14" s="1213"/>
      <c r="V14" s="1213"/>
      <c r="W14" s="1213"/>
      <c r="X14" s="1213"/>
      <c r="Y14" s="1213"/>
      <c r="Z14" s="1213"/>
    </row>
    <row r="15" spans="1:26" ht="15.6" hidden="1">
      <c r="A15" s="1211" t="s">
        <v>112</v>
      </c>
      <c r="B15" s="14">
        <v>7</v>
      </c>
      <c r="C15" s="103">
        <v>0.11719999999999998</v>
      </c>
      <c r="D15" s="103">
        <v>4.6133333333333332E-2</v>
      </c>
      <c r="E15" s="103">
        <v>1.4661999999999998E-2</v>
      </c>
      <c r="F15" s="1212">
        <v>0.13919999999999999</v>
      </c>
      <c r="G15" s="1213"/>
      <c r="H15" s="1213"/>
      <c r="I15" s="1213"/>
      <c r="J15" s="1213"/>
      <c r="K15" s="1213"/>
      <c r="L15" s="1213"/>
      <c r="M15" s="1213"/>
      <c r="N15" s="1213"/>
      <c r="O15" s="1213"/>
      <c r="P15" s="1213"/>
      <c r="Q15" s="1213"/>
      <c r="R15" s="1213"/>
      <c r="S15" s="1213"/>
      <c r="T15" s="1213"/>
      <c r="U15" s="1213"/>
      <c r="V15" s="1213"/>
      <c r="W15" s="1213"/>
      <c r="X15" s="1213"/>
      <c r="Y15" s="1213"/>
      <c r="Z15" s="1213"/>
    </row>
    <row r="16" spans="1:26" ht="15.6" hidden="1">
      <c r="A16" s="1211" t="s">
        <v>114</v>
      </c>
      <c r="B16" s="14">
        <v>563</v>
      </c>
      <c r="C16" s="103">
        <v>0.20695044289044276</v>
      </c>
      <c r="D16" s="103">
        <v>0.11739004618937651</v>
      </c>
      <c r="E16" s="103">
        <v>7.2557183673469389E-2</v>
      </c>
      <c r="F16" s="1212">
        <v>0.13103333333333325</v>
      </c>
      <c r="G16" s="1213"/>
      <c r="H16" s="1213"/>
      <c r="I16" s="1213"/>
      <c r="J16" s="1213"/>
      <c r="K16" s="1213"/>
      <c r="L16" s="1213"/>
      <c r="M16" s="1213"/>
      <c r="N16" s="1213"/>
      <c r="O16" s="1213"/>
      <c r="P16" s="1213"/>
      <c r="Q16" s="1213"/>
      <c r="R16" s="1213"/>
      <c r="S16" s="1213"/>
      <c r="T16" s="1213"/>
      <c r="U16" s="1213"/>
      <c r="V16" s="1213"/>
      <c r="W16" s="1213"/>
      <c r="X16" s="1213"/>
      <c r="Y16" s="1213"/>
      <c r="Z16" s="1213"/>
    </row>
    <row r="17" spans="1:26" ht="15.6" hidden="1">
      <c r="A17" s="1211" t="s">
        <v>115</v>
      </c>
      <c r="B17" s="14">
        <v>21</v>
      </c>
      <c r="C17" s="103">
        <v>6.7833333333333331E-3</v>
      </c>
      <c r="D17" s="103">
        <v>0.1456875</v>
      </c>
      <c r="E17" s="103">
        <v>0.13018571428571429</v>
      </c>
      <c r="F17" s="1212">
        <v>8.1119999999999998E-2</v>
      </c>
      <c r="G17" s="1213"/>
      <c r="H17" s="1213"/>
      <c r="I17" s="1213"/>
      <c r="J17" s="1213"/>
      <c r="K17" s="1213"/>
      <c r="L17" s="1213"/>
      <c r="M17" s="1213"/>
      <c r="N17" s="1213"/>
      <c r="O17" s="1213"/>
      <c r="P17" s="1213"/>
      <c r="Q17" s="1213"/>
      <c r="R17" s="1213"/>
      <c r="S17" s="1213"/>
      <c r="T17" s="1213"/>
      <c r="U17" s="1213"/>
      <c r="V17" s="1213"/>
      <c r="W17" s="1213"/>
      <c r="X17" s="1213"/>
      <c r="Y17" s="1213"/>
      <c r="Z17" s="1213"/>
    </row>
    <row r="18" spans="1:26" ht="15.6" hidden="1">
      <c r="A18" s="1211" t="s">
        <v>116</v>
      </c>
      <c r="B18" s="14">
        <v>32</v>
      </c>
      <c r="C18" s="103">
        <v>0.17906</v>
      </c>
      <c r="D18" s="103">
        <v>0.20472333333333334</v>
      </c>
      <c r="E18" s="103">
        <v>0.22313999999999998</v>
      </c>
      <c r="F18" s="1212">
        <v>0.11395999999999999</v>
      </c>
      <c r="G18" s="1213"/>
      <c r="H18" s="1213"/>
      <c r="I18" s="1213"/>
      <c r="J18" s="1213"/>
      <c r="K18" s="1213"/>
      <c r="L18" s="1213"/>
      <c r="M18" s="1213"/>
      <c r="N18" s="1213"/>
      <c r="O18" s="1213"/>
      <c r="P18" s="1213"/>
      <c r="Q18" s="1213"/>
      <c r="R18" s="1213"/>
      <c r="S18" s="1213"/>
      <c r="T18" s="1213"/>
      <c r="U18" s="1213"/>
      <c r="V18" s="1213"/>
      <c r="W18" s="1213"/>
      <c r="X18" s="1213"/>
      <c r="Y18" s="1213"/>
      <c r="Z18" s="1213"/>
    </row>
    <row r="19" spans="1:26" ht="15.6" hidden="1">
      <c r="A19" s="1211" t="s">
        <v>117</v>
      </c>
      <c r="B19" s="14">
        <v>28</v>
      </c>
      <c r="C19" s="103">
        <v>0.20314615384615384</v>
      </c>
      <c r="D19" s="103">
        <v>9.6442631578947377E-2</v>
      </c>
      <c r="E19" s="103">
        <v>0.14556470588235293</v>
      </c>
      <c r="F19" s="1212">
        <v>1.6451600000000002</v>
      </c>
      <c r="G19" s="1213"/>
      <c r="H19" s="1213"/>
      <c r="I19" s="1213"/>
      <c r="J19" s="1213"/>
      <c r="K19" s="1213"/>
      <c r="L19" s="1213"/>
      <c r="M19" s="1213"/>
      <c r="N19" s="1213"/>
      <c r="O19" s="1213"/>
      <c r="P19" s="1213"/>
      <c r="Q19" s="1213"/>
      <c r="R19" s="1213"/>
      <c r="S19" s="1213"/>
      <c r="T19" s="1213"/>
      <c r="U19" s="1213"/>
      <c r="V19" s="1213"/>
      <c r="W19" s="1213"/>
      <c r="X19" s="1213"/>
      <c r="Y19" s="1213"/>
      <c r="Z19" s="1213"/>
    </row>
    <row r="20" spans="1:26" ht="15.6" hidden="1">
      <c r="A20" s="1211" t="s">
        <v>118</v>
      </c>
      <c r="B20" s="14">
        <v>31</v>
      </c>
      <c r="C20" s="103">
        <v>0.4150588235294117</v>
      </c>
      <c r="D20" s="103">
        <v>0.17959545454545453</v>
      </c>
      <c r="E20" s="103">
        <v>0.10717777777777776</v>
      </c>
      <c r="F20" s="1212">
        <v>0.24031666666666671</v>
      </c>
      <c r="G20" s="1213"/>
      <c r="H20" s="1213"/>
      <c r="I20" s="1213"/>
      <c r="J20" s="1213"/>
      <c r="K20" s="1213"/>
      <c r="L20" s="1213"/>
      <c r="M20" s="1213"/>
      <c r="N20" s="1213"/>
      <c r="O20" s="1213"/>
      <c r="P20" s="1213"/>
      <c r="Q20" s="1213"/>
      <c r="R20" s="1213"/>
      <c r="S20" s="1213"/>
      <c r="T20" s="1213"/>
      <c r="U20" s="1213"/>
      <c r="V20" s="1213"/>
      <c r="W20" s="1213"/>
      <c r="X20" s="1213"/>
      <c r="Y20" s="1213"/>
      <c r="Z20" s="1213"/>
    </row>
    <row r="21" spans="1:26" ht="15.75" hidden="1" customHeight="1">
      <c r="A21" s="1211" t="s">
        <v>119</v>
      </c>
      <c r="B21" s="14">
        <v>44</v>
      </c>
      <c r="C21" s="103">
        <v>0.1515882608695652</v>
      </c>
      <c r="D21" s="103">
        <v>8.4543333333333331E-2</v>
      </c>
      <c r="E21" s="103">
        <v>0.19600937499999999</v>
      </c>
      <c r="F21" s="1212">
        <v>0.17902916666666668</v>
      </c>
      <c r="G21" s="1213"/>
      <c r="H21" s="1213"/>
      <c r="I21" s="1213"/>
      <c r="J21" s="1213"/>
      <c r="K21" s="1213"/>
      <c r="L21" s="1213"/>
      <c r="M21" s="1213"/>
      <c r="N21" s="1213"/>
      <c r="O21" s="1213"/>
      <c r="P21" s="1213"/>
      <c r="Q21" s="1213"/>
      <c r="R21" s="1213"/>
      <c r="S21" s="1213"/>
      <c r="T21" s="1213"/>
      <c r="U21" s="1213"/>
      <c r="V21" s="1213"/>
      <c r="W21" s="1213"/>
      <c r="X21" s="1213"/>
      <c r="Y21" s="1213"/>
      <c r="Z21" s="1213"/>
    </row>
    <row r="22" spans="1:26" ht="15.75" hidden="1" customHeight="1">
      <c r="A22" s="1211" t="s">
        <v>120</v>
      </c>
      <c r="B22" s="14">
        <v>160</v>
      </c>
      <c r="C22" s="103">
        <v>0.13360000000000005</v>
      </c>
      <c r="D22" s="103">
        <v>5.3889358974358953E-2</v>
      </c>
      <c r="E22" s="103">
        <v>0.1559527027027027</v>
      </c>
      <c r="F22" s="1212">
        <v>0.21248181818181816</v>
      </c>
      <c r="G22" s="1213"/>
      <c r="H22" s="1213"/>
      <c r="I22" s="1213"/>
      <c r="J22" s="1213"/>
      <c r="K22" s="1213"/>
      <c r="L22" s="1213"/>
      <c r="M22" s="1213"/>
      <c r="N22" s="1213"/>
      <c r="O22" s="1213"/>
      <c r="P22" s="1213"/>
      <c r="Q22" s="1213"/>
      <c r="R22" s="1213"/>
      <c r="S22" s="1213"/>
      <c r="T22" s="1213"/>
      <c r="U22" s="1213"/>
      <c r="V22" s="1213"/>
      <c r="W22" s="1213"/>
      <c r="X22" s="1213"/>
      <c r="Y22" s="1213"/>
      <c r="Z22" s="1213"/>
    </row>
    <row r="23" spans="1:26" ht="15.75" hidden="1" customHeight="1">
      <c r="A23" s="1211" t="s">
        <v>121</v>
      </c>
      <c r="B23" s="14">
        <v>11</v>
      </c>
      <c r="C23" s="103">
        <v>7.8049999999999994E-2</v>
      </c>
      <c r="D23" s="103">
        <v>0.1741875</v>
      </c>
      <c r="E23" s="103">
        <v>0.78395888888888887</v>
      </c>
      <c r="F23" s="1212">
        <v>0.18281428571428573</v>
      </c>
      <c r="G23" s="1213"/>
      <c r="H23" s="1213"/>
      <c r="I23" s="1213"/>
      <c r="J23" s="1213"/>
      <c r="K23" s="1213"/>
      <c r="L23" s="1213"/>
      <c r="M23" s="1213"/>
      <c r="N23" s="1213"/>
      <c r="O23" s="1213"/>
      <c r="P23" s="1213"/>
      <c r="Q23" s="1213"/>
      <c r="R23" s="1213"/>
      <c r="S23" s="1213"/>
      <c r="T23" s="1213"/>
      <c r="U23" s="1213"/>
      <c r="V23" s="1213"/>
      <c r="W23" s="1213"/>
      <c r="X23" s="1213"/>
      <c r="Y23" s="1213"/>
      <c r="Z23" s="1213"/>
    </row>
    <row r="24" spans="1:26" ht="15.75" hidden="1" customHeight="1">
      <c r="A24" s="1211" t="s">
        <v>122</v>
      </c>
      <c r="B24" s="14">
        <v>35</v>
      </c>
      <c r="C24" s="103">
        <v>0.15505000000000002</v>
      </c>
      <c r="D24" s="103">
        <v>0.20387000000000005</v>
      </c>
      <c r="E24" s="103">
        <v>0.16431666666666664</v>
      </c>
      <c r="F24" s="1212">
        <v>0.37885714285714289</v>
      </c>
      <c r="G24" s="1213"/>
      <c r="H24" s="1213"/>
      <c r="I24" s="1213"/>
      <c r="J24" s="1213"/>
      <c r="K24" s="1213"/>
      <c r="L24" s="1213"/>
      <c r="M24" s="1213"/>
      <c r="N24" s="1213"/>
      <c r="O24" s="1213"/>
      <c r="P24" s="1213"/>
      <c r="Q24" s="1213"/>
      <c r="R24" s="1213"/>
      <c r="S24" s="1213"/>
      <c r="T24" s="1213"/>
      <c r="U24" s="1213"/>
      <c r="V24" s="1213"/>
      <c r="W24" s="1213"/>
      <c r="X24" s="1213"/>
      <c r="Y24" s="1213"/>
      <c r="Z24" s="1213"/>
    </row>
    <row r="25" spans="1:26" ht="15.75" hidden="1" customHeight="1">
      <c r="A25" s="1211" t="s">
        <v>123</v>
      </c>
      <c r="B25" s="14">
        <v>4</v>
      </c>
      <c r="C25" s="103">
        <v>0.26250000000000001</v>
      </c>
      <c r="D25" s="103">
        <v>8.0562500000000009E-2</v>
      </c>
      <c r="E25" s="103">
        <v>0.19566666666666666</v>
      </c>
      <c r="F25" s="1212">
        <v>0.42099999999999999</v>
      </c>
      <c r="G25" s="1213"/>
      <c r="H25" s="1213"/>
      <c r="I25" s="1213"/>
      <c r="J25" s="1213"/>
      <c r="K25" s="1213"/>
      <c r="L25" s="1213"/>
      <c r="M25" s="1213"/>
      <c r="N25" s="1213"/>
      <c r="O25" s="1213"/>
      <c r="P25" s="1213"/>
      <c r="Q25" s="1213"/>
      <c r="R25" s="1213"/>
      <c r="S25" s="1213"/>
      <c r="T25" s="1213"/>
      <c r="U25" s="1213"/>
      <c r="V25" s="1213"/>
      <c r="W25" s="1213"/>
      <c r="X25" s="1213"/>
      <c r="Y25" s="1213"/>
      <c r="Z25" s="1213"/>
    </row>
    <row r="26" spans="1:26" ht="15.75" hidden="1" customHeight="1">
      <c r="A26" s="1211" t="s">
        <v>124</v>
      </c>
      <c r="B26" s="14">
        <v>81</v>
      </c>
      <c r="C26" s="103">
        <v>9.2243030303030327E-2</v>
      </c>
      <c r="D26" s="103">
        <v>7.9344705882352914E-2</v>
      </c>
      <c r="E26" s="103">
        <v>0.18326666666666663</v>
      </c>
      <c r="F26" s="1212">
        <v>0.13242222222222222</v>
      </c>
      <c r="G26" s="1213"/>
      <c r="H26" s="1213"/>
      <c r="I26" s="1213"/>
      <c r="J26" s="1213"/>
      <c r="K26" s="1213"/>
      <c r="L26" s="1213"/>
      <c r="M26" s="1213"/>
      <c r="N26" s="1213"/>
      <c r="O26" s="1213"/>
      <c r="P26" s="1213"/>
      <c r="Q26" s="1213"/>
      <c r="R26" s="1213"/>
      <c r="S26" s="1213"/>
      <c r="T26" s="1213"/>
      <c r="U26" s="1213"/>
      <c r="V26" s="1213"/>
      <c r="W26" s="1213"/>
      <c r="X26" s="1213"/>
      <c r="Y26" s="1213"/>
      <c r="Z26" s="1213"/>
    </row>
    <row r="27" spans="1:26" ht="15.75" hidden="1" customHeight="1">
      <c r="A27" s="1211" t="s">
        <v>125</v>
      </c>
      <c r="B27" s="14">
        <v>18</v>
      </c>
      <c r="C27" s="103">
        <v>8.14E-2</v>
      </c>
      <c r="D27" s="103">
        <v>-0.21844285714285713</v>
      </c>
      <c r="E27" s="103">
        <v>2.1920875</v>
      </c>
      <c r="F27" s="1212" t="s">
        <v>253</v>
      </c>
      <c r="G27" s="1213"/>
      <c r="H27" s="1213"/>
      <c r="I27" s="1213"/>
      <c r="J27" s="1213"/>
      <c r="K27" s="1213"/>
      <c r="L27" s="1213"/>
      <c r="M27" s="1213"/>
      <c r="N27" s="1213"/>
      <c r="O27" s="1213"/>
      <c r="P27" s="1213"/>
      <c r="Q27" s="1213"/>
      <c r="R27" s="1213"/>
      <c r="S27" s="1213"/>
      <c r="T27" s="1213"/>
      <c r="U27" s="1213"/>
      <c r="V27" s="1213"/>
      <c r="W27" s="1213"/>
      <c r="X27" s="1213"/>
      <c r="Y27" s="1213"/>
      <c r="Z27" s="1213"/>
    </row>
    <row r="28" spans="1:26" ht="15.75" hidden="1" customHeight="1">
      <c r="A28" s="1211" t="s">
        <v>126</v>
      </c>
      <c r="B28" s="14">
        <v>83</v>
      </c>
      <c r="C28" s="103">
        <v>0.17630434782608692</v>
      </c>
      <c r="D28" s="103">
        <v>8.8714523809523785E-2</v>
      </c>
      <c r="E28" s="103">
        <v>0.11320740740740742</v>
      </c>
      <c r="F28" s="1212">
        <v>0.16145000000000001</v>
      </c>
      <c r="G28" s="1213"/>
      <c r="H28" s="1213"/>
      <c r="I28" s="1213"/>
      <c r="J28" s="1213"/>
      <c r="K28" s="1213"/>
      <c r="L28" s="1213"/>
      <c r="M28" s="1213"/>
      <c r="N28" s="1213"/>
      <c r="O28" s="1213"/>
      <c r="P28" s="1213"/>
      <c r="Q28" s="1213"/>
      <c r="R28" s="1213"/>
      <c r="S28" s="1213"/>
      <c r="T28" s="1213"/>
      <c r="U28" s="1213"/>
      <c r="V28" s="1213"/>
      <c r="W28" s="1213"/>
      <c r="X28" s="1213"/>
      <c r="Y28" s="1213"/>
      <c r="Z28" s="1213"/>
    </row>
    <row r="29" spans="1:26" ht="15.75" hidden="1" customHeight="1">
      <c r="A29" s="1211" t="s">
        <v>127</v>
      </c>
      <c r="B29" s="14">
        <v>46</v>
      </c>
      <c r="C29" s="103">
        <v>0.10832727272727274</v>
      </c>
      <c r="D29" s="103">
        <v>0.16677923076923079</v>
      </c>
      <c r="E29" s="103">
        <v>0.13780208333333335</v>
      </c>
      <c r="F29" s="1212">
        <v>0.13685</v>
      </c>
      <c r="G29" s="1213"/>
      <c r="H29" s="1213"/>
      <c r="I29" s="1213"/>
      <c r="J29" s="1213"/>
      <c r="K29" s="1213"/>
      <c r="L29" s="1213"/>
      <c r="M29" s="1213"/>
      <c r="N29" s="1213"/>
      <c r="O29" s="1213"/>
      <c r="P29" s="1213"/>
      <c r="Q29" s="1213"/>
      <c r="R29" s="1213"/>
      <c r="S29" s="1213"/>
      <c r="T29" s="1213"/>
      <c r="U29" s="1213"/>
      <c r="V29" s="1213"/>
      <c r="W29" s="1213"/>
      <c r="X29" s="1213"/>
      <c r="Y29" s="1213"/>
      <c r="Z29" s="1213"/>
    </row>
    <row r="30" spans="1:26" ht="15.75" hidden="1" customHeight="1">
      <c r="A30" s="1211" t="s">
        <v>128</v>
      </c>
      <c r="B30" s="14">
        <v>48</v>
      </c>
      <c r="C30" s="103">
        <v>0.12912692307692308</v>
      </c>
      <c r="D30" s="103">
        <v>6.2764117647058831E-2</v>
      </c>
      <c r="E30" s="103">
        <v>1.4628625000000002</v>
      </c>
      <c r="F30" s="1212">
        <v>0.29650000000000004</v>
      </c>
      <c r="G30" s="1213"/>
      <c r="H30" s="1213"/>
      <c r="I30" s="1213"/>
      <c r="J30" s="1213"/>
      <c r="K30" s="1213"/>
      <c r="L30" s="1213"/>
      <c r="M30" s="1213"/>
      <c r="N30" s="1213"/>
      <c r="O30" s="1213"/>
      <c r="P30" s="1213"/>
      <c r="Q30" s="1213"/>
      <c r="R30" s="1213"/>
      <c r="S30" s="1213"/>
      <c r="T30" s="1213"/>
      <c r="U30" s="1213"/>
      <c r="V30" s="1213"/>
      <c r="W30" s="1213"/>
      <c r="X30" s="1213"/>
      <c r="Y30" s="1213"/>
      <c r="Z30" s="1213"/>
    </row>
    <row r="31" spans="1:26" ht="15.75" hidden="1" customHeight="1">
      <c r="A31" s="1211" t="s">
        <v>129</v>
      </c>
      <c r="B31" s="14">
        <v>22</v>
      </c>
      <c r="C31" s="103">
        <v>0.12114000000000001</v>
      </c>
      <c r="D31" s="103">
        <v>2.7899999999999991E-3</v>
      </c>
      <c r="E31" s="103">
        <v>0.41067111111111104</v>
      </c>
      <c r="F31" s="1212">
        <v>8.3939999999999987E-2</v>
      </c>
      <c r="G31" s="1213"/>
      <c r="H31" s="1213"/>
      <c r="I31" s="1213"/>
      <c r="J31" s="1213"/>
      <c r="K31" s="1213"/>
      <c r="L31" s="1213"/>
      <c r="M31" s="1213"/>
      <c r="N31" s="1213"/>
      <c r="O31" s="1213"/>
      <c r="P31" s="1213"/>
      <c r="Q31" s="1213"/>
      <c r="R31" s="1213"/>
      <c r="S31" s="1213"/>
      <c r="T31" s="1213"/>
      <c r="U31" s="1213"/>
      <c r="V31" s="1213"/>
      <c r="W31" s="1213"/>
      <c r="X31" s="1213"/>
      <c r="Y31" s="1213"/>
      <c r="Z31" s="1213"/>
    </row>
    <row r="32" spans="1:26" ht="15.75" hidden="1" customHeight="1">
      <c r="A32" s="1211" t="s">
        <v>130</v>
      </c>
      <c r="B32" s="14">
        <v>581</v>
      </c>
      <c r="C32" s="103">
        <v>5.6963636363636355E-2</v>
      </c>
      <c r="D32" s="103">
        <v>0.30857304635761579</v>
      </c>
      <c r="E32" s="103">
        <v>1.1472551680672267</v>
      </c>
      <c r="F32" s="1212">
        <v>0.11173625000000001</v>
      </c>
      <c r="G32" s="1213"/>
      <c r="H32" s="1213"/>
      <c r="I32" s="1213"/>
      <c r="J32" s="1213"/>
      <c r="K32" s="1213"/>
      <c r="L32" s="1213"/>
      <c r="M32" s="1213"/>
      <c r="N32" s="1213"/>
      <c r="O32" s="1213"/>
      <c r="P32" s="1213"/>
      <c r="Q32" s="1213"/>
      <c r="R32" s="1213"/>
      <c r="S32" s="1213"/>
      <c r="T32" s="1213"/>
      <c r="U32" s="1213"/>
      <c r="V32" s="1213"/>
      <c r="W32" s="1213"/>
      <c r="X32" s="1213"/>
      <c r="Y32" s="1213"/>
      <c r="Z32" s="1213"/>
    </row>
    <row r="33" spans="1:26" ht="15.75" hidden="1" customHeight="1">
      <c r="A33" s="1211" t="s">
        <v>131</v>
      </c>
      <c r="B33" s="14">
        <v>298</v>
      </c>
      <c r="C33" s="103">
        <v>0.20709000000000002</v>
      </c>
      <c r="D33" s="103">
        <v>0.42848128571428584</v>
      </c>
      <c r="E33" s="103">
        <v>1.498014909090909</v>
      </c>
      <c r="F33" s="1212">
        <v>0.102465</v>
      </c>
      <c r="G33" s="1213"/>
      <c r="H33" s="1213"/>
      <c r="I33" s="1213"/>
      <c r="J33" s="1213"/>
      <c r="K33" s="1213"/>
      <c r="L33" s="1213"/>
      <c r="M33" s="1213"/>
      <c r="N33" s="1213"/>
      <c r="O33" s="1213"/>
      <c r="P33" s="1213"/>
      <c r="Q33" s="1213"/>
      <c r="R33" s="1213"/>
      <c r="S33" s="1213"/>
      <c r="T33" s="1213"/>
      <c r="U33" s="1213"/>
      <c r="V33" s="1213"/>
      <c r="W33" s="1213"/>
      <c r="X33" s="1213"/>
      <c r="Y33" s="1213"/>
      <c r="Z33" s="1213"/>
    </row>
    <row r="34" spans="1:26" ht="15.75" hidden="1" customHeight="1">
      <c r="A34" s="1211" t="s">
        <v>132</v>
      </c>
      <c r="B34" s="14">
        <v>35</v>
      </c>
      <c r="C34" s="103">
        <v>8.9255555555555546E-2</v>
      </c>
      <c r="D34" s="103">
        <v>8.1042105263157867E-3</v>
      </c>
      <c r="E34" s="103">
        <v>0.11535624999999999</v>
      </c>
      <c r="F34" s="1212">
        <v>0.13358333333333333</v>
      </c>
      <c r="G34" s="1213"/>
      <c r="H34" s="1213"/>
      <c r="I34" s="1213"/>
      <c r="J34" s="1213"/>
      <c r="K34" s="1213"/>
      <c r="L34" s="1213"/>
      <c r="M34" s="1213"/>
      <c r="N34" s="1213"/>
      <c r="O34" s="1213"/>
      <c r="P34" s="1213"/>
      <c r="Q34" s="1213"/>
      <c r="R34" s="1213"/>
      <c r="S34" s="1213"/>
      <c r="T34" s="1213"/>
      <c r="U34" s="1213"/>
      <c r="V34" s="1213"/>
      <c r="W34" s="1213"/>
      <c r="X34" s="1213"/>
      <c r="Y34" s="1213"/>
      <c r="Z34" s="1213"/>
    </row>
    <row r="35" spans="1:26" ht="15.75" hidden="1" customHeight="1">
      <c r="A35" s="1211" t="s">
        <v>133</v>
      </c>
      <c r="B35" s="14">
        <v>104</v>
      </c>
      <c r="C35" s="103">
        <v>0.11717142857142857</v>
      </c>
      <c r="D35" s="103">
        <v>5.8357800000000022E-2</v>
      </c>
      <c r="E35" s="103">
        <v>1.0337042553191487</v>
      </c>
      <c r="F35" s="1212">
        <v>0.14940909090909094</v>
      </c>
      <c r="G35" s="1213"/>
      <c r="H35" s="1213"/>
      <c r="I35" s="1213"/>
      <c r="J35" s="1213"/>
      <c r="K35" s="1213"/>
      <c r="L35" s="1213"/>
      <c r="M35" s="1213"/>
      <c r="N35" s="1213"/>
      <c r="O35" s="1213"/>
      <c r="P35" s="1213"/>
      <c r="Q35" s="1213"/>
      <c r="R35" s="1213"/>
      <c r="S35" s="1213"/>
      <c r="T35" s="1213"/>
      <c r="U35" s="1213"/>
      <c r="V35" s="1213"/>
      <c r="W35" s="1213"/>
      <c r="X35" s="1213"/>
      <c r="Y35" s="1213"/>
      <c r="Z35" s="1213"/>
    </row>
    <row r="36" spans="1:26" ht="15.75" hidden="1" customHeight="1">
      <c r="A36" s="1211" t="s">
        <v>134</v>
      </c>
      <c r="B36" s="14">
        <v>16</v>
      </c>
      <c r="C36" s="103">
        <v>8.7499999999999994E-2</v>
      </c>
      <c r="D36" s="103">
        <v>1.4990999999999997E-2</v>
      </c>
      <c r="E36" s="103">
        <v>0.17207166666666671</v>
      </c>
      <c r="F36" s="1212">
        <v>-4.6333333333333317E-2</v>
      </c>
      <c r="G36" s="1213"/>
      <c r="H36" s="1213"/>
      <c r="I36" s="1213"/>
      <c r="J36" s="1213"/>
      <c r="K36" s="1213"/>
      <c r="L36" s="1213"/>
      <c r="M36" s="1213"/>
      <c r="N36" s="1213"/>
      <c r="O36" s="1213"/>
      <c r="P36" s="1213"/>
      <c r="Q36" s="1213"/>
      <c r="R36" s="1213"/>
      <c r="S36" s="1213"/>
      <c r="T36" s="1213"/>
      <c r="U36" s="1213"/>
      <c r="V36" s="1213"/>
      <c r="W36" s="1213"/>
      <c r="X36" s="1213"/>
      <c r="Y36" s="1213"/>
      <c r="Z36" s="1213"/>
    </row>
    <row r="37" spans="1:26" ht="15.75" hidden="1" customHeight="1">
      <c r="A37" s="1211" t="s">
        <v>135</v>
      </c>
      <c r="B37" s="14">
        <v>137</v>
      </c>
      <c r="C37" s="103">
        <v>0.2004775</v>
      </c>
      <c r="D37" s="103">
        <v>8.4135340909090889E-2</v>
      </c>
      <c r="E37" s="103">
        <v>0.50183603174603175</v>
      </c>
      <c r="F37" s="1212">
        <v>0.19629393939393941</v>
      </c>
      <c r="G37" s="1213"/>
      <c r="H37" s="1213"/>
      <c r="I37" s="1213"/>
      <c r="J37" s="1213"/>
      <c r="K37" s="1213"/>
      <c r="L37" s="1213"/>
      <c r="M37" s="1213"/>
      <c r="N37" s="1213"/>
      <c r="O37" s="1213"/>
      <c r="P37" s="1213"/>
      <c r="Q37" s="1213"/>
      <c r="R37" s="1213"/>
      <c r="S37" s="1213"/>
      <c r="T37" s="1213"/>
      <c r="U37" s="1213"/>
      <c r="V37" s="1213"/>
      <c r="W37" s="1213"/>
      <c r="X37" s="1213"/>
      <c r="Y37" s="1213"/>
      <c r="Z37" s="1213"/>
    </row>
    <row r="38" spans="1:26" ht="15.75" hidden="1" customHeight="1">
      <c r="A38" s="1211" t="s">
        <v>136</v>
      </c>
      <c r="B38" s="14">
        <v>48</v>
      </c>
      <c r="C38" s="103">
        <v>0.28063125</v>
      </c>
      <c r="D38" s="103">
        <v>8.8280370370370398E-2</v>
      </c>
      <c r="E38" s="103">
        <v>0.23355000000000001</v>
      </c>
      <c r="F38" s="1212">
        <v>0.18661111111111114</v>
      </c>
      <c r="G38" s="1213"/>
      <c r="H38" s="1213"/>
      <c r="I38" s="1213"/>
      <c r="J38" s="1213"/>
      <c r="K38" s="1213"/>
      <c r="L38" s="1213"/>
      <c r="M38" s="1213"/>
      <c r="N38" s="1213"/>
      <c r="O38" s="1213"/>
      <c r="P38" s="1213"/>
      <c r="Q38" s="1213"/>
      <c r="R38" s="1213"/>
      <c r="S38" s="1213"/>
      <c r="T38" s="1213"/>
      <c r="U38" s="1213"/>
      <c r="V38" s="1213"/>
      <c r="W38" s="1213"/>
      <c r="X38" s="1213"/>
      <c r="Y38" s="1213"/>
      <c r="Z38" s="1213"/>
    </row>
    <row r="39" spans="1:26" ht="15.75" hidden="1" customHeight="1">
      <c r="A39" s="1211" t="s">
        <v>137</v>
      </c>
      <c r="B39" s="14">
        <v>108</v>
      </c>
      <c r="C39" s="103">
        <v>0.2174636363636363</v>
      </c>
      <c r="D39" s="103">
        <v>0.2261333333333333</v>
      </c>
      <c r="E39" s="103">
        <v>0.46443030303030308</v>
      </c>
      <c r="F39" s="1212">
        <v>0.22378571428571425</v>
      </c>
      <c r="G39" s="1213"/>
      <c r="H39" s="1213"/>
      <c r="I39" s="1213"/>
      <c r="J39" s="1213"/>
      <c r="K39" s="1213"/>
      <c r="L39" s="1213"/>
      <c r="M39" s="1213"/>
      <c r="N39" s="1213"/>
      <c r="O39" s="1213"/>
      <c r="P39" s="1213"/>
      <c r="Q39" s="1213"/>
      <c r="R39" s="1213"/>
      <c r="S39" s="1213"/>
      <c r="T39" s="1213"/>
      <c r="U39" s="1213"/>
      <c r="V39" s="1213"/>
      <c r="W39" s="1213"/>
      <c r="X39" s="1213"/>
      <c r="Y39" s="1213"/>
      <c r="Z39" s="1213"/>
    </row>
    <row r="40" spans="1:26" ht="15.75" hidden="1" customHeight="1">
      <c r="A40" s="1211" t="s">
        <v>138</v>
      </c>
      <c r="B40" s="14">
        <v>58</v>
      </c>
      <c r="C40" s="103">
        <v>0.13064444444444445</v>
      </c>
      <c r="D40" s="103">
        <v>-4.0159999999999996E-3</v>
      </c>
      <c r="E40" s="103">
        <v>0.40799999999999997</v>
      </c>
      <c r="F40" s="1212">
        <v>0.13176923076923075</v>
      </c>
      <c r="G40" s="1213"/>
      <c r="H40" s="1213"/>
      <c r="I40" s="1213"/>
      <c r="J40" s="1213"/>
      <c r="K40" s="1213"/>
      <c r="L40" s="1213"/>
      <c r="M40" s="1213"/>
      <c r="N40" s="1213"/>
      <c r="O40" s="1213"/>
      <c r="P40" s="1213"/>
      <c r="Q40" s="1213"/>
      <c r="R40" s="1213"/>
      <c r="S40" s="1213"/>
      <c r="T40" s="1213"/>
      <c r="U40" s="1213"/>
      <c r="V40" s="1213"/>
      <c r="W40" s="1213"/>
      <c r="X40" s="1213"/>
      <c r="Y40" s="1213"/>
      <c r="Z40" s="1213"/>
    </row>
    <row r="41" spans="1:26" ht="15.75" hidden="1" customHeight="1">
      <c r="A41" s="1211" t="s">
        <v>139</v>
      </c>
      <c r="B41" s="14">
        <v>36</v>
      </c>
      <c r="C41" s="103">
        <v>0.14430000000000001</v>
      </c>
      <c r="D41" s="103">
        <v>6.8413124999999991E-2</v>
      </c>
      <c r="E41" s="103">
        <v>0.35475000000000001</v>
      </c>
      <c r="F41" s="1212">
        <v>0.23527500000000001</v>
      </c>
      <c r="G41" s="1213"/>
      <c r="H41" s="1213"/>
      <c r="I41" s="1213"/>
      <c r="J41" s="1213"/>
      <c r="K41" s="1213"/>
      <c r="L41" s="1213"/>
      <c r="M41" s="1213"/>
      <c r="N41" s="1213"/>
      <c r="O41" s="1213"/>
      <c r="P41" s="1213"/>
      <c r="Q41" s="1213"/>
      <c r="R41" s="1213"/>
      <c r="S41" s="1213"/>
      <c r="T41" s="1213"/>
      <c r="U41" s="1213"/>
      <c r="V41" s="1213"/>
      <c r="W41" s="1213"/>
      <c r="X41" s="1213"/>
      <c r="Y41" s="1213"/>
      <c r="Z41" s="1213"/>
    </row>
    <row r="42" spans="1:26" ht="15.75" hidden="1" customHeight="1">
      <c r="A42" s="1043" t="s">
        <v>254</v>
      </c>
      <c r="B42" s="14">
        <v>223</v>
      </c>
      <c r="C42" s="103">
        <v>0.21014163636363634</v>
      </c>
      <c r="D42" s="103">
        <v>0.11296666666666663</v>
      </c>
      <c r="E42" s="1214">
        <v>0.12673490740740745</v>
      </c>
      <c r="F42" s="1212">
        <v>0.24722619047619052</v>
      </c>
      <c r="G42" s="1213"/>
      <c r="H42" s="1213"/>
      <c r="I42" s="1213"/>
      <c r="J42" s="1213"/>
      <c r="K42" s="1213"/>
      <c r="L42" s="1213"/>
      <c r="M42" s="1213"/>
      <c r="N42" s="1213"/>
      <c r="O42" s="1213"/>
      <c r="P42" s="1213"/>
      <c r="Q42" s="1213"/>
      <c r="R42" s="1213"/>
      <c r="S42" s="1213"/>
      <c r="T42" s="1213"/>
      <c r="U42" s="1213"/>
      <c r="V42" s="1213"/>
      <c r="W42" s="1213"/>
      <c r="X42" s="1213"/>
      <c r="Y42" s="1213"/>
      <c r="Z42" s="1213"/>
    </row>
    <row r="43" spans="1:26" ht="15.75" hidden="1" customHeight="1">
      <c r="A43" s="1211" t="s">
        <v>141</v>
      </c>
      <c r="B43" s="14">
        <v>92</v>
      </c>
      <c r="C43" s="103">
        <v>3.542156249999999E-2</v>
      </c>
      <c r="D43" s="103">
        <v>0.12987673469387753</v>
      </c>
      <c r="E43" s="103">
        <v>0.15257090909090912</v>
      </c>
      <c r="F43" s="1212">
        <v>0.2062643333333333</v>
      </c>
      <c r="G43" s="1213"/>
      <c r="H43" s="1213"/>
      <c r="I43" s="1213"/>
      <c r="J43" s="1213"/>
      <c r="K43" s="1213"/>
      <c r="L43" s="1213"/>
      <c r="M43" s="1213"/>
      <c r="N43" s="1213"/>
      <c r="O43" s="1213"/>
      <c r="P43" s="1213"/>
      <c r="Q43" s="1213"/>
      <c r="R43" s="1213"/>
      <c r="S43" s="1213"/>
      <c r="T43" s="1213"/>
      <c r="U43" s="1213"/>
      <c r="V43" s="1213"/>
      <c r="W43" s="1213"/>
      <c r="X43" s="1213"/>
      <c r="Y43" s="1213"/>
      <c r="Z43" s="1213"/>
    </row>
    <row r="44" spans="1:26" ht="15.75" hidden="1" customHeight="1">
      <c r="A44" s="1211" t="s">
        <v>142</v>
      </c>
      <c r="B44" s="14">
        <v>15</v>
      </c>
      <c r="C44" s="103">
        <v>-1.7911999999999997E-2</v>
      </c>
      <c r="D44" s="103">
        <v>0.17188999999999999</v>
      </c>
      <c r="E44" s="103">
        <v>0.17915714285714285</v>
      </c>
      <c r="F44" s="1212">
        <v>2.7050000000000001E-2</v>
      </c>
      <c r="G44" s="1213"/>
      <c r="H44" s="1213"/>
      <c r="I44" s="1213"/>
      <c r="J44" s="1213"/>
      <c r="K44" s="1213"/>
      <c r="L44" s="1213"/>
      <c r="M44" s="1213"/>
      <c r="N44" s="1213"/>
      <c r="O44" s="1213"/>
      <c r="P44" s="1213"/>
      <c r="Q44" s="1213"/>
      <c r="R44" s="1213"/>
      <c r="S44" s="1213"/>
      <c r="T44" s="1213"/>
      <c r="U44" s="1213"/>
      <c r="V44" s="1213"/>
      <c r="W44" s="1213"/>
      <c r="X44" s="1213"/>
      <c r="Y44" s="1213"/>
      <c r="Z44" s="1213"/>
    </row>
    <row r="45" spans="1:26" ht="15.75" hidden="1" customHeight="1">
      <c r="A45" s="1211" t="s">
        <v>143</v>
      </c>
      <c r="B45" s="14">
        <v>32</v>
      </c>
      <c r="C45" s="103">
        <v>0.10120846153846154</v>
      </c>
      <c r="D45" s="103">
        <v>6.192235294117647E-2</v>
      </c>
      <c r="E45" s="103">
        <v>0.15055625</v>
      </c>
      <c r="F45" s="1212">
        <v>0.16140909090909089</v>
      </c>
      <c r="G45" s="1213"/>
      <c r="H45" s="1213"/>
      <c r="I45" s="1213"/>
      <c r="J45" s="1213"/>
      <c r="K45" s="1213"/>
      <c r="L45" s="1213"/>
      <c r="M45" s="1213"/>
      <c r="N45" s="1213"/>
      <c r="O45" s="1213"/>
      <c r="P45" s="1213"/>
      <c r="Q45" s="1213"/>
      <c r="R45" s="1213"/>
      <c r="S45" s="1213"/>
      <c r="T45" s="1213"/>
      <c r="U45" s="1213"/>
      <c r="V45" s="1213"/>
      <c r="W45" s="1213"/>
      <c r="X45" s="1213"/>
      <c r="Y45" s="1213"/>
      <c r="Z45" s="1213"/>
    </row>
    <row r="46" spans="1:26" ht="15.75" customHeight="1">
      <c r="A46" s="1211" t="s">
        <v>144</v>
      </c>
      <c r="B46" s="14">
        <v>20</v>
      </c>
      <c r="C46" s="103">
        <v>-6.4500000000000002E-2</v>
      </c>
      <c r="D46" s="103">
        <v>-0.24636999999999998</v>
      </c>
      <c r="E46" s="1214">
        <v>0.22694999999999999</v>
      </c>
      <c r="F46" s="1212">
        <v>0.14499999999999999</v>
      </c>
      <c r="G46" s="1213"/>
      <c r="H46" s="1213"/>
      <c r="I46" s="1213"/>
      <c r="J46" s="1213"/>
      <c r="K46" s="1213"/>
      <c r="L46" s="1213"/>
      <c r="M46" s="1213"/>
      <c r="N46" s="1213"/>
      <c r="O46" s="1213"/>
      <c r="P46" s="1213"/>
      <c r="Q46" s="1213"/>
      <c r="R46" s="1213"/>
      <c r="S46" s="1213"/>
      <c r="T46" s="1213"/>
      <c r="U46" s="1213"/>
      <c r="V46" s="1213"/>
      <c r="W46" s="1213"/>
      <c r="X46" s="1213"/>
      <c r="Y46" s="1213"/>
      <c r="Z46" s="1213"/>
    </row>
    <row r="47" spans="1:26" ht="15.75" hidden="1" customHeight="1">
      <c r="A47" s="1211" t="s">
        <v>145</v>
      </c>
      <c r="B47" s="14">
        <v>244</v>
      </c>
      <c r="C47" s="103">
        <v>0.14409545454545453</v>
      </c>
      <c r="D47" s="103">
        <v>0.18947492537313426</v>
      </c>
      <c r="E47" s="103">
        <v>0.83718111111111126</v>
      </c>
      <c r="F47" s="1212">
        <v>0.12094545454545455</v>
      </c>
      <c r="G47" s="1213"/>
      <c r="H47" s="1213"/>
      <c r="I47" s="1213"/>
      <c r="J47" s="1213"/>
      <c r="K47" s="1213"/>
      <c r="L47" s="1213"/>
      <c r="M47" s="1213"/>
      <c r="N47" s="1213"/>
      <c r="O47" s="1213"/>
      <c r="P47" s="1213"/>
      <c r="Q47" s="1213"/>
      <c r="R47" s="1213"/>
      <c r="S47" s="1213"/>
      <c r="T47" s="1213"/>
      <c r="U47" s="1213"/>
      <c r="V47" s="1213"/>
      <c r="W47" s="1213"/>
      <c r="X47" s="1213"/>
      <c r="Y47" s="1213"/>
      <c r="Z47" s="1213"/>
    </row>
    <row r="48" spans="1:26" ht="15.75" hidden="1" customHeight="1">
      <c r="A48" s="1211" t="s">
        <v>146</v>
      </c>
      <c r="B48" s="14">
        <v>131</v>
      </c>
      <c r="C48" s="103">
        <v>0.13571714285714284</v>
      </c>
      <c r="D48" s="103">
        <v>0.17964537037037037</v>
      </c>
      <c r="E48" s="103">
        <v>0.23787352941176471</v>
      </c>
      <c r="F48" s="1212">
        <v>0.23377674418604652</v>
      </c>
      <c r="G48" s="1213"/>
      <c r="H48" s="1213"/>
      <c r="I48" s="1213"/>
      <c r="J48" s="1213"/>
      <c r="K48" s="1213"/>
      <c r="L48" s="1213"/>
      <c r="M48" s="1213"/>
      <c r="N48" s="1213"/>
      <c r="O48" s="1213"/>
      <c r="P48" s="1213"/>
      <c r="Q48" s="1213"/>
      <c r="R48" s="1213"/>
      <c r="S48" s="1213"/>
      <c r="T48" s="1213"/>
      <c r="U48" s="1213"/>
      <c r="V48" s="1213"/>
      <c r="W48" s="1213"/>
      <c r="X48" s="1213"/>
      <c r="Y48" s="1213"/>
      <c r="Z48" s="1213"/>
    </row>
    <row r="49" spans="1:26" ht="15.75" hidden="1" customHeight="1">
      <c r="A49" s="1211" t="s">
        <v>255</v>
      </c>
      <c r="B49" s="14">
        <v>142</v>
      </c>
      <c r="C49" s="103">
        <v>0.31792500000000001</v>
      </c>
      <c r="D49" s="103">
        <v>0.15868233333333331</v>
      </c>
      <c r="E49" s="103">
        <v>0.35554310810810802</v>
      </c>
      <c r="F49" s="1212">
        <v>0.19459756097560982</v>
      </c>
      <c r="G49" s="1213"/>
      <c r="H49" s="1213"/>
      <c r="I49" s="1213"/>
      <c r="J49" s="1213"/>
      <c r="K49" s="1213"/>
      <c r="L49" s="1213"/>
      <c r="M49" s="1213"/>
      <c r="N49" s="1213"/>
      <c r="O49" s="1213"/>
      <c r="P49" s="1213"/>
      <c r="Q49" s="1213"/>
      <c r="R49" s="1213"/>
      <c r="S49" s="1213"/>
      <c r="T49" s="1213"/>
      <c r="U49" s="1213"/>
      <c r="V49" s="1213"/>
      <c r="W49" s="1213"/>
      <c r="X49" s="1213"/>
      <c r="Y49" s="1213"/>
      <c r="Z49" s="1213"/>
    </row>
    <row r="50" spans="1:26" ht="15.75" hidden="1" customHeight="1">
      <c r="A50" s="1211" t="s">
        <v>148</v>
      </c>
      <c r="B50" s="14">
        <v>29</v>
      </c>
      <c r="C50" s="103">
        <v>0.37568421052631584</v>
      </c>
      <c r="D50" s="103">
        <v>0.20254333333333335</v>
      </c>
      <c r="E50" s="103">
        <v>0.24311249999999998</v>
      </c>
      <c r="F50" s="1212">
        <v>0.3687894736842105</v>
      </c>
      <c r="G50" s="1213"/>
      <c r="H50" s="1213"/>
      <c r="I50" s="1213"/>
      <c r="J50" s="1213"/>
      <c r="K50" s="1213"/>
      <c r="L50" s="1213"/>
      <c r="M50" s="1213"/>
      <c r="N50" s="1213"/>
      <c r="O50" s="1213"/>
      <c r="P50" s="1213"/>
      <c r="Q50" s="1213"/>
      <c r="R50" s="1213"/>
      <c r="S50" s="1213"/>
      <c r="T50" s="1213"/>
      <c r="U50" s="1213"/>
      <c r="V50" s="1213"/>
      <c r="W50" s="1213"/>
      <c r="X50" s="1213"/>
      <c r="Y50" s="1213"/>
      <c r="Z50" s="1213"/>
    </row>
    <row r="51" spans="1:26" ht="15.75" hidden="1" customHeight="1">
      <c r="A51" s="1211" t="s">
        <v>149</v>
      </c>
      <c r="B51" s="14">
        <v>31</v>
      </c>
      <c r="C51" s="103">
        <v>0.20602857142857142</v>
      </c>
      <c r="D51" s="103">
        <v>-1.6478500000000011E-2</v>
      </c>
      <c r="E51" s="103">
        <v>0.14256842105263157</v>
      </c>
      <c r="F51" s="1212">
        <v>0.14213000000000003</v>
      </c>
      <c r="G51" s="1213"/>
      <c r="H51" s="1213"/>
      <c r="I51" s="1213"/>
      <c r="J51" s="1213"/>
      <c r="K51" s="1213"/>
      <c r="L51" s="1213"/>
      <c r="M51" s="1213"/>
      <c r="N51" s="1213"/>
      <c r="O51" s="1213"/>
      <c r="P51" s="1213"/>
      <c r="Q51" s="1213"/>
      <c r="R51" s="1213"/>
      <c r="S51" s="1213"/>
      <c r="T51" s="1213"/>
      <c r="U51" s="1213"/>
      <c r="V51" s="1213"/>
      <c r="W51" s="1213"/>
      <c r="X51" s="1213"/>
      <c r="Y51" s="1213"/>
      <c r="Z51" s="1213"/>
    </row>
    <row r="52" spans="1:26" ht="15.75" hidden="1" customHeight="1">
      <c r="A52" s="1211" t="s">
        <v>150</v>
      </c>
      <c r="B52" s="14">
        <v>66</v>
      </c>
      <c r="C52" s="103">
        <v>6.399111111111111E-2</v>
      </c>
      <c r="D52" s="103">
        <v>2.1798947368421071E-2</v>
      </c>
      <c r="E52" s="103">
        <v>0.55378000000000005</v>
      </c>
      <c r="F52" s="1212">
        <v>0.53253846153846152</v>
      </c>
      <c r="G52" s="1213"/>
      <c r="H52" s="1213"/>
      <c r="I52" s="1213"/>
      <c r="J52" s="1213"/>
      <c r="K52" s="1213"/>
      <c r="L52" s="1213"/>
      <c r="M52" s="1213"/>
      <c r="N52" s="1213"/>
      <c r="O52" s="1213"/>
      <c r="P52" s="1213"/>
      <c r="Q52" s="1213"/>
      <c r="R52" s="1213"/>
      <c r="S52" s="1213"/>
      <c r="T52" s="1213"/>
      <c r="U52" s="1213"/>
      <c r="V52" s="1213"/>
      <c r="W52" s="1213"/>
      <c r="X52" s="1213"/>
      <c r="Y52" s="1213"/>
      <c r="Z52" s="1213"/>
    </row>
    <row r="53" spans="1:26" ht="15.75" hidden="1" customHeight="1">
      <c r="A53" s="1211" t="s">
        <v>151</v>
      </c>
      <c r="B53" s="14">
        <v>118</v>
      </c>
      <c r="C53" s="103">
        <v>0.14523666666666665</v>
      </c>
      <c r="D53" s="103">
        <v>0.1170288</v>
      </c>
      <c r="E53" s="103">
        <v>0.40017709677419361</v>
      </c>
      <c r="F53" s="1212">
        <v>0.26505928571428572</v>
      </c>
      <c r="G53" s="1213"/>
      <c r="H53" s="1213"/>
      <c r="I53" s="1213"/>
      <c r="J53" s="1213"/>
      <c r="K53" s="1213"/>
      <c r="L53" s="1213"/>
      <c r="M53" s="1213"/>
      <c r="N53" s="1213"/>
      <c r="O53" s="1213"/>
      <c r="P53" s="1213"/>
      <c r="Q53" s="1213"/>
      <c r="R53" s="1213"/>
      <c r="S53" s="1213"/>
      <c r="T53" s="1213"/>
      <c r="U53" s="1213"/>
      <c r="V53" s="1213"/>
      <c r="W53" s="1213"/>
      <c r="X53" s="1213"/>
      <c r="Y53" s="1213"/>
      <c r="Z53" s="1213"/>
    </row>
    <row r="54" spans="1:26" ht="15.75" hidden="1" customHeight="1">
      <c r="A54" s="1211" t="s">
        <v>152</v>
      </c>
      <c r="B54" s="14">
        <v>79</v>
      </c>
      <c r="C54" s="103">
        <v>9.2611499999999985E-2</v>
      </c>
      <c r="D54" s="103">
        <v>0.13124588235294118</v>
      </c>
      <c r="E54" s="103">
        <v>0.18992288888888889</v>
      </c>
      <c r="F54" s="1212">
        <v>0.15339200000000003</v>
      </c>
      <c r="G54" s="1213"/>
      <c r="H54" s="1213"/>
      <c r="I54" s="1213"/>
      <c r="J54" s="1213"/>
      <c r="K54" s="1213"/>
      <c r="L54" s="1213"/>
      <c r="M54" s="1213"/>
      <c r="N54" s="1213"/>
      <c r="O54" s="1213"/>
      <c r="P54" s="1213"/>
      <c r="Q54" s="1213"/>
      <c r="R54" s="1213"/>
      <c r="S54" s="1213"/>
      <c r="T54" s="1213"/>
      <c r="U54" s="1213"/>
      <c r="V54" s="1213"/>
      <c r="W54" s="1213"/>
      <c r="X54" s="1213"/>
      <c r="Y54" s="1213"/>
      <c r="Z54" s="1213"/>
    </row>
    <row r="55" spans="1:26" ht="15.75" hidden="1" customHeight="1">
      <c r="A55" s="1211" t="s">
        <v>153</v>
      </c>
      <c r="B55" s="14">
        <v>23</v>
      </c>
      <c r="C55" s="103">
        <v>0.28239999999999998</v>
      </c>
      <c r="D55" s="103">
        <v>5.9273076923076921E-2</v>
      </c>
      <c r="E55" s="103">
        <v>0.18970800000000002</v>
      </c>
      <c r="F55" s="1212">
        <v>0.25850000000000001</v>
      </c>
      <c r="G55" s="1213"/>
      <c r="H55" s="1213"/>
      <c r="I55" s="1213"/>
      <c r="J55" s="1213"/>
      <c r="K55" s="1213"/>
      <c r="L55" s="1213"/>
      <c r="M55" s="1213"/>
      <c r="N55" s="1213"/>
      <c r="O55" s="1213"/>
      <c r="P55" s="1213"/>
      <c r="Q55" s="1213"/>
      <c r="R55" s="1213"/>
      <c r="S55" s="1213"/>
      <c r="T55" s="1213"/>
      <c r="U55" s="1213"/>
      <c r="V55" s="1213"/>
      <c r="W55" s="1213"/>
      <c r="X55" s="1213"/>
      <c r="Y55" s="1213"/>
      <c r="Z55" s="1213"/>
    </row>
    <row r="56" spans="1:26" ht="15.75" hidden="1" customHeight="1">
      <c r="A56" s="1211" t="s">
        <v>154</v>
      </c>
      <c r="B56" s="14">
        <v>24</v>
      </c>
      <c r="C56" s="103">
        <v>7.3534166666666678E-2</v>
      </c>
      <c r="D56" s="103">
        <v>6.4553000000000013E-2</v>
      </c>
      <c r="E56" s="103">
        <v>0.158696</v>
      </c>
      <c r="F56" s="1212">
        <v>2.4588888888888875E-2</v>
      </c>
      <c r="G56" s="1213"/>
      <c r="H56" s="1213"/>
      <c r="I56" s="1213"/>
      <c r="J56" s="1213"/>
      <c r="K56" s="1213"/>
      <c r="L56" s="1213"/>
      <c r="M56" s="1213"/>
      <c r="N56" s="1213"/>
      <c r="O56" s="1213"/>
      <c r="P56" s="1213"/>
      <c r="Q56" s="1213"/>
      <c r="R56" s="1213"/>
      <c r="S56" s="1213"/>
      <c r="T56" s="1213"/>
      <c r="U56" s="1213"/>
      <c r="V56" s="1213"/>
      <c r="W56" s="1213"/>
      <c r="X56" s="1213"/>
      <c r="Y56" s="1213"/>
      <c r="Z56" s="1213"/>
    </row>
    <row r="57" spans="1:26" ht="15.75" hidden="1" customHeight="1">
      <c r="A57" s="1211" t="s">
        <v>155</v>
      </c>
      <c r="B57" s="14">
        <v>52</v>
      </c>
      <c r="C57" s="103">
        <v>0.15492593749999994</v>
      </c>
      <c r="D57" s="103">
        <v>4.1375999999999996E-2</v>
      </c>
      <c r="E57" s="103">
        <v>7.5921578947368423E-2</v>
      </c>
      <c r="F57" s="1212">
        <v>0.10312142857142857</v>
      </c>
      <c r="G57" s="1213"/>
      <c r="H57" s="1213"/>
      <c r="I57" s="1213"/>
      <c r="J57" s="1213"/>
      <c r="K57" s="1213"/>
      <c r="L57" s="1213"/>
      <c r="M57" s="1213"/>
      <c r="N57" s="1213"/>
      <c r="O57" s="1213"/>
      <c r="P57" s="1213"/>
      <c r="Q57" s="1213"/>
      <c r="R57" s="1213"/>
      <c r="S57" s="1213"/>
      <c r="T57" s="1213"/>
      <c r="U57" s="1213"/>
      <c r="V57" s="1213"/>
      <c r="W57" s="1213"/>
      <c r="X57" s="1213"/>
      <c r="Y57" s="1213"/>
      <c r="Z57" s="1213"/>
    </row>
    <row r="58" spans="1:26" ht="15.75" hidden="1" customHeight="1">
      <c r="A58" s="1211" t="s">
        <v>156</v>
      </c>
      <c r="B58" s="14">
        <v>687</v>
      </c>
      <c r="C58" s="103">
        <v>0.29182195121951221</v>
      </c>
      <c r="D58" s="103">
        <v>0.11579887096774194</v>
      </c>
      <c r="E58" s="103">
        <v>0.14074285714285717</v>
      </c>
      <c r="F58" s="1212">
        <v>0.1624814814814815</v>
      </c>
      <c r="G58" s="1213"/>
      <c r="H58" s="1213"/>
      <c r="I58" s="1213"/>
      <c r="J58" s="1213"/>
      <c r="K58" s="1213"/>
      <c r="L58" s="1213"/>
      <c r="M58" s="1213"/>
      <c r="N58" s="1213"/>
      <c r="O58" s="1213"/>
      <c r="P58" s="1213"/>
      <c r="Q58" s="1213"/>
      <c r="R58" s="1213"/>
      <c r="S58" s="1213"/>
      <c r="T58" s="1213"/>
      <c r="U58" s="1213"/>
      <c r="V58" s="1213"/>
      <c r="W58" s="1213"/>
      <c r="X58" s="1213"/>
      <c r="Y58" s="1213"/>
      <c r="Z58" s="1213"/>
    </row>
    <row r="59" spans="1:26" ht="15.75" hidden="1" customHeight="1">
      <c r="A59" s="1211" t="s">
        <v>157</v>
      </c>
      <c r="B59" s="14">
        <v>111</v>
      </c>
      <c r="C59" s="103">
        <v>4.2647346938775456E-2</v>
      </c>
      <c r="D59" s="103">
        <v>5.2956575342465742E-2</v>
      </c>
      <c r="E59" s="103">
        <v>0.1657186440677966</v>
      </c>
      <c r="F59" s="1212">
        <v>0.11487173913043482</v>
      </c>
      <c r="G59" s="1213"/>
      <c r="H59" s="1213"/>
      <c r="I59" s="1213"/>
      <c r="J59" s="1213"/>
      <c r="K59" s="1213"/>
      <c r="L59" s="1213"/>
      <c r="M59" s="1213"/>
      <c r="N59" s="1213"/>
      <c r="O59" s="1213"/>
      <c r="P59" s="1213"/>
      <c r="Q59" s="1213"/>
      <c r="R59" s="1213"/>
      <c r="S59" s="1213"/>
      <c r="T59" s="1213"/>
      <c r="U59" s="1213"/>
      <c r="V59" s="1213"/>
      <c r="W59" s="1213"/>
      <c r="X59" s="1213"/>
      <c r="Y59" s="1213"/>
      <c r="Z59" s="1213"/>
    </row>
    <row r="60" spans="1:26" ht="15.75" hidden="1" customHeight="1">
      <c r="A60" s="1211" t="s">
        <v>158</v>
      </c>
      <c r="B60" s="14">
        <v>74</v>
      </c>
      <c r="C60" s="103">
        <v>0.27649999999999997</v>
      </c>
      <c r="D60" s="103">
        <v>0.16573333333333337</v>
      </c>
      <c r="E60" s="103">
        <v>0.34377777777777779</v>
      </c>
      <c r="F60" s="1212">
        <v>0.53859999999999997</v>
      </c>
      <c r="G60" s="1213"/>
      <c r="H60" s="1213"/>
      <c r="I60" s="1213"/>
      <c r="J60" s="1213"/>
      <c r="K60" s="1213"/>
      <c r="L60" s="1213"/>
      <c r="M60" s="1213"/>
      <c r="N60" s="1213"/>
      <c r="O60" s="1213"/>
      <c r="P60" s="1213"/>
      <c r="Q60" s="1213"/>
      <c r="R60" s="1213"/>
      <c r="S60" s="1213"/>
      <c r="T60" s="1213"/>
      <c r="U60" s="1213"/>
      <c r="V60" s="1213"/>
      <c r="W60" s="1213"/>
      <c r="X60" s="1213"/>
      <c r="Y60" s="1213"/>
      <c r="Z60" s="1213"/>
    </row>
    <row r="61" spans="1:26" ht="15.75" hidden="1" customHeight="1">
      <c r="A61" s="1211" t="s">
        <v>159</v>
      </c>
      <c r="B61" s="14">
        <v>18</v>
      </c>
      <c r="C61" s="103">
        <v>0.12412000000000001</v>
      </c>
      <c r="D61" s="103">
        <v>4.4485714285714293E-3</v>
      </c>
      <c r="E61" s="103">
        <v>0.13775555555555552</v>
      </c>
      <c r="F61" s="1212">
        <v>9.8999999999999991E-2</v>
      </c>
      <c r="G61" s="1213"/>
      <c r="H61" s="1213"/>
      <c r="I61" s="1213"/>
      <c r="J61" s="1213"/>
      <c r="K61" s="1213"/>
      <c r="L61" s="1213"/>
      <c r="M61" s="1213"/>
      <c r="N61" s="1213"/>
      <c r="O61" s="1213"/>
      <c r="P61" s="1213"/>
      <c r="Q61" s="1213"/>
      <c r="R61" s="1213"/>
      <c r="S61" s="1213"/>
      <c r="T61" s="1213"/>
      <c r="U61" s="1213"/>
      <c r="V61" s="1213"/>
      <c r="W61" s="1213"/>
      <c r="X61" s="1213"/>
      <c r="Y61" s="1213"/>
      <c r="Z61" s="1213"/>
    </row>
    <row r="62" spans="1:26" ht="15.75" hidden="1" customHeight="1">
      <c r="A62" s="1211" t="s">
        <v>160</v>
      </c>
      <c r="B62" s="14">
        <v>4</v>
      </c>
      <c r="C62" s="103">
        <v>0</v>
      </c>
      <c r="D62" s="103">
        <v>6.0274999999999995E-2</v>
      </c>
      <c r="E62" s="103">
        <v>0.31266666666666665</v>
      </c>
      <c r="F62" s="1212">
        <v>0.45</v>
      </c>
      <c r="G62" s="1213"/>
      <c r="H62" s="1213"/>
      <c r="I62" s="1213"/>
      <c r="J62" s="1213"/>
      <c r="K62" s="1213"/>
      <c r="L62" s="1213"/>
      <c r="M62" s="1213"/>
      <c r="N62" s="1213"/>
      <c r="O62" s="1213"/>
      <c r="P62" s="1213"/>
      <c r="Q62" s="1213"/>
      <c r="R62" s="1213"/>
      <c r="S62" s="1213"/>
      <c r="T62" s="1213"/>
      <c r="U62" s="1213"/>
      <c r="V62" s="1213"/>
      <c r="W62" s="1213"/>
      <c r="X62" s="1213"/>
      <c r="Y62" s="1213"/>
      <c r="Z62" s="1213"/>
    </row>
    <row r="63" spans="1:26" ht="15.75" hidden="1" customHeight="1">
      <c r="A63" s="1211" t="s">
        <v>256</v>
      </c>
      <c r="B63" s="14">
        <v>183</v>
      </c>
      <c r="C63" s="103">
        <v>-4.8999999999999929E-3</v>
      </c>
      <c r="D63" s="103">
        <v>0.17416367816091952</v>
      </c>
      <c r="E63" s="103">
        <v>0.55064814814814811</v>
      </c>
      <c r="F63" s="1212">
        <v>0.22265217391304346</v>
      </c>
      <c r="G63" s="1213"/>
      <c r="H63" s="1213"/>
      <c r="I63" s="1213"/>
      <c r="J63" s="1213"/>
      <c r="K63" s="1213"/>
      <c r="L63" s="1213"/>
      <c r="M63" s="1213"/>
      <c r="N63" s="1213"/>
      <c r="O63" s="1213"/>
      <c r="P63" s="1213"/>
      <c r="Q63" s="1213"/>
      <c r="R63" s="1213"/>
      <c r="S63" s="1213"/>
      <c r="T63" s="1213"/>
      <c r="U63" s="1213"/>
      <c r="V63" s="1213"/>
      <c r="W63" s="1213"/>
      <c r="X63" s="1213"/>
      <c r="Y63" s="1213"/>
      <c r="Z63" s="1213"/>
    </row>
    <row r="64" spans="1:26" ht="15.75" hidden="1" customHeight="1">
      <c r="A64" s="1211" t="s">
        <v>162</v>
      </c>
      <c r="B64" s="14">
        <v>21</v>
      </c>
      <c r="C64" s="103">
        <v>0.34550000000000003</v>
      </c>
      <c r="D64" s="103">
        <v>0.23890833333333333</v>
      </c>
      <c r="E64" s="103">
        <v>0.25337692307692306</v>
      </c>
      <c r="F64" s="1212">
        <v>7.3237499999999997E-2</v>
      </c>
      <c r="G64" s="1213"/>
      <c r="H64" s="1213"/>
      <c r="I64" s="1213"/>
      <c r="J64" s="1213"/>
      <c r="K64" s="1213"/>
      <c r="L64" s="1213"/>
      <c r="M64" s="1213"/>
      <c r="N64" s="1213"/>
      <c r="O64" s="1213"/>
      <c r="P64" s="1213"/>
      <c r="Q64" s="1213"/>
      <c r="R64" s="1213"/>
      <c r="S64" s="1213"/>
      <c r="T64" s="1213"/>
      <c r="U64" s="1213"/>
      <c r="V64" s="1213"/>
      <c r="W64" s="1213"/>
      <c r="X64" s="1213"/>
      <c r="Y64" s="1213"/>
      <c r="Z64" s="1213"/>
    </row>
    <row r="65" spans="1:26" ht="15.75" hidden="1" customHeight="1">
      <c r="A65" s="1211" t="s">
        <v>163</v>
      </c>
      <c r="B65" s="14">
        <v>100</v>
      </c>
      <c r="C65" s="103">
        <v>0.25048000000000004</v>
      </c>
      <c r="D65" s="103">
        <v>1.0495409836065584E-2</v>
      </c>
      <c r="E65" s="103">
        <v>0.29746035087719297</v>
      </c>
      <c r="F65" s="1212">
        <v>9.2000000000000026E-2</v>
      </c>
      <c r="G65" s="1213"/>
      <c r="H65" s="1213"/>
      <c r="I65" s="1213"/>
      <c r="J65" s="1213"/>
      <c r="K65" s="1213"/>
      <c r="L65" s="1213"/>
      <c r="M65" s="1213"/>
      <c r="N65" s="1213"/>
      <c r="O65" s="1213"/>
      <c r="P65" s="1213"/>
      <c r="Q65" s="1213"/>
      <c r="R65" s="1213"/>
      <c r="S65" s="1213"/>
      <c r="T65" s="1213"/>
      <c r="U65" s="1213"/>
      <c r="V65" s="1213"/>
      <c r="W65" s="1213"/>
      <c r="X65" s="1213"/>
      <c r="Y65" s="1213"/>
      <c r="Z65" s="1213"/>
    </row>
    <row r="66" spans="1:26" ht="15.75" hidden="1" customHeight="1">
      <c r="A66" s="1211" t="s">
        <v>164</v>
      </c>
      <c r="B66" s="14">
        <v>26</v>
      </c>
      <c r="C66" s="103">
        <v>0.13008823529411764</v>
      </c>
      <c r="D66" s="103">
        <v>4.9203333333333321E-2</v>
      </c>
      <c r="E66" s="103">
        <v>9.5034000000000021E-2</v>
      </c>
      <c r="F66" s="1212">
        <v>0.14578333333333332</v>
      </c>
      <c r="G66" s="1213"/>
      <c r="H66" s="1213"/>
      <c r="I66" s="1213"/>
      <c r="J66" s="1213"/>
      <c r="K66" s="1213"/>
      <c r="L66" s="1213"/>
      <c r="M66" s="1213"/>
      <c r="N66" s="1213"/>
      <c r="O66" s="1213"/>
      <c r="P66" s="1213"/>
      <c r="Q66" s="1213"/>
      <c r="R66" s="1213"/>
      <c r="S66" s="1213"/>
      <c r="T66" s="1213"/>
      <c r="U66" s="1213"/>
      <c r="V66" s="1213"/>
      <c r="W66" s="1213"/>
      <c r="X66" s="1213"/>
      <c r="Y66" s="1213"/>
      <c r="Z66" s="1213"/>
    </row>
    <row r="67" spans="1:26" ht="15.75" hidden="1" customHeight="1">
      <c r="A67" s="1211" t="s">
        <v>165</v>
      </c>
      <c r="B67" s="14">
        <v>11</v>
      </c>
      <c r="C67" s="103">
        <v>0.23125000000000001</v>
      </c>
      <c r="D67" s="103">
        <v>1.5074999999999996E-2</v>
      </c>
      <c r="E67" s="103">
        <v>0.13817833333333332</v>
      </c>
      <c r="F67" s="1212">
        <v>7.0000000000000007E-2</v>
      </c>
      <c r="G67" s="1213"/>
      <c r="H67" s="1213"/>
      <c r="I67" s="1213"/>
      <c r="J67" s="1213"/>
      <c r="K67" s="1213"/>
      <c r="L67" s="1213"/>
      <c r="M67" s="1213"/>
      <c r="N67" s="1213"/>
      <c r="O67" s="1213"/>
      <c r="P67" s="1213"/>
      <c r="Q67" s="1213"/>
      <c r="R67" s="1213"/>
      <c r="S67" s="1213"/>
      <c r="T67" s="1213"/>
      <c r="U67" s="1213"/>
      <c r="V67" s="1213"/>
      <c r="W67" s="1213"/>
      <c r="X67" s="1213"/>
      <c r="Y67" s="1213"/>
      <c r="Z67" s="1213"/>
    </row>
    <row r="68" spans="1:26" ht="15.75" hidden="1" customHeight="1">
      <c r="A68" s="1211" t="s">
        <v>166</v>
      </c>
      <c r="B68" s="14">
        <v>50</v>
      </c>
      <c r="C68" s="103">
        <v>0.15682000000000004</v>
      </c>
      <c r="D68" s="103">
        <v>4.3318666666666658E-2</v>
      </c>
      <c r="E68" s="103">
        <v>8.0591538461538464E-2</v>
      </c>
      <c r="F68" s="1212">
        <v>5.5813823529411763E-2</v>
      </c>
      <c r="G68" s="1213"/>
      <c r="H68" s="1213"/>
      <c r="I68" s="1213"/>
      <c r="J68" s="1213"/>
      <c r="K68" s="1213"/>
      <c r="L68" s="1213"/>
      <c r="M68" s="1213"/>
      <c r="N68" s="1213"/>
      <c r="O68" s="1213"/>
      <c r="P68" s="1213"/>
      <c r="Q68" s="1213"/>
      <c r="R68" s="1213"/>
      <c r="S68" s="1213"/>
      <c r="T68" s="1213"/>
      <c r="U68" s="1213"/>
      <c r="V68" s="1213"/>
      <c r="W68" s="1213"/>
      <c r="X68" s="1213"/>
      <c r="Y68" s="1213"/>
      <c r="Z68" s="1213"/>
    </row>
    <row r="69" spans="1:26" ht="15.75" hidden="1" customHeight="1">
      <c r="A69" s="1211" t="s">
        <v>167</v>
      </c>
      <c r="B69" s="14">
        <v>76</v>
      </c>
      <c r="C69" s="103">
        <v>0.11199999999999999</v>
      </c>
      <c r="D69" s="103">
        <v>7.9791666666666664E-2</v>
      </c>
      <c r="E69" s="103">
        <v>0.28432499999999999</v>
      </c>
      <c r="F69" s="1212">
        <v>3.5000000000000003E-2</v>
      </c>
      <c r="G69" s="1213"/>
      <c r="H69" s="1213"/>
      <c r="I69" s="1213"/>
      <c r="J69" s="1213"/>
      <c r="K69" s="1213"/>
      <c r="L69" s="1213"/>
      <c r="M69" s="1213"/>
      <c r="N69" s="1213"/>
      <c r="O69" s="1213"/>
      <c r="P69" s="1213"/>
      <c r="Q69" s="1213"/>
      <c r="R69" s="1213"/>
      <c r="S69" s="1213"/>
      <c r="T69" s="1213"/>
      <c r="U69" s="1213"/>
      <c r="V69" s="1213"/>
      <c r="W69" s="1213"/>
      <c r="X69" s="1213"/>
      <c r="Y69" s="1213"/>
      <c r="Z69" s="1213"/>
    </row>
    <row r="70" spans="1:26" ht="15.75" hidden="1" customHeight="1">
      <c r="A70" s="1211" t="s">
        <v>168</v>
      </c>
      <c r="B70" s="14">
        <v>21</v>
      </c>
      <c r="C70" s="103">
        <v>0.19142499999999998</v>
      </c>
      <c r="D70" s="103">
        <v>1.5181333333333333E-2</v>
      </c>
      <c r="E70" s="103">
        <v>7.1777777777777774E-2</v>
      </c>
      <c r="F70" s="1212">
        <v>0.11338333333333335</v>
      </c>
      <c r="G70" s="1213"/>
      <c r="H70" s="1213"/>
      <c r="I70" s="1213"/>
      <c r="J70" s="1213"/>
      <c r="K70" s="1213"/>
      <c r="L70" s="1213"/>
      <c r="M70" s="1213"/>
      <c r="N70" s="1213"/>
      <c r="O70" s="1213"/>
      <c r="P70" s="1213"/>
      <c r="Q70" s="1213"/>
      <c r="R70" s="1213"/>
      <c r="S70" s="1213"/>
      <c r="T70" s="1213"/>
      <c r="U70" s="1213"/>
      <c r="V70" s="1213"/>
      <c r="W70" s="1213"/>
      <c r="X70" s="1213"/>
      <c r="Y70" s="1213"/>
      <c r="Z70" s="1213"/>
    </row>
    <row r="71" spans="1:26" ht="15.75" hidden="1" customHeight="1">
      <c r="A71" s="1211" t="s">
        <v>169</v>
      </c>
      <c r="B71" s="14">
        <v>238</v>
      </c>
      <c r="C71" s="103">
        <v>0.17550746153846156</v>
      </c>
      <c r="D71" s="103">
        <v>8.1593266331658268E-2</v>
      </c>
      <c r="E71" s="103">
        <v>0.16185104477611942</v>
      </c>
      <c r="F71" s="1212">
        <v>9.9056410256410293E-2</v>
      </c>
      <c r="G71" s="1213"/>
      <c r="H71" s="1213"/>
      <c r="I71" s="1213"/>
      <c r="J71" s="1213"/>
      <c r="K71" s="1213"/>
      <c r="L71" s="1213"/>
      <c r="M71" s="1213"/>
      <c r="N71" s="1213"/>
      <c r="O71" s="1213"/>
      <c r="P71" s="1213"/>
      <c r="Q71" s="1213"/>
      <c r="R71" s="1213"/>
      <c r="S71" s="1213"/>
      <c r="T71" s="1213"/>
      <c r="U71" s="1213"/>
      <c r="V71" s="1213"/>
      <c r="W71" s="1213"/>
      <c r="X71" s="1213"/>
      <c r="Y71" s="1213"/>
      <c r="Z71" s="1213"/>
    </row>
    <row r="72" spans="1:26" ht="15.75" hidden="1" customHeight="1">
      <c r="A72" s="1211" t="s">
        <v>170</v>
      </c>
      <c r="B72" s="14">
        <v>19</v>
      </c>
      <c r="C72" s="103">
        <v>-0.65500000000000003</v>
      </c>
      <c r="D72" s="103">
        <v>-8.4280000000000008E-2</v>
      </c>
      <c r="E72" s="103">
        <v>11.403666666666666</v>
      </c>
      <c r="F72" s="1212">
        <v>0.49</v>
      </c>
      <c r="G72" s="1213"/>
      <c r="H72" s="1213"/>
      <c r="I72" s="1213"/>
      <c r="J72" s="1213"/>
      <c r="K72" s="1213"/>
      <c r="L72" s="1213"/>
      <c r="M72" s="1213"/>
      <c r="N72" s="1213"/>
      <c r="O72" s="1213"/>
      <c r="P72" s="1213"/>
      <c r="Q72" s="1213"/>
      <c r="R72" s="1213"/>
      <c r="S72" s="1213"/>
      <c r="T72" s="1213"/>
      <c r="U72" s="1213"/>
      <c r="V72" s="1213"/>
      <c r="W72" s="1213"/>
      <c r="X72" s="1213"/>
      <c r="Y72" s="1213"/>
      <c r="Z72" s="1213"/>
    </row>
    <row r="73" spans="1:26" ht="15.75" hidden="1" customHeight="1">
      <c r="A73" s="1043" t="s">
        <v>171</v>
      </c>
      <c r="B73" s="1215">
        <v>10</v>
      </c>
      <c r="C73" s="1214">
        <v>0.11799000000000001</v>
      </c>
      <c r="D73" s="1214">
        <v>9.0999999999999984E-2</v>
      </c>
      <c r="E73" s="1214">
        <v>3.7999999999999999E-2</v>
      </c>
      <c r="F73" s="1216" t="s">
        <v>253</v>
      </c>
      <c r="G73" s="1213"/>
      <c r="H73" s="1213"/>
      <c r="I73" s="1213"/>
      <c r="J73" s="1213"/>
      <c r="K73" s="1213"/>
      <c r="L73" s="1213"/>
      <c r="M73" s="1213"/>
      <c r="N73" s="1213"/>
      <c r="O73" s="1213"/>
      <c r="P73" s="1213"/>
      <c r="Q73" s="1213"/>
      <c r="R73" s="1213"/>
      <c r="S73" s="1213"/>
      <c r="T73" s="1213"/>
      <c r="U73" s="1213"/>
      <c r="V73" s="1213"/>
      <c r="W73" s="1213"/>
      <c r="X73" s="1213"/>
      <c r="Y73" s="1213"/>
      <c r="Z73" s="1213"/>
    </row>
    <row r="74" spans="1:26" ht="15.75" hidden="1" customHeight="1">
      <c r="A74" s="1211" t="s">
        <v>257</v>
      </c>
      <c r="B74" s="14">
        <v>51</v>
      </c>
      <c r="C74" s="103">
        <v>0.21146363636363635</v>
      </c>
      <c r="D74" s="103">
        <v>5.4861904761904806E-2</v>
      </c>
      <c r="E74" s="1217">
        <v>0.39866666666666656</v>
      </c>
      <c r="F74" s="1212">
        <v>8.6484999999999992E-2</v>
      </c>
      <c r="G74" s="1213"/>
      <c r="H74" s="1213"/>
      <c r="I74" s="1213"/>
      <c r="J74" s="1213"/>
      <c r="K74" s="1213"/>
      <c r="L74" s="1213"/>
      <c r="M74" s="1213"/>
      <c r="N74" s="1213"/>
      <c r="O74" s="1213"/>
      <c r="P74" s="1213"/>
      <c r="Q74" s="1213"/>
      <c r="R74" s="1213"/>
      <c r="S74" s="1213"/>
      <c r="T74" s="1213"/>
      <c r="U74" s="1213"/>
      <c r="V74" s="1213"/>
      <c r="W74" s="1213"/>
      <c r="X74" s="1213"/>
      <c r="Y74" s="1213"/>
      <c r="Z74" s="1213"/>
    </row>
    <row r="75" spans="1:26" ht="15.75" hidden="1" customHeight="1">
      <c r="A75" s="1211" t="s">
        <v>173</v>
      </c>
      <c r="B75" s="14">
        <v>60</v>
      </c>
      <c r="C75" s="103">
        <v>0.20650649999999998</v>
      </c>
      <c r="D75" s="103">
        <v>7.5996896551724133E-2</v>
      </c>
      <c r="E75" s="103">
        <v>0.29148387096774198</v>
      </c>
      <c r="F75" s="1212">
        <v>0.3963846153846155</v>
      </c>
      <c r="G75" s="1213"/>
      <c r="H75" s="1213"/>
      <c r="I75" s="1213"/>
      <c r="J75" s="1213"/>
      <c r="K75" s="1213"/>
      <c r="L75" s="1213"/>
      <c r="M75" s="1213"/>
      <c r="N75" s="1213"/>
      <c r="O75" s="1213"/>
      <c r="P75" s="1213"/>
      <c r="Q75" s="1213"/>
      <c r="R75" s="1213"/>
      <c r="S75" s="1213"/>
      <c r="T75" s="1213"/>
      <c r="U75" s="1213"/>
      <c r="V75" s="1213"/>
      <c r="W75" s="1213"/>
      <c r="X75" s="1213"/>
      <c r="Y75" s="1213"/>
      <c r="Z75" s="1213"/>
    </row>
    <row r="76" spans="1:26" ht="15.75" hidden="1" customHeight="1">
      <c r="A76" s="1211" t="s">
        <v>174</v>
      </c>
      <c r="B76" s="14">
        <v>2</v>
      </c>
      <c r="C76" s="103">
        <v>9.8999999999999973E-3</v>
      </c>
      <c r="D76" s="103">
        <v>0.10414999999999999</v>
      </c>
      <c r="E76" s="103">
        <v>5.1399999999999994E-2</v>
      </c>
      <c r="F76" s="1212" t="s">
        <v>253</v>
      </c>
      <c r="G76" s="1213"/>
      <c r="H76" s="1213"/>
      <c r="I76" s="1213"/>
      <c r="J76" s="1213"/>
      <c r="K76" s="1213"/>
      <c r="L76" s="1213"/>
      <c r="M76" s="1213"/>
      <c r="N76" s="1213"/>
      <c r="O76" s="1213"/>
      <c r="P76" s="1213"/>
      <c r="Q76" s="1213"/>
      <c r="R76" s="1213"/>
      <c r="S76" s="1213"/>
      <c r="T76" s="1213"/>
      <c r="U76" s="1213"/>
      <c r="V76" s="1213"/>
      <c r="W76" s="1213"/>
      <c r="X76" s="1213"/>
      <c r="Y76" s="1213"/>
      <c r="Z76" s="1213"/>
    </row>
    <row r="77" spans="1:26" ht="15.75" hidden="1" customHeight="1">
      <c r="A77" s="1211" t="s">
        <v>175</v>
      </c>
      <c r="B77" s="14">
        <v>70</v>
      </c>
      <c r="C77" s="103">
        <v>9.1803333333333334E-2</v>
      </c>
      <c r="D77" s="103">
        <v>4.709627906976744E-2</v>
      </c>
      <c r="E77" s="103">
        <v>0.2950184210526316</v>
      </c>
      <c r="F77" s="1212">
        <v>0.26540909090909087</v>
      </c>
      <c r="G77" s="1213"/>
      <c r="H77" s="1213"/>
      <c r="I77" s="1213"/>
      <c r="J77" s="1213"/>
      <c r="K77" s="1213"/>
      <c r="L77" s="1213"/>
      <c r="M77" s="1213"/>
      <c r="N77" s="1213"/>
      <c r="O77" s="1213"/>
      <c r="P77" s="1213"/>
      <c r="Q77" s="1213"/>
      <c r="R77" s="1213"/>
      <c r="S77" s="1213"/>
      <c r="T77" s="1213"/>
      <c r="U77" s="1213"/>
      <c r="V77" s="1213"/>
      <c r="W77" s="1213"/>
      <c r="X77" s="1213"/>
      <c r="Y77" s="1213"/>
      <c r="Z77" s="1213"/>
    </row>
    <row r="78" spans="1:26" ht="15.75" hidden="1" customHeight="1">
      <c r="A78" s="1211" t="s">
        <v>176</v>
      </c>
      <c r="B78" s="14">
        <v>32</v>
      </c>
      <c r="C78" s="103">
        <v>0.30653125000000003</v>
      </c>
      <c r="D78" s="103">
        <v>0.14697058823529413</v>
      </c>
      <c r="E78" s="103">
        <v>0.3925217391304347</v>
      </c>
      <c r="F78" s="1212">
        <v>0.15500307692307691</v>
      </c>
      <c r="G78" s="1213"/>
      <c r="H78" s="1213"/>
      <c r="I78" s="1213"/>
      <c r="J78" s="1213"/>
      <c r="K78" s="1213"/>
      <c r="L78" s="1213"/>
      <c r="M78" s="1213"/>
      <c r="N78" s="1213"/>
      <c r="O78" s="1213"/>
      <c r="P78" s="1213"/>
      <c r="Q78" s="1213"/>
      <c r="R78" s="1213"/>
      <c r="S78" s="1213"/>
      <c r="T78" s="1213"/>
      <c r="U78" s="1213"/>
      <c r="V78" s="1213"/>
      <c r="W78" s="1213"/>
      <c r="X78" s="1213"/>
      <c r="Y78" s="1213"/>
      <c r="Z78" s="1213"/>
    </row>
    <row r="79" spans="1:26" ht="15.75" hidden="1" customHeight="1">
      <c r="A79" s="1211" t="s">
        <v>177</v>
      </c>
      <c r="B79" s="14">
        <v>16</v>
      </c>
      <c r="C79" s="103">
        <v>0.34346666666666664</v>
      </c>
      <c r="D79" s="103">
        <v>0.17428083333333333</v>
      </c>
      <c r="E79" s="103">
        <v>0.16928461538461542</v>
      </c>
      <c r="F79" s="1212">
        <v>0.15030909090909092</v>
      </c>
      <c r="G79" s="1213"/>
      <c r="H79" s="1213"/>
      <c r="I79" s="1213"/>
      <c r="J79" s="1213"/>
      <c r="K79" s="1213"/>
      <c r="L79" s="1213"/>
      <c r="M79" s="1213"/>
      <c r="N79" s="1213"/>
      <c r="O79" s="1213"/>
      <c r="P79" s="1213"/>
      <c r="Q79" s="1213"/>
      <c r="R79" s="1213"/>
      <c r="S79" s="1213"/>
      <c r="T79" s="1213"/>
      <c r="U79" s="1213"/>
      <c r="V79" s="1213"/>
      <c r="W79" s="1213"/>
      <c r="X79" s="1213"/>
      <c r="Y79" s="1213"/>
      <c r="Z79" s="1213"/>
    </row>
    <row r="80" spans="1:26" ht="15.75" hidden="1" customHeight="1">
      <c r="A80" s="1211" t="s">
        <v>178</v>
      </c>
      <c r="B80" s="14">
        <v>68</v>
      </c>
      <c r="C80" s="103">
        <v>0.18828258064516126</v>
      </c>
      <c r="D80" s="103">
        <v>4.0963404255319143E-2</v>
      </c>
      <c r="E80" s="103">
        <v>0.16369945945945946</v>
      </c>
      <c r="F80" s="1212">
        <v>0.21431600000000001</v>
      </c>
      <c r="G80" s="1213"/>
      <c r="H80" s="1213"/>
      <c r="I80" s="1213"/>
      <c r="J80" s="1213"/>
      <c r="K80" s="1213"/>
      <c r="L80" s="1213"/>
      <c r="M80" s="1213"/>
      <c r="N80" s="1213"/>
      <c r="O80" s="1213"/>
      <c r="P80" s="1213"/>
      <c r="Q80" s="1213"/>
      <c r="R80" s="1213"/>
      <c r="S80" s="1213"/>
      <c r="T80" s="1213"/>
      <c r="U80" s="1213"/>
      <c r="V80" s="1213"/>
      <c r="W80" s="1213"/>
      <c r="X80" s="1213"/>
      <c r="Y80" s="1213"/>
      <c r="Z80" s="1213"/>
    </row>
    <row r="81" spans="1:26" ht="15.75" hidden="1" customHeight="1">
      <c r="A81" s="1211" t="s">
        <v>179</v>
      </c>
      <c r="B81" s="14">
        <v>16</v>
      </c>
      <c r="C81" s="103">
        <v>6.2633333333333333E-2</v>
      </c>
      <c r="D81" s="103">
        <v>3.8878461538461535E-2</v>
      </c>
      <c r="E81" s="103">
        <v>0.11353071428571429</v>
      </c>
      <c r="F81" s="1212">
        <v>9.1825000000000004E-2</v>
      </c>
      <c r="G81" s="1213"/>
      <c r="H81" s="1213"/>
      <c r="I81" s="1213"/>
      <c r="J81" s="1213"/>
      <c r="K81" s="1213"/>
      <c r="L81" s="1213"/>
      <c r="M81" s="1213"/>
      <c r="N81" s="1213"/>
      <c r="O81" s="1213"/>
      <c r="P81" s="1213"/>
      <c r="Q81" s="1213"/>
      <c r="R81" s="1213"/>
      <c r="S81" s="1213"/>
      <c r="T81" s="1213"/>
      <c r="U81" s="1213"/>
      <c r="V81" s="1213"/>
      <c r="W81" s="1213"/>
      <c r="X81" s="1213"/>
      <c r="Y81" s="1213"/>
      <c r="Z81" s="1213"/>
    </row>
    <row r="82" spans="1:26" ht="15.75" hidden="1" customHeight="1">
      <c r="A82" s="1211" t="s">
        <v>180</v>
      </c>
      <c r="B82" s="14">
        <v>15</v>
      </c>
      <c r="C82" s="103">
        <v>9.7052857142857163E-2</v>
      </c>
      <c r="D82" s="103">
        <v>3.2412499999999997E-2</v>
      </c>
      <c r="E82" s="103">
        <v>6.3123333333333337E-2</v>
      </c>
      <c r="F82" s="1212">
        <v>4.7199999999999999E-2</v>
      </c>
      <c r="G82" s="1213"/>
      <c r="H82" s="1213"/>
      <c r="I82" s="1213"/>
      <c r="J82" s="1213"/>
      <c r="K82" s="1213"/>
      <c r="L82" s="1213"/>
      <c r="M82" s="1213"/>
      <c r="N82" s="1213"/>
      <c r="O82" s="1213"/>
      <c r="P82" s="1213"/>
      <c r="Q82" s="1213"/>
      <c r="R82" s="1213"/>
      <c r="S82" s="1213"/>
      <c r="T82" s="1213"/>
      <c r="U82" s="1213"/>
      <c r="V82" s="1213"/>
      <c r="W82" s="1213"/>
      <c r="X82" s="1213"/>
      <c r="Y82" s="1213"/>
      <c r="Z82" s="1213"/>
    </row>
    <row r="83" spans="1:26" ht="15.75" hidden="1" customHeight="1">
      <c r="A83" s="1211" t="s">
        <v>750</v>
      </c>
      <c r="B83" s="14">
        <v>60</v>
      </c>
      <c r="C83" s="103">
        <v>0.37440125000000002</v>
      </c>
      <c r="D83" s="103">
        <v>0.10199999999999999</v>
      </c>
      <c r="E83" s="103">
        <v>0.19027655172413793</v>
      </c>
      <c r="F83" s="1212">
        <v>0.44518823529411766</v>
      </c>
      <c r="G83" s="1213"/>
      <c r="H83" s="1213"/>
      <c r="I83" s="1213"/>
      <c r="J83" s="1213"/>
      <c r="K83" s="1213"/>
      <c r="L83" s="1213"/>
      <c r="M83" s="1213"/>
      <c r="N83" s="1213"/>
      <c r="O83" s="1213"/>
      <c r="P83" s="1213"/>
      <c r="Q83" s="1213"/>
      <c r="R83" s="1213"/>
      <c r="S83" s="1213"/>
      <c r="T83" s="1213"/>
      <c r="U83" s="1213"/>
      <c r="V83" s="1213"/>
      <c r="W83" s="1213"/>
      <c r="X83" s="1213"/>
      <c r="Y83" s="1213"/>
      <c r="Z83" s="1213"/>
    </row>
    <row r="84" spans="1:26" ht="15.75" hidden="1" customHeight="1">
      <c r="A84" s="1211" t="s">
        <v>182</v>
      </c>
      <c r="B84" s="14">
        <v>76</v>
      </c>
      <c r="C84" s="103">
        <v>0.17452368421052633</v>
      </c>
      <c r="D84" s="103">
        <v>0.11782999999999999</v>
      </c>
      <c r="E84" s="103">
        <v>0.14979811320754718</v>
      </c>
      <c r="F84" s="1212">
        <v>0.25721153846153844</v>
      </c>
      <c r="G84" s="1213"/>
      <c r="H84" s="1213"/>
      <c r="I84" s="1213"/>
      <c r="J84" s="1213"/>
      <c r="K84" s="1213"/>
      <c r="L84" s="1213"/>
      <c r="M84" s="1213"/>
      <c r="N84" s="1213"/>
      <c r="O84" s="1213"/>
      <c r="P84" s="1213"/>
      <c r="Q84" s="1213"/>
      <c r="R84" s="1213"/>
      <c r="S84" s="1213"/>
      <c r="T84" s="1213"/>
      <c r="U84" s="1213"/>
      <c r="V84" s="1213"/>
      <c r="W84" s="1213"/>
      <c r="X84" s="1213"/>
      <c r="Y84" s="1213"/>
      <c r="Z84" s="1213"/>
    </row>
    <row r="85" spans="1:26" ht="15.75" hidden="1" customHeight="1">
      <c r="A85" s="1211" t="s">
        <v>183</v>
      </c>
      <c r="B85" s="14">
        <v>2</v>
      </c>
      <c r="C85" s="103">
        <v>-3.2400000000000005E-2</v>
      </c>
      <c r="D85" s="103">
        <v>4.2015000000000004E-2</v>
      </c>
      <c r="E85" s="103">
        <v>0.28199999999999997</v>
      </c>
      <c r="F85" s="1212" t="s">
        <v>253</v>
      </c>
      <c r="G85" s="1213"/>
      <c r="H85" s="1213"/>
      <c r="I85" s="1213"/>
      <c r="J85" s="1213"/>
      <c r="K85" s="1213"/>
      <c r="L85" s="1213"/>
      <c r="M85" s="1213"/>
      <c r="N85" s="1213"/>
      <c r="O85" s="1213"/>
      <c r="P85" s="1213"/>
      <c r="Q85" s="1213"/>
      <c r="R85" s="1213"/>
      <c r="S85" s="1213"/>
      <c r="T85" s="1213"/>
      <c r="U85" s="1213"/>
      <c r="V85" s="1213"/>
      <c r="W85" s="1213"/>
      <c r="X85" s="1213"/>
      <c r="Y85" s="1213"/>
      <c r="Z85" s="1213"/>
    </row>
    <row r="86" spans="1:26" ht="15.75" hidden="1" customHeight="1">
      <c r="A86" s="1211" t="s">
        <v>184</v>
      </c>
      <c r="B86" s="14">
        <v>67</v>
      </c>
      <c r="C86" s="103">
        <v>0.33606666666666674</v>
      </c>
      <c r="D86" s="103">
        <v>6.6251666666666653E-2</v>
      </c>
      <c r="E86" s="103">
        <v>0.22250239130434779</v>
      </c>
      <c r="F86" s="1212">
        <v>0.301402564102564</v>
      </c>
      <c r="G86" s="1213"/>
      <c r="H86" s="1213"/>
      <c r="I86" s="1213"/>
      <c r="J86" s="1213"/>
      <c r="K86" s="1213"/>
      <c r="L86" s="1213"/>
      <c r="M86" s="1213"/>
      <c r="N86" s="1213"/>
      <c r="O86" s="1213"/>
      <c r="P86" s="1213"/>
      <c r="Q86" s="1213"/>
      <c r="R86" s="1213"/>
      <c r="S86" s="1213"/>
      <c r="T86" s="1213"/>
      <c r="U86" s="1213"/>
      <c r="V86" s="1213"/>
      <c r="W86" s="1213"/>
      <c r="X86" s="1213"/>
      <c r="Y86" s="1213"/>
      <c r="Z86" s="1213"/>
    </row>
    <row r="87" spans="1:26" ht="15.75" hidden="1" customHeight="1">
      <c r="A87" s="1211" t="s">
        <v>185</v>
      </c>
      <c r="B87" s="14">
        <v>34</v>
      </c>
      <c r="C87" s="103">
        <v>0.43112941176470587</v>
      </c>
      <c r="D87" s="103">
        <v>0.13994241379310343</v>
      </c>
      <c r="E87" s="103">
        <v>0.32622307692307689</v>
      </c>
      <c r="F87" s="1212">
        <v>0.17772222222222225</v>
      </c>
      <c r="G87" s="1213"/>
      <c r="H87" s="1213"/>
      <c r="I87" s="1213"/>
      <c r="J87" s="1213"/>
      <c r="K87" s="1213"/>
      <c r="L87" s="1213"/>
      <c r="M87" s="1213"/>
      <c r="N87" s="1213"/>
      <c r="O87" s="1213"/>
      <c r="P87" s="1213"/>
      <c r="Q87" s="1213"/>
      <c r="R87" s="1213"/>
      <c r="S87" s="1213"/>
      <c r="T87" s="1213"/>
      <c r="U87" s="1213"/>
      <c r="V87" s="1213"/>
      <c r="W87" s="1213"/>
      <c r="X87" s="1213"/>
      <c r="Y87" s="1213"/>
      <c r="Z87" s="1213"/>
    </row>
    <row r="88" spans="1:26" ht="15.75" hidden="1" customHeight="1">
      <c r="A88" s="1211" t="s">
        <v>186</v>
      </c>
      <c r="B88" s="14">
        <v>8</v>
      </c>
      <c r="C88" s="103">
        <v>0.67400000000000004</v>
      </c>
      <c r="D88" s="103">
        <v>0.16393333333333335</v>
      </c>
      <c r="E88" s="103">
        <v>0.26880000000000004</v>
      </c>
      <c r="F88" s="1212">
        <v>0.12</v>
      </c>
      <c r="G88" s="1213"/>
      <c r="H88" s="1213"/>
      <c r="I88" s="1213"/>
      <c r="J88" s="1213"/>
      <c r="K88" s="1213"/>
      <c r="L88" s="1213"/>
      <c r="M88" s="1213"/>
      <c r="N88" s="1213"/>
      <c r="O88" s="1213"/>
      <c r="P88" s="1213"/>
      <c r="Q88" s="1213"/>
      <c r="R88" s="1213"/>
      <c r="S88" s="1213"/>
      <c r="T88" s="1213"/>
      <c r="U88" s="1213"/>
      <c r="V88" s="1213"/>
      <c r="W88" s="1213"/>
      <c r="X88" s="1213"/>
      <c r="Y88" s="1213"/>
      <c r="Z88" s="1213"/>
    </row>
    <row r="89" spans="1:26" ht="15.75" hidden="1" customHeight="1">
      <c r="A89" s="1211" t="s">
        <v>187</v>
      </c>
      <c r="B89" s="14">
        <v>12</v>
      </c>
      <c r="C89" s="103">
        <v>0.1143</v>
      </c>
      <c r="D89" s="103">
        <v>6.3799999999999996E-2</v>
      </c>
      <c r="E89" s="103">
        <v>0.27504999999999996</v>
      </c>
      <c r="F89" s="1212">
        <v>0.27433333333333332</v>
      </c>
      <c r="G89" s="1213"/>
      <c r="H89" s="1213"/>
      <c r="I89" s="1213"/>
      <c r="J89" s="1213"/>
      <c r="K89" s="1213"/>
      <c r="L89" s="1213"/>
      <c r="M89" s="1213"/>
      <c r="N89" s="1213"/>
      <c r="O89" s="1213"/>
      <c r="P89" s="1213"/>
      <c r="Q89" s="1213"/>
      <c r="R89" s="1213"/>
      <c r="S89" s="1213"/>
      <c r="T89" s="1213"/>
      <c r="U89" s="1213"/>
      <c r="V89" s="1213"/>
      <c r="W89" s="1213"/>
      <c r="X89" s="1213"/>
      <c r="Y89" s="1213"/>
      <c r="Z89" s="1213"/>
    </row>
    <row r="90" spans="1:26" ht="15.75" hidden="1" customHeight="1">
      <c r="A90" s="1211" t="s">
        <v>188</v>
      </c>
      <c r="B90" s="14">
        <v>88</v>
      </c>
      <c r="C90" s="103">
        <v>0.16216666666666665</v>
      </c>
      <c r="D90" s="103">
        <v>0.22905962962962956</v>
      </c>
      <c r="E90" s="103">
        <v>0.34664193548387101</v>
      </c>
      <c r="F90" s="1212">
        <v>0.25159999999999999</v>
      </c>
      <c r="G90" s="1213"/>
      <c r="H90" s="1213"/>
      <c r="I90" s="1213"/>
      <c r="J90" s="1213"/>
      <c r="K90" s="1213"/>
      <c r="L90" s="1213"/>
      <c r="M90" s="1213"/>
      <c r="N90" s="1213"/>
      <c r="O90" s="1213"/>
      <c r="P90" s="1213"/>
      <c r="Q90" s="1213"/>
      <c r="R90" s="1213"/>
      <c r="S90" s="1213"/>
      <c r="T90" s="1213"/>
      <c r="U90" s="1213"/>
      <c r="V90" s="1213"/>
      <c r="W90" s="1213"/>
      <c r="X90" s="1213"/>
      <c r="Y90" s="1213"/>
      <c r="Z90" s="1213"/>
    </row>
    <row r="91" spans="1:26" ht="15.75" hidden="1" customHeight="1">
      <c r="A91" s="1211" t="s">
        <v>189</v>
      </c>
      <c r="B91" s="14">
        <v>36</v>
      </c>
      <c r="C91" s="103">
        <v>0.10545</v>
      </c>
      <c r="D91" s="103">
        <v>0.22060000000000002</v>
      </c>
      <c r="E91" s="103">
        <v>0.25844999999999996</v>
      </c>
      <c r="F91" s="1212">
        <v>0.26677777777777778</v>
      </c>
      <c r="G91" s="1213"/>
      <c r="H91" s="1213"/>
      <c r="I91" s="1213"/>
      <c r="J91" s="1213"/>
      <c r="K91" s="1213"/>
      <c r="L91" s="1213"/>
      <c r="M91" s="1213"/>
      <c r="N91" s="1213"/>
      <c r="O91" s="1213"/>
      <c r="P91" s="1213"/>
      <c r="Q91" s="1213"/>
      <c r="R91" s="1213"/>
      <c r="S91" s="1213"/>
      <c r="T91" s="1213"/>
      <c r="U91" s="1213"/>
      <c r="V91" s="1213"/>
      <c r="W91" s="1213"/>
      <c r="X91" s="1213"/>
      <c r="Y91" s="1213"/>
      <c r="Z91" s="1213"/>
    </row>
    <row r="92" spans="1:26" ht="15.75" hidden="1" customHeight="1">
      <c r="A92" s="1211" t="s">
        <v>190</v>
      </c>
      <c r="B92" s="14">
        <v>375</v>
      </c>
      <c r="C92" s="103">
        <v>0.23036046511627911</v>
      </c>
      <c r="D92" s="103">
        <v>0.17722259999999992</v>
      </c>
      <c r="E92" s="103">
        <v>0.41693244444444499</v>
      </c>
      <c r="F92" s="1212">
        <v>0.22147130434782619</v>
      </c>
      <c r="G92" s="1213"/>
      <c r="H92" s="1213"/>
      <c r="I92" s="1213"/>
      <c r="J92" s="1213"/>
      <c r="K92" s="1213"/>
      <c r="L92" s="1213"/>
      <c r="M92" s="1213"/>
      <c r="N92" s="1213"/>
      <c r="O92" s="1213"/>
      <c r="P92" s="1213"/>
      <c r="Q92" s="1213"/>
      <c r="R92" s="1213"/>
      <c r="S92" s="1213"/>
      <c r="T92" s="1213"/>
      <c r="U92" s="1213"/>
      <c r="V92" s="1213"/>
      <c r="W92" s="1213"/>
      <c r="X92" s="1213"/>
      <c r="Y92" s="1213"/>
      <c r="Z92" s="1213"/>
    </row>
    <row r="93" spans="1:26" ht="15.75" hidden="1" customHeight="1">
      <c r="A93" s="1211" t="s">
        <v>191</v>
      </c>
      <c r="B93" s="14">
        <v>28</v>
      </c>
      <c r="C93" s="103">
        <v>0.59322222222222221</v>
      </c>
      <c r="D93" s="103">
        <v>0.19973333333333332</v>
      </c>
      <c r="E93" s="103">
        <v>0.2660144444444445</v>
      </c>
      <c r="F93" s="1212">
        <v>0.14135</v>
      </c>
      <c r="G93" s="1213"/>
      <c r="H93" s="1213"/>
      <c r="I93" s="1213"/>
      <c r="J93" s="1213"/>
      <c r="K93" s="1213"/>
      <c r="L93" s="1213"/>
      <c r="M93" s="1213"/>
      <c r="N93" s="1213"/>
      <c r="O93" s="1213"/>
      <c r="P93" s="1213"/>
      <c r="Q93" s="1213"/>
      <c r="R93" s="1213"/>
      <c r="S93" s="1213"/>
      <c r="T93" s="1213"/>
      <c r="U93" s="1213"/>
      <c r="V93" s="1213"/>
      <c r="W93" s="1213"/>
      <c r="X93" s="1213"/>
      <c r="Y93" s="1213"/>
      <c r="Z93" s="1213"/>
    </row>
    <row r="94" spans="1:26" ht="15.75" hidden="1" customHeight="1">
      <c r="A94" s="1211" t="s">
        <v>192</v>
      </c>
      <c r="B94" s="14">
        <v>17</v>
      </c>
      <c r="C94" s="103">
        <v>0.52900000000000003</v>
      </c>
      <c r="D94" s="103">
        <v>-1.5962857142857147E-2</v>
      </c>
      <c r="E94" s="103">
        <v>8.0699999999999994E-2</v>
      </c>
      <c r="F94" s="1212">
        <v>0.19500000000000001</v>
      </c>
      <c r="G94" s="1213"/>
      <c r="H94" s="1213"/>
      <c r="I94" s="1213"/>
      <c r="J94" s="1213"/>
      <c r="K94" s="1213"/>
      <c r="L94" s="1213"/>
      <c r="M94" s="1213"/>
      <c r="N94" s="1213"/>
      <c r="O94" s="1213"/>
      <c r="P94" s="1213"/>
      <c r="Q94" s="1213"/>
      <c r="R94" s="1213"/>
      <c r="S94" s="1213"/>
      <c r="T94" s="1213"/>
      <c r="U94" s="1213"/>
      <c r="V94" s="1213"/>
      <c r="W94" s="1213"/>
      <c r="X94" s="1213"/>
      <c r="Y94" s="1213"/>
      <c r="Z94" s="1213"/>
    </row>
    <row r="95" spans="1:26" ht="15.75" hidden="1" customHeight="1">
      <c r="A95" s="1211" t="s">
        <v>193</v>
      </c>
      <c r="B95" s="14">
        <v>82</v>
      </c>
      <c r="C95" s="103">
        <v>8.9024999999999979E-2</v>
      </c>
      <c r="D95" s="103">
        <v>6.6588448275862064E-2</v>
      </c>
      <c r="E95" s="103">
        <v>0.23452564102564102</v>
      </c>
      <c r="F95" s="1212">
        <v>0.15948636363636368</v>
      </c>
      <c r="G95" s="1213"/>
      <c r="H95" s="1213"/>
      <c r="I95" s="1213"/>
      <c r="J95" s="1213"/>
      <c r="K95" s="1213"/>
      <c r="L95" s="1213"/>
      <c r="M95" s="1213"/>
      <c r="N95" s="1213"/>
      <c r="O95" s="1213"/>
      <c r="P95" s="1213"/>
      <c r="Q95" s="1213"/>
      <c r="R95" s="1213"/>
      <c r="S95" s="1213"/>
      <c r="T95" s="1213"/>
      <c r="U95" s="1213"/>
      <c r="V95" s="1213"/>
      <c r="W95" s="1213"/>
      <c r="X95" s="1213"/>
      <c r="Y95" s="1213"/>
      <c r="Z95" s="1213"/>
    </row>
    <row r="96" spans="1:26" ht="15.75" hidden="1" customHeight="1">
      <c r="A96" s="1211" t="s">
        <v>194</v>
      </c>
      <c r="B96" s="14">
        <v>42</v>
      </c>
      <c r="C96" s="103">
        <v>8.13142857142857E-2</v>
      </c>
      <c r="D96" s="103">
        <v>0.10121849999999999</v>
      </c>
      <c r="E96" s="103">
        <v>0.19053125000000001</v>
      </c>
      <c r="F96" s="1212">
        <v>0.15769999999999998</v>
      </c>
      <c r="G96" s="1213"/>
      <c r="H96" s="1213"/>
      <c r="I96" s="1213"/>
      <c r="J96" s="1213"/>
      <c r="K96" s="1213"/>
      <c r="L96" s="1213"/>
      <c r="M96" s="1213"/>
      <c r="N96" s="1213"/>
      <c r="O96" s="1213"/>
      <c r="P96" s="1213"/>
      <c r="Q96" s="1213"/>
      <c r="R96" s="1213"/>
      <c r="S96" s="1213"/>
      <c r="T96" s="1213"/>
      <c r="U96" s="1213"/>
      <c r="V96" s="1213"/>
      <c r="W96" s="1213"/>
      <c r="X96" s="1213"/>
      <c r="Y96" s="1213"/>
      <c r="Z96" s="1213"/>
    </row>
    <row r="97" spans="1:26" ht="15.75" hidden="1" customHeight="1">
      <c r="A97" s="1211" t="s">
        <v>195</v>
      </c>
      <c r="B97" s="14">
        <v>16</v>
      </c>
      <c r="C97" s="103">
        <v>9.4800000000000009E-2</v>
      </c>
      <c r="D97" s="103">
        <v>6.9114999999999996E-2</v>
      </c>
      <c r="E97" s="103">
        <v>0.17902200000000001</v>
      </c>
      <c r="F97" s="1212">
        <v>0.11956666666666667</v>
      </c>
      <c r="G97" s="1213"/>
      <c r="H97" s="1213"/>
      <c r="I97" s="1213"/>
      <c r="J97" s="1213"/>
      <c r="K97" s="1213"/>
      <c r="L97" s="1213"/>
      <c r="M97" s="1213"/>
      <c r="N97" s="1213"/>
      <c r="O97" s="1213"/>
      <c r="P97" s="1213"/>
      <c r="Q97" s="1213"/>
      <c r="R97" s="1213"/>
      <c r="S97" s="1213"/>
      <c r="T97" s="1213"/>
      <c r="U97" s="1213"/>
      <c r="V97" s="1213"/>
      <c r="W97" s="1213"/>
      <c r="X97" s="1213"/>
      <c r="Y97" s="1213"/>
      <c r="Z97" s="1213"/>
    </row>
    <row r="98" spans="1:26" ht="15.75" hidden="1" customHeight="1">
      <c r="A98" s="1211" t="s">
        <v>196</v>
      </c>
      <c r="B98" s="14">
        <v>17</v>
      </c>
      <c r="C98" s="103">
        <v>0.15166250000000001</v>
      </c>
      <c r="D98" s="103">
        <v>0.1085909090909091</v>
      </c>
      <c r="E98" s="103">
        <v>0.14101</v>
      </c>
      <c r="F98" s="1212">
        <v>0.17471428571428574</v>
      </c>
      <c r="G98" s="1213"/>
      <c r="H98" s="1213"/>
      <c r="I98" s="1213"/>
      <c r="J98" s="1213"/>
      <c r="K98" s="1213"/>
      <c r="L98" s="1213"/>
      <c r="M98" s="1213"/>
      <c r="N98" s="1213"/>
      <c r="O98" s="1213"/>
      <c r="P98" s="1213"/>
      <c r="Q98" s="1213"/>
      <c r="R98" s="1213"/>
      <c r="S98" s="1213"/>
      <c r="T98" s="1213"/>
      <c r="U98" s="1213"/>
      <c r="V98" s="1213"/>
      <c r="W98" s="1213"/>
      <c r="X98" s="1213"/>
      <c r="Y98" s="1213"/>
      <c r="Z98" s="1213"/>
    </row>
    <row r="99" spans="1:26" ht="15.75" hidden="1" customHeight="1">
      <c r="A99" s="1211" t="s">
        <v>197</v>
      </c>
      <c r="B99" s="14">
        <v>4</v>
      </c>
      <c r="C99" s="103">
        <v>0.12179999999999999</v>
      </c>
      <c r="D99" s="103">
        <v>1.67E-2</v>
      </c>
      <c r="E99" s="103">
        <v>0.10959999999999999</v>
      </c>
      <c r="F99" s="1212">
        <v>0.16266666666666665</v>
      </c>
      <c r="G99" s="1213"/>
      <c r="H99" s="1213"/>
      <c r="I99" s="1213"/>
      <c r="J99" s="1213"/>
      <c r="K99" s="1213"/>
      <c r="L99" s="1213"/>
      <c r="M99" s="1213"/>
      <c r="N99" s="1213"/>
      <c r="O99" s="1213"/>
      <c r="P99" s="1213"/>
      <c r="Q99" s="1213"/>
      <c r="R99" s="1213"/>
      <c r="S99" s="1213"/>
      <c r="T99" s="1213"/>
      <c r="U99" s="1213"/>
      <c r="V99" s="1213"/>
      <c r="W99" s="1213"/>
      <c r="X99" s="1213"/>
      <c r="Y99" s="1213"/>
      <c r="Z99" s="1213"/>
    </row>
    <row r="100" spans="1:26" ht="15.75" hidden="1" customHeight="1">
      <c r="A100" s="1211" t="s">
        <v>198</v>
      </c>
      <c r="B100" s="14">
        <v>34</v>
      </c>
      <c r="C100" s="103">
        <v>0.32596842105263157</v>
      </c>
      <c r="D100" s="103">
        <v>7.6031818181818173E-2</v>
      </c>
      <c r="E100" s="103">
        <v>0.30046799999999996</v>
      </c>
      <c r="F100" s="1212">
        <v>0.61899999999999999</v>
      </c>
      <c r="G100" s="1213"/>
      <c r="H100" s="1213"/>
      <c r="I100" s="1213"/>
      <c r="J100" s="1213"/>
      <c r="K100" s="1213"/>
      <c r="L100" s="1213"/>
      <c r="M100" s="1213"/>
      <c r="N100" s="1213"/>
      <c r="O100" s="1213"/>
      <c r="P100" s="1213"/>
      <c r="Q100" s="1213"/>
      <c r="R100" s="1213"/>
      <c r="S100" s="1213"/>
      <c r="T100" s="1213"/>
      <c r="U100" s="1213"/>
      <c r="V100" s="1213"/>
      <c r="W100" s="1213"/>
      <c r="X100" s="1213"/>
      <c r="Y100" s="1213"/>
      <c r="Z100" s="1213"/>
    </row>
    <row r="101" spans="1:26" ht="15.75" hidden="1" customHeight="1">
      <c r="A101" s="1211" t="s">
        <v>199</v>
      </c>
      <c r="B101" s="14">
        <v>16</v>
      </c>
      <c r="C101" s="103">
        <v>0.11054076923076923</v>
      </c>
      <c r="D101" s="103">
        <v>2.7306875000000001E-2</v>
      </c>
      <c r="E101" s="103">
        <v>4.9706666666666663E-2</v>
      </c>
      <c r="F101" s="1212">
        <v>5.2556249999999992E-2</v>
      </c>
      <c r="G101" s="1213"/>
      <c r="H101" s="1213"/>
      <c r="I101" s="1213"/>
      <c r="J101" s="1213"/>
      <c r="K101" s="1213"/>
      <c r="L101" s="1213"/>
      <c r="M101" s="1213"/>
      <c r="N101" s="1213"/>
      <c r="O101" s="1213"/>
      <c r="P101" s="1213"/>
      <c r="Q101" s="1213"/>
      <c r="R101" s="1213"/>
      <c r="S101" s="1213"/>
      <c r="T101" s="1213"/>
      <c r="U101" s="1213"/>
      <c r="V101" s="1213"/>
      <c r="W101" s="1213"/>
      <c r="X101" s="1213"/>
      <c r="Y101" s="1213"/>
      <c r="Z101" s="1213"/>
    </row>
    <row r="102" spans="1:26" ht="15.75" hidden="1" customHeight="1">
      <c r="A102" s="1211" t="s">
        <v>200</v>
      </c>
      <c r="B102" s="14">
        <v>14</v>
      </c>
      <c r="C102" s="103">
        <v>8.9875555555555556E-2</v>
      </c>
      <c r="D102" s="103">
        <v>0.14579166666666665</v>
      </c>
      <c r="E102" s="103">
        <v>6.2887499999999999E-2</v>
      </c>
      <c r="F102" s="1212">
        <v>9.3120000000000008E-2</v>
      </c>
      <c r="G102" s="1213"/>
      <c r="H102" s="1213"/>
      <c r="I102" s="1213"/>
      <c r="J102" s="1213"/>
      <c r="K102" s="1218"/>
      <c r="L102" s="1218"/>
      <c r="M102" s="1218"/>
      <c r="N102" s="1218"/>
      <c r="O102" s="1218"/>
      <c r="P102" s="1218"/>
      <c r="Q102" s="1218"/>
      <c r="R102" s="1218"/>
      <c r="S102" s="1218"/>
      <c r="T102" s="1218"/>
      <c r="U102" s="1218"/>
      <c r="V102" s="1218"/>
      <c r="W102" s="1218"/>
      <c r="X102" s="1218"/>
      <c r="Y102" s="1218"/>
      <c r="Z102" s="1218"/>
    </row>
    <row r="103" spans="1:26" ht="15.75" hidden="1" customHeight="1">
      <c r="A103" s="1211" t="s">
        <v>201</v>
      </c>
      <c r="B103" s="14">
        <v>7229</v>
      </c>
      <c r="C103" s="103">
        <v>0.17682523643603809</v>
      </c>
      <c r="D103" s="103">
        <v>0.11767683878370631</v>
      </c>
      <c r="E103" s="103">
        <v>0.4132933869471076</v>
      </c>
      <c r="F103" s="1212">
        <v>0.19667431372548999</v>
      </c>
      <c r="G103" s="1218"/>
      <c r="H103" s="1218"/>
      <c r="I103" s="1218"/>
      <c r="J103" s="1218"/>
      <c r="K103" s="1218"/>
      <c r="L103" s="1218"/>
      <c r="M103" s="1218"/>
      <c r="N103" s="1218"/>
      <c r="O103" s="1218"/>
      <c r="P103" s="1218"/>
      <c r="Q103" s="1218"/>
      <c r="R103" s="1218"/>
      <c r="S103" s="1218"/>
      <c r="T103" s="1218"/>
      <c r="U103" s="1218"/>
      <c r="V103" s="1218"/>
      <c r="W103" s="1218"/>
      <c r="X103" s="1218"/>
      <c r="Y103" s="1218"/>
      <c r="Z103" s="1218"/>
    </row>
    <row r="104" spans="1:26" ht="15.75" hidden="1" customHeight="1">
      <c r="A104" s="1219" t="s">
        <v>258</v>
      </c>
      <c r="B104" s="1220">
        <v>5619</v>
      </c>
      <c r="C104" s="1221">
        <v>0.15739631200791823</v>
      </c>
      <c r="D104" s="1221">
        <v>0.11904171264420987</v>
      </c>
      <c r="E104" s="1221">
        <v>0.49943956529758127</v>
      </c>
      <c r="F104" s="1222">
        <v>0.2066041047722402</v>
      </c>
      <c r="G104" s="1218"/>
      <c r="H104" s="1218"/>
      <c r="I104" s="1218"/>
      <c r="J104" s="1218"/>
      <c r="K104" s="1218"/>
      <c r="L104" s="1218"/>
      <c r="M104" s="1218"/>
      <c r="N104" s="1218"/>
      <c r="O104" s="1218"/>
      <c r="P104" s="1218"/>
      <c r="Q104" s="1218"/>
      <c r="R104" s="1218"/>
      <c r="S104" s="1218"/>
      <c r="T104" s="1218"/>
      <c r="U104" s="1218"/>
      <c r="V104" s="1218"/>
      <c r="W104" s="1218"/>
      <c r="X104" s="1218"/>
      <c r="Y104" s="1218"/>
      <c r="Z104" s="1218"/>
    </row>
    <row r="105" spans="1:26" ht="15.75" customHeight="1">
      <c r="A105" s="1170"/>
      <c r="B105" s="1"/>
      <c r="C105" s="1"/>
      <c r="D105" s="1"/>
      <c r="E105" s="337"/>
      <c r="F105" s="337"/>
      <c r="G105" s="1"/>
      <c r="H105" s="1"/>
      <c r="I105" s="1"/>
      <c r="J105" s="1"/>
      <c r="K105" s="1"/>
      <c r="L105" s="1"/>
      <c r="M105" s="1"/>
      <c r="N105" s="1"/>
      <c r="O105" s="1"/>
      <c r="P105" s="1"/>
      <c r="Q105" s="1"/>
      <c r="R105" s="1"/>
      <c r="S105" s="1"/>
      <c r="T105" s="1"/>
      <c r="U105" s="1"/>
      <c r="V105" s="1"/>
      <c r="W105" s="1"/>
      <c r="X105" s="1"/>
      <c r="Y105" s="1"/>
      <c r="Z105" s="1"/>
    </row>
    <row r="106" spans="1:26" ht="15.75" customHeight="1">
      <c r="A106" s="1170"/>
      <c r="B106" s="1"/>
      <c r="C106" s="1"/>
      <c r="D106" s="1"/>
      <c r="E106" s="337"/>
      <c r="F106" s="337"/>
      <c r="G106" s="1"/>
      <c r="H106" s="1"/>
      <c r="I106" s="1"/>
      <c r="J106" s="1"/>
      <c r="K106" s="1"/>
      <c r="L106" s="1"/>
      <c r="M106" s="1"/>
      <c r="N106" s="1"/>
      <c r="O106" s="1"/>
      <c r="P106" s="1"/>
      <c r="Q106" s="1"/>
      <c r="R106" s="1"/>
      <c r="S106" s="1"/>
      <c r="T106" s="1"/>
      <c r="U106" s="1"/>
      <c r="V106" s="1"/>
      <c r="W106" s="1"/>
      <c r="X106" s="1"/>
      <c r="Y106" s="1"/>
      <c r="Z106" s="1"/>
    </row>
    <row r="107" spans="1:26" ht="15.75" customHeight="1">
      <c r="A107" s="1170"/>
      <c r="B107" s="1"/>
      <c r="C107" s="1"/>
      <c r="D107" s="1"/>
      <c r="E107" s="337"/>
      <c r="F107" s="337"/>
      <c r="G107" s="1"/>
      <c r="H107" s="1"/>
      <c r="I107" s="1"/>
      <c r="J107" s="1"/>
      <c r="K107" s="1"/>
      <c r="L107" s="1"/>
      <c r="M107" s="1"/>
      <c r="N107" s="1"/>
      <c r="O107" s="1"/>
      <c r="P107" s="1"/>
      <c r="Q107" s="1"/>
      <c r="R107" s="1"/>
      <c r="S107" s="1"/>
      <c r="T107" s="1"/>
      <c r="U107" s="1"/>
      <c r="V107" s="1"/>
      <c r="W107" s="1"/>
      <c r="X107" s="1"/>
      <c r="Y107" s="1"/>
      <c r="Z107" s="1"/>
    </row>
    <row r="108" spans="1:26" ht="15.75" customHeight="1">
      <c r="A108" s="1170"/>
      <c r="B108" s="1"/>
      <c r="C108" s="1"/>
      <c r="D108" s="1"/>
      <c r="E108" s="337"/>
      <c r="F108" s="337"/>
      <c r="G108" s="1"/>
      <c r="H108" s="1"/>
      <c r="I108" s="1"/>
      <c r="J108" s="1"/>
      <c r="K108" s="1"/>
      <c r="L108" s="1"/>
      <c r="M108" s="1"/>
      <c r="N108" s="1"/>
      <c r="O108" s="1"/>
      <c r="P108" s="1"/>
      <c r="Q108" s="1"/>
      <c r="R108" s="1"/>
      <c r="S108" s="1"/>
      <c r="T108" s="1"/>
      <c r="U108" s="1"/>
      <c r="V108" s="1"/>
      <c r="W108" s="1"/>
      <c r="X108" s="1"/>
      <c r="Y108" s="1"/>
      <c r="Z108" s="1"/>
    </row>
    <row r="109" spans="1:26" ht="15.75" customHeight="1">
      <c r="A109" s="1170"/>
      <c r="B109" s="1"/>
      <c r="C109" s="1"/>
      <c r="D109" s="1"/>
      <c r="E109" s="337"/>
      <c r="F109" s="337"/>
      <c r="G109" s="1"/>
      <c r="H109" s="1"/>
      <c r="I109" s="1"/>
      <c r="J109" s="1"/>
      <c r="K109" s="1"/>
      <c r="L109" s="1"/>
      <c r="M109" s="1"/>
      <c r="N109" s="1"/>
      <c r="O109" s="1"/>
      <c r="P109" s="1"/>
      <c r="Q109" s="1"/>
      <c r="R109" s="1"/>
      <c r="S109" s="1"/>
      <c r="T109" s="1"/>
      <c r="U109" s="1"/>
      <c r="V109" s="1"/>
      <c r="W109" s="1"/>
      <c r="X109" s="1"/>
      <c r="Y109" s="1"/>
      <c r="Z109" s="1"/>
    </row>
    <row r="110" spans="1:26" ht="15.75" customHeight="1">
      <c r="A110" s="1170"/>
      <c r="B110" s="1"/>
      <c r="C110" s="1"/>
      <c r="D110" s="1"/>
      <c r="E110" s="337"/>
      <c r="F110" s="337"/>
      <c r="G110" s="1"/>
      <c r="H110" s="1"/>
      <c r="I110" s="1"/>
      <c r="J110" s="1"/>
      <c r="K110" s="1"/>
      <c r="L110" s="1"/>
      <c r="M110" s="1"/>
      <c r="N110" s="1"/>
      <c r="O110" s="1"/>
      <c r="P110" s="1"/>
      <c r="Q110" s="1"/>
      <c r="R110" s="1"/>
      <c r="S110" s="1"/>
      <c r="T110" s="1"/>
      <c r="U110" s="1"/>
      <c r="V110" s="1"/>
      <c r="W110" s="1"/>
      <c r="X110" s="1"/>
      <c r="Y110" s="1"/>
      <c r="Z110" s="1"/>
    </row>
    <row r="111" spans="1:26" ht="15.75" customHeight="1">
      <c r="A111" s="1170"/>
      <c r="B111" s="1"/>
      <c r="C111" s="1"/>
      <c r="D111" s="1"/>
      <c r="E111" s="337"/>
      <c r="F111" s="337"/>
      <c r="G111" s="1"/>
      <c r="H111" s="1"/>
      <c r="I111" s="1"/>
      <c r="J111" s="1"/>
      <c r="K111" s="1"/>
      <c r="L111" s="1"/>
      <c r="M111" s="1"/>
      <c r="N111" s="1"/>
      <c r="O111" s="1"/>
      <c r="P111" s="1"/>
      <c r="Q111" s="1"/>
      <c r="R111" s="1"/>
      <c r="S111" s="1"/>
      <c r="T111" s="1"/>
      <c r="U111" s="1"/>
      <c r="V111" s="1"/>
      <c r="W111" s="1"/>
      <c r="X111" s="1"/>
      <c r="Y111" s="1"/>
      <c r="Z111" s="1"/>
    </row>
    <row r="112" spans="1:26" ht="15.75" customHeight="1">
      <c r="A112" s="1170"/>
      <c r="B112" s="1"/>
      <c r="C112" s="1"/>
      <c r="D112" s="1"/>
      <c r="E112" s="337"/>
      <c r="F112" s="337"/>
      <c r="G112" s="1"/>
      <c r="H112" s="1"/>
      <c r="I112" s="1"/>
      <c r="J112" s="1"/>
      <c r="K112" s="1"/>
      <c r="L112" s="1"/>
      <c r="M112" s="1"/>
      <c r="N112" s="1"/>
      <c r="O112" s="1"/>
      <c r="P112" s="1"/>
      <c r="Q112" s="1"/>
      <c r="R112" s="1"/>
      <c r="S112" s="1"/>
      <c r="T112" s="1"/>
      <c r="U112" s="1"/>
      <c r="V112" s="1"/>
      <c r="W112" s="1"/>
      <c r="X112" s="1"/>
      <c r="Y112" s="1"/>
      <c r="Z112" s="1"/>
    </row>
    <row r="113" spans="1:6" ht="15.75" customHeight="1">
      <c r="A113" s="1170"/>
      <c r="B113" s="1"/>
      <c r="C113" s="1"/>
      <c r="D113" s="1"/>
      <c r="E113" s="337"/>
      <c r="F113" s="337"/>
    </row>
    <row r="114" spans="1:6" ht="15.75" customHeight="1">
      <c r="A114" s="1170"/>
      <c r="B114" s="1"/>
      <c r="C114" s="1"/>
      <c r="D114" s="1"/>
      <c r="E114" s="337"/>
      <c r="F114" s="337"/>
    </row>
    <row r="115" spans="1:6" ht="15.75" customHeight="1">
      <c r="A115" s="1170"/>
      <c r="B115" s="1"/>
      <c r="C115" s="1"/>
      <c r="D115" s="1"/>
      <c r="E115" s="337"/>
      <c r="F115" s="337"/>
    </row>
    <row r="116" spans="1:6" ht="15.75" customHeight="1">
      <c r="A116" s="1170"/>
      <c r="B116" s="1"/>
      <c r="C116" s="1"/>
      <c r="D116" s="1"/>
      <c r="E116" s="337"/>
      <c r="F116" s="337"/>
    </row>
    <row r="117" spans="1:6" ht="15.75" customHeight="1">
      <c r="A117" s="1170"/>
      <c r="B117" s="1"/>
      <c r="C117" s="1"/>
      <c r="D117" s="1"/>
      <c r="E117" s="337"/>
      <c r="F117" s="337"/>
    </row>
    <row r="118" spans="1:6" ht="15.75" customHeight="1">
      <c r="A118" s="1170"/>
      <c r="B118" s="1"/>
      <c r="C118" s="1"/>
      <c r="D118" s="1"/>
      <c r="E118" s="337"/>
      <c r="F118" s="337"/>
    </row>
    <row r="119" spans="1:6" ht="15.75" customHeight="1">
      <c r="A119" s="1170"/>
      <c r="B119" s="1"/>
      <c r="C119" s="1"/>
      <c r="D119" s="1"/>
      <c r="E119" s="337"/>
      <c r="F119" s="337"/>
    </row>
    <row r="120" spans="1:6" ht="15.75" customHeight="1">
      <c r="A120" s="1170"/>
      <c r="B120" s="1"/>
      <c r="C120" s="1"/>
      <c r="D120" s="1"/>
      <c r="E120" s="337"/>
      <c r="F120" s="337"/>
    </row>
    <row r="121" spans="1:6" ht="15.75" customHeight="1">
      <c r="A121" s="1170"/>
      <c r="B121" s="1"/>
      <c r="C121" s="1"/>
      <c r="D121" s="1"/>
      <c r="E121" s="337"/>
      <c r="F121" s="337"/>
    </row>
    <row r="122" spans="1:6" ht="15.75" customHeight="1">
      <c r="A122" s="1170"/>
      <c r="B122" s="1"/>
      <c r="C122" s="1"/>
      <c r="D122" s="1"/>
      <c r="E122" s="337"/>
      <c r="F122" s="337"/>
    </row>
    <row r="123" spans="1:6" ht="15.75" customHeight="1">
      <c r="A123" s="1170"/>
      <c r="B123" s="1"/>
      <c r="C123" s="1"/>
      <c r="D123" s="1"/>
      <c r="E123" s="337"/>
      <c r="F123" s="337"/>
    </row>
    <row r="124" spans="1:6" ht="15.75" customHeight="1">
      <c r="A124" s="1170"/>
      <c r="B124" s="1"/>
      <c r="C124" s="1"/>
      <c r="D124" s="1"/>
      <c r="E124" s="337"/>
      <c r="F124" s="337"/>
    </row>
    <row r="125" spans="1:6" ht="15.75" customHeight="1">
      <c r="A125" s="1170"/>
      <c r="B125" s="1"/>
      <c r="C125" s="1"/>
      <c r="D125" s="1"/>
      <c r="E125" s="337"/>
      <c r="F125" s="337"/>
    </row>
    <row r="126" spans="1:6" ht="15.75" customHeight="1">
      <c r="A126" s="1170"/>
      <c r="B126" s="1"/>
      <c r="C126" s="1"/>
      <c r="D126" s="1"/>
      <c r="E126" s="337"/>
      <c r="F126" s="337"/>
    </row>
    <row r="127" spans="1:6" ht="15.75" customHeight="1">
      <c r="A127" s="1170"/>
      <c r="B127" s="1"/>
      <c r="C127" s="1"/>
      <c r="D127" s="1"/>
      <c r="E127" s="337"/>
      <c r="F127" s="337"/>
    </row>
    <row r="128" spans="1:6" ht="15.75" customHeight="1">
      <c r="A128" s="1170"/>
      <c r="B128" s="1"/>
      <c r="C128" s="1"/>
      <c r="D128" s="1"/>
      <c r="E128" s="337"/>
      <c r="F128" s="337"/>
    </row>
    <row r="129" spans="1:6" ht="15.75" customHeight="1">
      <c r="A129" s="1170"/>
      <c r="B129" s="1"/>
      <c r="C129" s="1"/>
      <c r="D129" s="1"/>
      <c r="E129" s="337"/>
      <c r="F129" s="337"/>
    </row>
    <row r="130" spans="1:6" ht="15.75" customHeight="1">
      <c r="A130" s="1170"/>
      <c r="B130" s="1"/>
      <c r="C130" s="1"/>
      <c r="D130" s="1"/>
      <c r="E130" s="337"/>
      <c r="F130" s="337"/>
    </row>
    <row r="131" spans="1:6" ht="15.75" customHeight="1">
      <c r="A131" s="1170"/>
      <c r="B131" s="1"/>
      <c r="C131" s="1"/>
      <c r="D131" s="1"/>
      <c r="E131" s="337"/>
      <c r="F131" s="337"/>
    </row>
    <row r="132" spans="1:6" ht="15.75" customHeight="1">
      <c r="A132" s="1170"/>
      <c r="B132" s="1"/>
      <c r="C132" s="1"/>
      <c r="D132" s="1"/>
      <c r="E132" s="337"/>
      <c r="F132" s="337"/>
    </row>
    <row r="133" spans="1:6" ht="15.75" customHeight="1">
      <c r="A133" s="1170"/>
      <c r="B133" s="1"/>
      <c r="C133" s="1"/>
      <c r="D133" s="1"/>
      <c r="E133" s="337"/>
      <c r="F133" s="337"/>
    </row>
    <row r="134" spans="1:6" ht="15.75" customHeight="1">
      <c r="A134" s="1170"/>
      <c r="B134" s="1"/>
      <c r="C134" s="1"/>
      <c r="D134" s="1"/>
      <c r="E134" s="337"/>
      <c r="F134" s="337"/>
    </row>
    <row r="135" spans="1:6" ht="15.75" customHeight="1">
      <c r="A135" s="1170"/>
      <c r="B135" s="1"/>
      <c r="C135" s="1"/>
      <c r="D135" s="1"/>
      <c r="E135" s="337"/>
      <c r="F135" s="337"/>
    </row>
    <row r="136" spans="1:6" ht="15.75" customHeight="1">
      <c r="A136" s="1170"/>
      <c r="B136" s="1"/>
      <c r="C136" s="1"/>
      <c r="D136" s="1"/>
      <c r="E136" s="337"/>
      <c r="F136" s="337"/>
    </row>
    <row r="137" spans="1:6" ht="15.75" customHeight="1">
      <c r="A137" s="1170"/>
      <c r="B137" s="1"/>
      <c r="C137" s="1"/>
      <c r="D137" s="1"/>
      <c r="E137" s="337"/>
      <c r="F137" s="337"/>
    </row>
    <row r="138" spans="1:6" ht="15.75" customHeight="1">
      <c r="A138" s="1170"/>
      <c r="B138" s="1"/>
      <c r="C138" s="1"/>
      <c r="D138" s="1"/>
      <c r="E138" s="337"/>
      <c r="F138" s="337"/>
    </row>
    <row r="139" spans="1:6" ht="15.75" customHeight="1">
      <c r="A139" s="1170"/>
      <c r="B139" s="1"/>
      <c r="C139" s="1"/>
      <c r="D139" s="1"/>
      <c r="E139" s="337"/>
      <c r="F139" s="337"/>
    </row>
    <row r="140" spans="1:6" ht="15.75" customHeight="1">
      <c r="A140" s="1170"/>
      <c r="B140" s="1"/>
      <c r="C140" s="1"/>
      <c r="D140" s="1"/>
      <c r="E140" s="337"/>
      <c r="F140" s="337"/>
    </row>
    <row r="141" spans="1:6" ht="15.75" customHeight="1">
      <c r="A141" s="1170"/>
      <c r="B141" s="1"/>
      <c r="C141" s="1"/>
      <c r="D141" s="1"/>
      <c r="E141" s="337"/>
      <c r="F141" s="337"/>
    </row>
    <row r="142" spans="1:6" ht="15.75" customHeight="1">
      <c r="A142" s="1170"/>
      <c r="B142" s="1"/>
      <c r="C142" s="1"/>
      <c r="D142" s="1"/>
      <c r="E142" s="337"/>
      <c r="F142" s="337"/>
    </row>
    <row r="143" spans="1:6" ht="15.75" customHeight="1">
      <c r="A143" s="1170"/>
      <c r="B143" s="1"/>
      <c r="C143" s="1"/>
      <c r="D143" s="1"/>
      <c r="E143" s="337"/>
      <c r="F143" s="337"/>
    </row>
    <row r="144" spans="1:6" ht="15.75" customHeight="1">
      <c r="A144" s="1170"/>
      <c r="B144" s="1"/>
      <c r="C144" s="1"/>
      <c r="D144" s="1"/>
      <c r="E144" s="337"/>
      <c r="F144" s="337"/>
    </row>
    <row r="145" spans="1:6" ht="15.75" customHeight="1">
      <c r="A145" s="1170"/>
      <c r="B145" s="1"/>
      <c r="C145" s="1"/>
      <c r="D145" s="1"/>
      <c r="E145" s="337"/>
      <c r="F145" s="337"/>
    </row>
    <row r="146" spans="1:6" ht="15.75" customHeight="1">
      <c r="A146" s="1170"/>
      <c r="B146" s="1"/>
      <c r="C146" s="1"/>
      <c r="D146" s="1"/>
      <c r="E146" s="337"/>
      <c r="F146" s="337"/>
    </row>
    <row r="147" spans="1:6" ht="15.75" customHeight="1">
      <c r="A147" s="1170"/>
      <c r="B147" s="1"/>
      <c r="C147" s="1"/>
      <c r="D147" s="1"/>
      <c r="E147" s="337"/>
      <c r="F147" s="337"/>
    </row>
    <row r="148" spans="1:6" ht="15.75" customHeight="1">
      <c r="A148" s="1170"/>
      <c r="B148" s="1"/>
      <c r="C148" s="1"/>
      <c r="D148" s="1"/>
      <c r="E148" s="337"/>
      <c r="F148" s="337"/>
    </row>
    <row r="149" spans="1:6" ht="15.75" customHeight="1">
      <c r="A149" s="1170"/>
      <c r="B149" s="1"/>
      <c r="C149" s="1"/>
      <c r="D149" s="1"/>
      <c r="E149" s="337"/>
      <c r="F149" s="337"/>
    </row>
    <row r="150" spans="1:6" ht="15.75" customHeight="1">
      <c r="A150" s="1170"/>
      <c r="B150" s="1"/>
      <c r="C150" s="1"/>
      <c r="D150" s="1"/>
      <c r="E150" s="337"/>
      <c r="F150" s="337"/>
    </row>
    <row r="151" spans="1:6" ht="15.75" customHeight="1">
      <c r="A151" s="1170"/>
      <c r="B151" s="1"/>
      <c r="C151" s="1"/>
      <c r="D151" s="1"/>
      <c r="E151" s="337"/>
      <c r="F151" s="337"/>
    </row>
    <row r="152" spans="1:6" ht="15.75" customHeight="1">
      <c r="A152" s="1170"/>
      <c r="B152" s="1"/>
      <c r="C152" s="1"/>
      <c r="D152" s="1"/>
      <c r="E152" s="337"/>
      <c r="F152" s="337"/>
    </row>
    <row r="153" spans="1:6" ht="15.75" customHeight="1">
      <c r="A153" s="1170"/>
      <c r="B153" s="1"/>
      <c r="C153" s="1"/>
      <c r="D153" s="1"/>
      <c r="E153" s="337"/>
      <c r="F153" s="337"/>
    </row>
    <row r="154" spans="1:6" ht="15.75" customHeight="1">
      <c r="A154" s="1170"/>
      <c r="B154" s="1"/>
      <c r="C154" s="1"/>
      <c r="D154" s="1"/>
      <c r="E154" s="337"/>
      <c r="F154" s="337"/>
    </row>
    <row r="155" spans="1:6" ht="15.75" customHeight="1">
      <c r="A155" s="1170"/>
      <c r="B155" s="1"/>
      <c r="C155" s="1"/>
      <c r="D155" s="1"/>
      <c r="E155" s="337"/>
      <c r="F155" s="337"/>
    </row>
    <row r="156" spans="1:6" ht="15.75" customHeight="1">
      <c r="A156" s="1170"/>
      <c r="B156" s="1"/>
      <c r="C156" s="1"/>
      <c r="D156" s="1"/>
      <c r="E156" s="337"/>
      <c r="F156" s="337"/>
    </row>
    <row r="157" spans="1:6" ht="15.75" customHeight="1">
      <c r="A157" s="1170"/>
      <c r="B157" s="1"/>
      <c r="C157" s="1"/>
      <c r="D157" s="1"/>
      <c r="E157" s="337"/>
      <c r="F157" s="337"/>
    </row>
    <row r="158" spans="1:6" ht="15.75" customHeight="1">
      <c r="A158" s="1170"/>
      <c r="B158" s="1"/>
      <c r="C158" s="1"/>
      <c r="D158" s="1"/>
      <c r="E158" s="337"/>
      <c r="F158" s="337"/>
    </row>
    <row r="159" spans="1:6" ht="15.75" customHeight="1">
      <c r="A159" s="1170"/>
      <c r="B159" s="1"/>
      <c r="C159" s="1"/>
      <c r="D159" s="1"/>
      <c r="E159" s="337"/>
      <c r="F159" s="337"/>
    </row>
    <row r="160" spans="1:6" ht="15.75" customHeight="1">
      <c r="A160" s="1170"/>
      <c r="B160" s="1"/>
      <c r="C160" s="1"/>
      <c r="D160" s="1"/>
      <c r="E160" s="337"/>
      <c r="F160" s="337"/>
    </row>
    <row r="161" spans="1:6" ht="15.75" customHeight="1">
      <c r="A161" s="1170"/>
      <c r="B161" s="1"/>
      <c r="C161" s="1"/>
      <c r="D161" s="1"/>
      <c r="E161" s="337"/>
      <c r="F161" s="337"/>
    </row>
    <row r="162" spans="1:6" ht="15.75" customHeight="1">
      <c r="A162" s="1170"/>
      <c r="B162" s="1"/>
      <c r="C162" s="1"/>
      <c r="D162" s="1"/>
      <c r="E162" s="337"/>
      <c r="F162" s="337"/>
    </row>
    <row r="163" spans="1:6" ht="15.75" customHeight="1">
      <c r="A163" s="1170"/>
      <c r="B163" s="1"/>
      <c r="C163" s="1"/>
      <c r="D163" s="1"/>
      <c r="E163" s="337"/>
      <c r="F163" s="337"/>
    </row>
    <row r="164" spans="1:6" ht="15.75" customHeight="1">
      <c r="A164" s="1170"/>
      <c r="B164" s="1"/>
      <c r="C164" s="1"/>
      <c r="D164" s="1"/>
      <c r="E164" s="337"/>
      <c r="F164" s="337"/>
    </row>
    <row r="165" spans="1:6" ht="15.75" customHeight="1">
      <c r="A165" s="1170"/>
      <c r="B165" s="1"/>
      <c r="C165" s="1"/>
      <c r="D165" s="1"/>
      <c r="E165" s="337"/>
      <c r="F165" s="337"/>
    </row>
    <row r="166" spans="1:6" ht="15.75" customHeight="1">
      <c r="A166" s="1170"/>
      <c r="B166" s="1"/>
      <c r="C166" s="1"/>
      <c r="D166" s="1"/>
      <c r="E166" s="337"/>
      <c r="F166" s="337"/>
    </row>
    <row r="167" spans="1:6" ht="15.75" customHeight="1">
      <c r="A167" s="1170"/>
      <c r="B167" s="1"/>
      <c r="C167" s="1"/>
      <c r="D167" s="1"/>
      <c r="E167" s="337"/>
      <c r="F167" s="337"/>
    </row>
    <row r="168" spans="1:6" ht="15.75" customHeight="1">
      <c r="A168" s="1170"/>
      <c r="B168" s="1"/>
      <c r="C168" s="1"/>
      <c r="D168" s="1"/>
      <c r="E168" s="337"/>
      <c r="F168" s="337"/>
    </row>
    <row r="169" spans="1:6" ht="15.75" customHeight="1">
      <c r="A169" s="1170"/>
      <c r="B169" s="1"/>
      <c r="C169" s="1"/>
      <c r="D169" s="1"/>
      <c r="E169" s="337"/>
      <c r="F169" s="337"/>
    </row>
    <row r="170" spans="1:6" ht="15.75" customHeight="1">
      <c r="A170" s="1170"/>
      <c r="B170" s="1"/>
      <c r="C170" s="1"/>
      <c r="D170" s="1"/>
      <c r="E170" s="337"/>
      <c r="F170" s="337"/>
    </row>
    <row r="171" spans="1:6" ht="15.75" customHeight="1">
      <c r="A171" s="1170"/>
      <c r="B171" s="1"/>
      <c r="C171" s="1"/>
      <c r="D171" s="1"/>
      <c r="E171" s="337"/>
      <c r="F171" s="337"/>
    </row>
    <row r="172" spans="1:6" ht="15.75" customHeight="1">
      <c r="A172" s="1170"/>
      <c r="B172" s="1"/>
      <c r="C172" s="1"/>
      <c r="D172" s="1"/>
      <c r="E172" s="337"/>
      <c r="F172" s="337"/>
    </row>
    <row r="173" spans="1:6" ht="15.75" customHeight="1">
      <c r="A173" s="1170"/>
      <c r="B173" s="1"/>
      <c r="C173" s="1"/>
      <c r="D173" s="1"/>
      <c r="E173" s="337"/>
      <c r="F173" s="337"/>
    </row>
    <row r="174" spans="1:6" ht="15.75" customHeight="1">
      <c r="A174" s="1170"/>
      <c r="B174" s="1"/>
      <c r="C174" s="1"/>
      <c r="D174" s="1"/>
      <c r="E174" s="337"/>
      <c r="F174" s="337"/>
    </row>
    <row r="175" spans="1:6" ht="15.75" customHeight="1">
      <c r="A175" s="1170"/>
      <c r="B175" s="1"/>
      <c r="C175" s="1"/>
      <c r="D175" s="1"/>
      <c r="E175" s="337"/>
      <c r="F175" s="337"/>
    </row>
    <row r="176" spans="1:6" ht="15.75" customHeight="1">
      <c r="A176" s="1170"/>
      <c r="B176" s="1"/>
      <c r="C176" s="1"/>
      <c r="D176" s="1"/>
      <c r="E176" s="337"/>
      <c r="F176" s="337"/>
    </row>
    <row r="177" spans="1:6" ht="15.75" customHeight="1">
      <c r="A177" s="1170"/>
      <c r="B177" s="1"/>
      <c r="C177" s="1"/>
      <c r="D177" s="1"/>
      <c r="E177" s="337"/>
      <c r="F177" s="337"/>
    </row>
    <row r="178" spans="1:6" ht="15.75" customHeight="1">
      <c r="A178" s="1170"/>
      <c r="B178" s="1"/>
      <c r="C178" s="1"/>
      <c r="D178" s="1"/>
      <c r="E178" s="337"/>
      <c r="F178" s="337"/>
    </row>
    <row r="179" spans="1:6" ht="15.75" customHeight="1">
      <c r="A179" s="1170"/>
      <c r="B179" s="1"/>
      <c r="C179" s="1"/>
      <c r="D179" s="1"/>
      <c r="E179" s="337"/>
      <c r="F179" s="337"/>
    </row>
    <row r="180" spans="1:6" ht="15.75" customHeight="1">
      <c r="A180" s="1170"/>
      <c r="B180" s="1"/>
      <c r="C180" s="1"/>
      <c r="D180" s="1"/>
      <c r="E180" s="337"/>
      <c r="F180" s="337"/>
    </row>
    <row r="181" spans="1:6" ht="15.75" customHeight="1">
      <c r="A181" s="1170"/>
      <c r="B181" s="1"/>
      <c r="C181" s="1"/>
      <c r="D181" s="1"/>
      <c r="E181" s="337"/>
      <c r="F181" s="337"/>
    </row>
    <row r="182" spans="1:6" ht="15.75" customHeight="1">
      <c r="A182" s="1170"/>
      <c r="B182" s="1"/>
      <c r="C182" s="1"/>
      <c r="D182" s="1"/>
      <c r="E182" s="337"/>
      <c r="F182" s="337"/>
    </row>
    <row r="183" spans="1:6" ht="15.75" customHeight="1">
      <c r="A183" s="1170"/>
      <c r="B183" s="1"/>
      <c r="C183" s="1"/>
      <c r="D183" s="1"/>
      <c r="E183" s="337"/>
      <c r="F183" s="337"/>
    </row>
    <row r="184" spans="1:6" ht="15.75" customHeight="1">
      <c r="A184" s="1170"/>
      <c r="B184" s="1"/>
      <c r="C184" s="1"/>
      <c r="D184" s="1"/>
      <c r="E184" s="337"/>
      <c r="F184" s="337"/>
    </row>
    <row r="185" spans="1:6" ht="15.75" customHeight="1">
      <c r="A185" s="1170"/>
      <c r="B185" s="1"/>
      <c r="C185" s="1"/>
      <c r="D185" s="1"/>
      <c r="E185" s="337"/>
      <c r="F185" s="337"/>
    </row>
    <row r="186" spans="1:6" ht="15.75" customHeight="1">
      <c r="A186" s="1170"/>
      <c r="B186" s="1"/>
      <c r="C186" s="1"/>
      <c r="D186" s="1"/>
      <c r="E186" s="337"/>
      <c r="F186" s="337"/>
    </row>
    <row r="187" spans="1:6" ht="15.75" customHeight="1">
      <c r="A187" s="1170"/>
      <c r="B187" s="1"/>
      <c r="C187" s="1"/>
      <c r="D187" s="1"/>
      <c r="E187" s="337"/>
      <c r="F187" s="337"/>
    </row>
    <row r="188" spans="1:6" ht="15.75" customHeight="1">
      <c r="A188" s="1170"/>
      <c r="B188" s="1"/>
      <c r="C188" s="1"/>
      <c r="D188" s="1"/>
      <c r="E188" s="337"/>
      <c r="F188" s="337"/>
    </row>
    <row r="189" spans="1:6" ht="15.75" customHeight="1">
      <c r="A189" s="1170"/>
      <c r="B189" s="1"/>
      <c r="C189" s="1"/>
      <c r="D189" s="1"/>
      <c r="E189" s="337"/>
      <c r="F189" s="337"/>
    </row>
    <row r="190" spans="1:6" ht="15.75" customHeight="1">
      <c r="A190" s="1170"/>
      <c r="B190" s="1"/>
      <c r="C190" s="1"/>
      <c r="D190" s="1"/>
      <c r="E190" s="337"/>
      <c r="F190" s="337"/>
    </row>
    <row r="191" spans="1:6" ht="15.75" customHeight="1">
      <c r="A191" s="1170"/>
      <c r="B191" s="1"/>
      <c r="C191" s="1"/>
      <c r="D191" s="1"/>
      <c r="E191" s="337"/>
      <c r="F191" s="337"/>
    </row>
    <row r="192" spans="1:6" ht="15.75" customHeight="1">
      <c r="A192" s="1170"/>
      <c r="B192" s="1"/>
      <c r="C192" s="1"/>
      <c r="D192" s="1"/>
      <c r="E192" s="337"/>
      <c r="F192" s="337"/>
    </row>
    <row r="193" spans="1:6" ht="15.75" customHeight="1">
      <c r="A193" s="1170"/>
      <c r="B193" s="1"/>
      <c r="C193" s="1"/>
      <c r="D193" s="1"/>
      <c r="E193" s="337"/>
      <c r="F193" s="337"/>
    </row>
    <row r="194" spans="1:6" ht="15.75" customHeight="1">
      <c r="A194" s="1170"/>
      <c r="B194" s="1"/>
      <c r="C194" s="1"/>
      <c r="D194" s="1"/>
      <c r="E194" s="337"/>
      <c r="F194" s="337"/>
    </row>
    <row r="195" spans="1:6" ht="15.75" customHeight="1">
      <c r="A195" s="1170"/>
      <c r="B195" s="1"/>
      <c r="C195" s="1"/>
      <c r="D195" s="1"/>
      <c r="E195" s="337"/>
      <c r="F195" s="337"/>
    </row>
    <row r="196" spans="1:6" ht="15.75" customHeight="1">
      <c r="A196" s="1170"/>
      <c r="B196" s="1"/>
      <c r="C196" s="1"/>
      <c r="D196" s="1"/>
      <c r="E196" s="337"/>
      <c r="F196" s="337"/>
    </row>
    <row r="197" spans="1:6" ht="15.75" customHeight="1">
      <c r="A197" s="1170"/>
      <c r="B197" s="1"/>
      <c r="C197" s="1"/>
      <c r="D197" s="1"/>
      <c r="E197" s="337"/>
      <c r="F197" s="337"/>
    </row>
    <row r="198" spans="1:6" ht="15.75" customHeight="1">
      <c r="A198" s="1170"/>
      <c r="B198" s="1"/>
      <c r="C198" s="1"/>
      <c r="D198" s="1"/>
      <c r="E198" s="337"/>
      <c r="F198" s="337"/>
    </row>
    <row r="199" spans="1:6" ht="15.75" customHeight="1">
      <c r="A199" s="1170"/>
      <c r="B199" s="1"/>
      <c r="C199" s="1"/>
      <c r="D199" s="1"/>
      <c r="E199" s="337"/>
      <c r="F199" s="337"/>
    </row>
    <row r="200" spans="1:6" ht="15.75" customHeight="1">
      <c r="A200" s="1170"/>
      <c r="B200" s="1"/>
      <c r="C200" s="1"/>
      <c r="D200" s="1"/>
      <c r="E200" s="337"/>
      <c r="F200" s="337"/>
    </row>
    <row r="201" spans="1:6" ht="15.75" customHeight="1">
      <c r="A201" s="1170"/>
      <c r="B201" s="1"/>
      <c r="C201" s="1"/>
      <c r="D201" s="1"/>
      <c r="E201" s="337"/>
      <c r="F201" s="337"/>
    </row>
    <row r="202" spans="1:6" ht="15.75" customHeight="1">
      <c r="A202" s="1170"/>
      <c r="B202" s="1"/>
      <c r="C202" s="1"/>
      <c r="D202" s="1"/>
      <c r="E202" s="337"/>
      <c r="F202" s="337"/>
    </row>
    <row r="203" spans="1:6" ht="15.75" customHeight="1">
      <c r="A203" s="1170"/>
      <c r="B203" s="1"/>
      <c r="C203" s="1"/>
      <c r="D203" s="1"/>
      <c r="E203" s="337"/>
      <c r="F203" s="337"/>
    </row>
    <row r="204" spans="1:6" ht="15.75" customHeight="1">
      <c r="A204" s="1170"/>
      <c r="B204" s="1"/>
      <c r="C204" s="1"/>
      <c r="D204" s="1"/>
      <c r="E204" s="337"/>
      <c r="F204" s="337"/>
    </row>
    <row r="205" spans="1:6" ht="15.75" customHeight="1">
      <c r="A205" s="1170"/>
      <c r="B205" s="1"/>
      <c r="C205" s="1"/>
      <c r="D205" s="1"/>
      <c r="E205" s="337"/>
      <c r="F205" s="337"/>
    </row>
    <row r="206" spans="1:6" ht="15.75" customHeight="1">
      <c r="A206" s="1170"/>
      <c r="B206" s="1"/>
      <c r="C206" s="1"/>
      <c r="D206" s="1"/>
      <c r="E206" s="337"/>
      <c r="F206" s="337"/>
    </row>
    <row r="207" spans="1:6" ht="15.75" customHeight="1">
      <c r="A207" s="1170"/>
      <c r="B207" s="1"/>
      <c r="C207" s="1"/>
      <c r="D207" s="1"/>
      <c r="E207" s="337"/>
      <c r="F207" s="337"/>
    </row>
    <row r="208" spans="1:6" ht="15.75" customHeight="1">
      <c r="A208" s="1170"/>
      <c r="B208" s="1"/>
      <c r="C208" s="1"/>
      <c r="D208" s="1"/>
      <c r="E208" s="337"/>
      <c r="F208" s="337"/>
    </row>
    <row r="209" spans="1:6" ht="15.75" customHeight="1">
      <c r="A209" s="1170"/>
      <c r="B209" s="1"/>
      <c r="C209" s="1"/>
      <c r="D209" s="1"/>
      <c r="E209" s="337"/>
      <c r="F209" s="337"/>
    </row>
    <row r="210" spans="1:6" ht="15.75" customHeight="1">
      <c r="A210" s="1170"/>
      <c r="B210" s="1"/>
      <c r="C210" s="1"/>
      <c r="D210" s="1"/>
      <c r="E210" s="337"/>
      <c r="F210" s="337"/>
    </row>
    <row r="211" spans="1:6" ht="15.75" customHeight="1">
      <c r="A211" s="1170"/>
      <c r="B211" s="1"/>
      <c r="C211" s="1"/>
      <c r="D211" s="1"/>
      <c r="E211" s="337"/>
      <c r="F211" s="337"/>
    </row>
    <row r="212" spans="1:6" ht="15.75" customHeight="1">
      <c r="A212" s="1170"/>
      <c r="B212" s="1"/>
      <c r="C212" s="1"/>
      <c r="D212" s="1"/>
      <c r="E212" s="337"/>
      <c r="F212" s="337"/>
    </row>
    <row r="213" spans="1:6" ht="15.75" customHeight="1">
      <c r="A213" s="1170"/>
      <c r="B213" s="1"/>
      <c r="C213" s="1"/>
      <c r="D213" s="1"/>
      <c r="E213" s="337"/>
      <c r="F213" s="337"/>
    </row>
    <row r="214" spans="1:6" ht="15.75" customHeight="1">
      <c r="A214" s="1170"/>
      <c r="B214" s="1"/>
      <c r="C214" s="1"/>
      <c r="D214" s="1"/>
      <c r="E214" s="337"/>
      <c r="F214" s="337"/>
    </row>
    <row r="215" spans="1:6" ht="15.75" customHeight="1">
      <c r="A215" s="1170"/>
      <c r="B215" s="1"/>
      <c r="C215" s="1"/>
      <c r="D215" s="1"/>
      <c r="E215" s="337"/>
      <c r="F215" s="337"/>
    </row>
    <row r="216" spans="1:6" ht="15.75" customHeight="1">
      <c r="A216" s="1170"/>
      <c r="B216" s="1"/>
      <c r="C216" s="1"/>
      <c r="D216" s="1"/>
      <c r="E216" s="337"/>
      <c r="F216" s="337"/>
    </row>
    <row r="217" spans="1:6" ht="15.75" customHeight="1">
      <c r="A217" s="1170"/>
      <c r="B217" s="1"/>
      <c r="C217" s="1"/>
      <c r="D217" s="1"/>
      <c r="E217" s="337"/>
      <c r="F217" s="337"/>
    </row>
    <row r="218" spans="1:6" ht="15.75" customHeight="1">
      <c r="A218" s="1170"/>
      <c r="B218" s="1"/>
      <c r="C218" s="1"/>
      <c r="D218" s="1"/>
      <c r="E218" s="337"/>
      <c r="F218" s="337"/>
    </row>
    <row r="219" spans="1:6" ht="15.75" customHeight="1">
      <c r="A219" s="1170"/>
      <c r="B219" s="1"/>
      <c r="C219" s="1"/>
      <c r="D219" s="1"/>
      <c r="E219" s="337"/>
      <c r="F219" s="337"/>
    </row>
    <row r="220" spans="1:6" ht="15.75" customHeight="1">
      <c r="A220" s="1170"/>
      <c r="B220" s="1"/>
      <c r="C220" s="1"/>
      <c r="D220" s="1"/>
      <c r="E220" s="337"/>
      <c r="F220" s="337"/>
    </row>
    <row r="221" spans="1:6" ht="15.75" customHeight="1">
      <c r="A221" s="1170"/>
      <c r="B221" s="1"/>
      <c r="C221" s="1"/>
      <c r="D221" s="1"/>
      <c r="E221" s="337"/>
      <c r="F221" s="337"/>
    </row>
    <row r="222" spans="1:6" ht="15.75" customHeight="1">
      <c r="A222" s="1170"/>
      <c r="B222" s="1"/>
      <c r="C222" s="1"/>
      <c r="D222" s="1"/>
      <c r="E222" s="337"/>
      <c r="F222" s="337"/>
    </row>
    <row r="223" spans="1:6" ht="15.75" customHeight="1">
      <c r="A223" s="1170"/>
      <c r="B223" s="1"/>
      <c r="C223" s="1"/>
      <c r="D223" s="1"/>
      <c r="E223" s="337"/>
      <c r="F223" s="337"/>
    </row>
    <row r="224" spans="1:6" ht="15.75" customHeight="1">
      <c r="A224" s="1170"/>
      <c r="B224" s="1"/>
      <c r="C224" s="1"/>
      <c r="D224" s="1"/>
      <c r="E224" s="337"/>
      <c r="F224" s="337"/>
    </row>
    <row r="225" spans="1:6" ht="15.75" customHeight="1">
      <c r="A225" s="1170"/>
      <c r="B225" s="1"/>
      <c r="C225" s="1"/>
      <c r="D225" s="1"/>
      <c r="E225" s="337"/>
      <c r="F225" s="337"/>
    </row>
    <row r="226" spans="1:6" ht="15.75" customHeight="1">
      <c r="A226" s="1170"/>
      <c r="B226" s="1"/>
      <c r="C226" s="1"/>
      <c r="D226" s="1"/>
      <c r="E226" s="337"/>
      <c r="F226" s="337"/>
    </row>
    <row r="227" spans="1:6" ht="15.75" customHeight="1">
      <c r="A227" s="1170"/>
      <c r="B227" s="1"/>
      <c r="C227" s="1"/>
      <c r="D227" s="1"/>
      <c r="E227" s="337"/>
      <c r="F227" s="337"/>
    </row>
    <row r="228" spans="1:6" ht="15.75" customHeight="1">
      <c r="A228" s="1170"/>
      <c r="B228" s="1"/>
      <c r="C228" s="1"/>
      <c r="D228" s="1"/>
      <c r="E228" s="337"/>
      <c r="F228" s="337"/>
    </row>
    <row r="229" spans="1:6" ht="15.75" customHeight="1">
      <c r="A229" s="1170"/>
      <c r="B229" s="1"/>
      <c r="C229" s="1"/>
      <c r="D229" s="1"/>
      <c r="E229" s="337"/>
      <c r="F229" s="337"/>
    </row>
    <row r="230" spans="1:6" ht="15.75" customHeight="1">
      <c r="A230" s="1170"/>
      <c r="B230" s="1"/>
      <c r="C230" s="1"/>
      <c r="D230" s="1"/>
      <c r="E230" s="337"/>
      <c r="F230" s="337"/>
    </row>
    <row r="231" spans="1:6" ht="15.75" customHeight="1">
      <c r="A231" s="1170"/>
      <c r="B231" s="1"/>
      <c r="C231" s="1"/>
      <c r="D231" s="1"/>
      <c r="E231" s="337"/>
      <c r="F231" s="337"/>
    </row>
    <row r="232" spans="1:6" ht="15.75" customHeight="1">
      <c r="A232" s="1170"/>
      <c r="B232" s="1"/>
      <c r="C232" s="1"/>
      <c r="D232" s="1"/>
      <c r="E232" s="337"/>
      <c r="F232" s="337"/>
    </row>
    <row r="233" spans="1:6" ht="15.75" customHeight="1">
      <c r="A233" s="1170"/>
      <c r="B233" s="1"/>
      <c r="C233" s="1"/>
      <c r="D233" s="1"/>
      <c r="E233" s="337"/>
      <c r="F233" s="337"/>
    </row>
    <row r="234" spans="1:6" ht="15.75" customHeight="1">
      <c r="A234" s="1170"/>
      <c r="B234" s="1"/>
      <c r="C234" s="1"/>
      <c r="D234" s="1"/>
      <c r="E234" s="337"/>
      <c r="F234" s="337"/>
    </row>
    <row r="235" spans="1:6" ht="15.75" customHeight="1">
      <c r="A235" s="1170"/>
      <c r="B235" s="1"/>
      <c r="C235" s="1"/>
      <c r="D235" s="1"/>
      <c r="E235" s="337"/>
      <c r="F235" s="337"/>
    </row>
    <row r="236" spans="1:6" ht="15.75" customHeight="1">
      <c r="A236" s="1170"/>
      <c r="B236" s="1"/>
      <c r="C236" s="1"/>
      <c r="D236" s="1"/>
      <c r="E236" s="337"/>
      <c r="F236" s="337"/>
    </row>
    <row r="237" spans="1:6" ht="15.75" customHeight="1">
      <c r="A237" s="1170"/>
      <c r="B237" s="1"/>
      <c r="C237" s="1"/>
      <c r="D237" s="1"/>
      <c r="E237" s="337"/>
      <c r="F237" s="337"/>
    </row>
    <row r="238" spans="1:6" ht="15.75" customHeight="1">
      <c r="A238" s="1170"/>
      <c r="B238" s="1"/>
      <c r="C238" s="1"/>
      <c r="D238" s="1"/>
      <c r="E238" s="337"/>
      <c r="F238" s="337"/>
    </row>
    <row r="239" spans="1:6" ht="15.75" customHeight="1">
      <c r="A239" s="1170"/>
      <c r="B239" s="1"/>
      <c r="C239" s="1"/>
      <c r="D239" s="1"/>
      <c r="E239" s="337"/>
      <c r="F239" s="337"/>
    </row>
    <row r="240" spans="1:6" ht="15.75" customHeight="1">
      <c r="A240" s="1170"/>
      <c r="B240" s="1"/>
      <c r="C240" s="1"/>
      <c r="D240" s="1"/>
      <c r="E240" s="337"/>
      <c r="F240" s="337"/>
    </row>
    <row r="241" spans="1:6" ht="15.75" customHeight="1">
      <c r="A241" s="1170"/>
      <c r="B241" s="1"/>
      <c r="C241" s="1"/>
      <c r="D241" s="1"/>
      <c r="E241" s="337"/>
      <c r="F241" s="337"/>
    </row>
    <row r="242" spans="1:6" ht="15.75" customHeight="1">
      <c r="A242" s="1170"/>
      <c r="B242" s="1"/>
      <c r="C242" s="1"/>
      <c r="D242" s="1"/>
      <c r="E242" s="337"/>
      <c r="F242" s="337"/>
    </row>
    <row r="243" spans="1:6" ht="15.75" customHeight="1">
      <c r="A243" s="1170"/>
      <c r="B243" s="1"/>
      <c r="C243" s="1"/>
      <c r="D243" s="1"/>
      <c r="E243" s="337"/>
      <c r="F243" s="337"/>
    </row>
    <row r="244" spans="1:6" ht="15.75" customHeight="1">
      <c r="A244" s="1170"/>
      <c r="B244" s="1"/>
      <c r="C244" s="1"/>
      <c r="D244" s="1"/>
      <c r="E244" s="337"/>
      <c r="F244" s="337"/>
    </row>
    <row r="245" spans="1:6" ht="15.75" customHeight="1">
      <c r="A245" s="1170"/>
      <c r="B245" s="1"/>
      <c r="C245" s="1"/>
      <c r="D245" s="1"/>
      <c r="E245" s="337"/>
      <c r="F245" s="337"/>
    </row>
    <row r="246" spans="1:6" ht="15.75" customHeight="1">
      <c r="A246" s="1170"/>
      <c r="B246" s="1"/>
      <c r="C246" s="1"/>
      <c r="D246" s="1"/>
      <c r="E246" s="337"/>
      <c r="F246" s="337"/>
    </row>
    <row r="247" spans="1:6" ht="15.75" customHeight="1">
      <c r="A247" s="1170"/>
      <c r="B247" s="1"/>
      <c r="C247" s="1"/>
      <c r="D247" s="1"/>
      <c r="E247" s="337"/>
      <c r="F247" s="337"/>
    </row>
    <row r="248" spans="1:6" ht="15.75" customHeight="1">
      <c r="A248" s="1170"/>
      <c r="B248" s="1"/>
      <c r="C248" s="1"/>
      <c r="D248" s="1"/>
      <c r="E248" s="337"/>
      <c r="F248" s="337"/>
    </row>
    <row r="249" spans="1:6" ht="15.75" customHeight="1">
      <c r="A249" s="1170"/>
      <c r="B249" s="1"/>
      <c r="C249" s="1"/>
      <c r="D249" s="1"/>
      <c r="E249" s="337"/>
      <c r="F249" s="337"/>
    </row>
    <row r="250" spans="1:6" ht="15.75" customHeight="1">
      <c r="A250" s="1170"/>
      <c r="B250" s="1"/>
      <c r="C250" s="1"/>
      <c r="D250" s="1"/>
      <c r="E250" s="337"/>
      <c r="F250" s="337"/>
    </row>
    <row r="251" spans="1:6" ht="15.75" customHeight="1">
      <c r="A251" s="1170"/>
      <c r="B251" s="1"/>
      <c r="C251" s="1"/>
      <c r="D251" s="1"/>
      <c r="E251" s="337"/>
      <c r="F251" s="337"/>
    </row>
    <row r="252" spans="1:6" ht="15.75" customHeight="1">
      <c r="A252" s="1170"/>
      <c r="B252" s="1"/>
      <c r="C252" s="1"/>
      <c r="D252" s="1"/>
      <c r="E252" s="337"/>
      <c r="F252" s="337"/>
    </row>
    <row r="253" spans="1:6" ht="15.75" customHeight="1">
      <c r="A253" s="1170"/>
      <c r="B253" s="1"/>
      <c r="C253" s="1"/>
      <c r="D253" s="1"/>
      <c r="E253" s="337"/>
      <c r="F253" s="337"/>
    </row>
    <row r="254" spans="1:6" ht="15.75" customHeight="1">
      <c r="A254" s="1170"/>
      <c r="B254" s="1"/>
      <c r="C254" s="1"/>
      <c r="D254" s="1"/>
      <c r="E254" s="337"/>
      <c r="F254" s="337"/>
    </row>
    <row r="255" spans="1:6" ht="15.75" customHeight="1">
      <c r="A255" s="1170"/>
      <c r="B255" s="1"/>
      <c r="C255" s="1"/>
      <c r="D255" s="1"/>
      <c r="E255" s="337"/>
      <c r="F255" s="337"/>
    </row>
    <row r="256" spans="1:6" ht="15.75" customHeight="1">
      <c r="A256" s="1170"/>
      <c r="B256" s="1"/>
      <c r="C256" s="1"/>
      <c r="D256" s="1"/>
      <c r="E256" s="337"/>
      <c r="F256" s="337"/>
    </row>
    <row r="257" spans="1:6" ht="15.75" customHeight="1">
      <c r="A257" s="1170"/>
      <c r="B257" s="1"/>
      <c r="C257" s="1"/>
      <c r="D257" s="1"/>
      <c r="E257" s="337"/>
      <c r="F257" s="337"/>
    </row>
    <row r="258" spans="1:6" ht="15.75" customHeight="1">
      <c r="A258" s="1170"/>
      <c r="B258" s="1"/>
      <c r="C258" s="1"/>
      <c r="D258" s="1"/>
      <c r="E258" s="337"/>
      <c r="F258" s="337"/>
    </row>
    <row r="259" spans="1:6" ht="15.75" customHeight="1">
      <c r="A259" s="1170"/>
      <c r="B259" s="1"/>
      <c r="C259" s="1"/>
      <c r="D259" s="1"/>
      <c r="E259" s="337"/>
      <c r="F259" s="337"/>
    </row>
    <row r="260" spans="1:6" ht="15.75" customHeight="1">
      <c r="A260" s="1170"/>
      <c r="B260" s="1"/>
      <c r="C260" s="1"/>
      <c r="D260" s="1"/>
      <c r="E260" s="337"/>
      <c r="F260" s="337"/>
    </row>
    <row r="261" spans="1:6" ht="15.75" customHeight="1">
      <c r="A261" s="1170"/>
      <c r="B261" s="1"/>
      <c r="C261" s="1"/>
      <c r="D261" s="1"/>
      <c r="E261" s="337"/>
      <c r="F261" s="337"/>
    </row>
    <row r="262" spans="1:6" ht="15.75" customHeight="1">
      <c r="A262" s="1170"/>
      <c r="B262" s="1"/>
      <c r="C262" s="1"/>
      <c r="D262" s="1"/>
      <c r="E262" s="337"/>
      <c r="F262" s="337"/>
    </row>
    <row r="263" spans="1:6" ht="15.75" customHeight="1">
      <c r="A263" s="1170"/>
      <c r="B263" s="1"/>
      <c r="C263" s="1"/>
      <c r="D263" s="1"/>
      <c r="E263" s="337"/>
      <c r="F263" s="337"/>
    </row>
    <row r="264" spans="1:6" ht="15.75" customHeight="1">
      <c r="A264" s="1170"/>
      <c r="B264" s="1"/>
      <c r="C264" s="1"/>
      <c r="D264" s="1"/>
      <c r="E264" s="337"/>
      <c r="F264" s="337"/>
    </row>
    <row r="265" spans="1:6" ht="15.75" customHeight="1">
      <c r="A265" s="1170"/>
      <c r="B265" s="1"/>
      <c r="C265" s="1"/>
      <c r="D265" s="1"/>
      <c r="E265" s="337"/>
      <c r="F265" s="337"/>
    </row>
    <row r="266" spans="1:6" ht="15.75" customHeight="1">
      <c r="A266" s="1170"/>
      <c r="B266" s="1"/>
      <c r="C266" s="1"/>
      <c r="D266" s="1"/>
      <c r="E266" s="337"/>
      <c r="F266" s="337"/>
    </row>
    <row r="267" spans="1:6" ht="15.75" customHeight="1">
      <c r="A267" s="1170"/>
      <c r="B267" s="1"/>
      <c r="C267" s="1"/>
      <c r="D267" s="1"/>
      <c r="E267" s="337"/>
      <c r="F267" s="337"/>
    </row>
    <row r="268" spans="1:6" ht="15.75" customHeight="1">
      <c r="A268" s="1170"/>
      <c r="B268" s="1"/>
      <c r="C268" s="1"/>
      <c r="D268" s="1"/>
      <c r="E268" s="337"/>
      <c r="F268" s="337"/>
    </row>
    <row r="269" spans="1:6" ht="15.75" customHeight="1">
      <c r="A269" s="1170"/>
      <c r="B269" s="1"/>
      <c r="C269" s="1"/>
      <c r="D269" s="1"/>
      <c r="E269" s="337"/>
      <c r="F269" s="337"/>
    </row>
    <row r="270" spans="1:6" ht="15.75" customHeight="1">
      <c r="A270" s="1170"/>
      <c r="B270" s="1"/>
      <c r="C270" s="1"/>
      <c r="D270" s="1"/>
      <c r="E270" s="337"/>
      <c r="F270" s="337"/>
    </row>
    <row r="271" spans="1:6" ht="15.75" customHeight="1">
      <c r="A271" s="1170"/>
      <c r="B271" s="1"/>
      <c r="C271" s="1"/>
      <c r="D271" s="1"/>
      <c r="E271" s="337"/>
      <c r="F271" s="337"/>
    </row>
    <row r="272" spans="1:6" ht="15.75" customHeight="1">
      <c r="A272" s="1170"/>
      <c r="B272" s="1"/>
      <c r="C272" s="1"/>
      <c r="D272" s="1"/>
      <c r="E272" s="337"/>
      <c r="F272" s="337"/>
    </row>
    <row r="273" spans="1:6" ht="15.75" customHeight="1">
      <c r="A273" s="1170"/>
      <c r="B273" s="1"/>
      <c r="C273" s="1"/>
      <c r="D273" s="1"/>
      <c r="E273" s="337"/>
      <c r="F273" s="337"/>
    </row>
    <row r="274" spans="1:6" ht="15.75" customHeight="1">
      <c r="A274" s="1170"/>
      <c r="B274" s="1"/>
      <c r="C274" s="1"/>
      <c r="D274" s="1"/>
      <c r="E274" s="337"/>
      <c r="F274" s="337"/>
    </row>
    <row r="275" spans="1:6" ht="15.75" customHeight="1">
      <c r="A275" s="1170"/>
      <c r="B275" s="1"/>
      <c r="C275" s="1"/>
      <c r="D275" s="1"/>
      <c r="E275" s="337"/>
      <c r="F275" s="337"/>
    </row>
    <row r="276" spans="1:6" ht="15.75" customHeight="1">
      <c r="A276" s="1170"/>
      <c r="B276" s="1"/>
      <c r="C276" s="1"/>
      <c r="D276" s="1"/>
      <c r="E276" s="337"/>
      <c r="F276" s="337"/>
    </row>
    <row r="277" spans="1:6" ht="15.75" customHeight="1">
      <c r="A277" s="1170"/>
      <c r="B277" s="1"/>
      <c r="C277" s="1"/>
      <c r="D277" s="1"/>
      <c r="E277" s="337"/>
      <c r="F277" s="337"/>
    </row>
    <row r="278" spans="1:6" ht="15.75" customHeight="1">
      <c r="A278" s="1170"/>
      <c r="B278" s="1"/>
      <c r="C278" s="1"/>
      <c r="D278" s="1"/>
      <c r="E278" s="337"/>
      <c r="F278" s="337"/>
    </row>
    <row r="279" spans="1:6" ht="15.75" customHeight="1">
      <c r="A279" s="1170"/>
      <c r="B279" s="1"/>
      <c r="C279" s="1"/>
      <c r="D279" s="1"/>
      <c r="E279" s="337"/>
      <c r="F279" s="337"/>
    </row>
    <row r="280" spans="1:6" ht="15.75" customHeight="1">
      <c r="A280" s="1170"/>
      <c r="B280" s="1"/>
      <c r="C280" s="1"/>
      <c r="D280" s="1"/>
      <c r="E280" s="337"/>
      <c r="F280" s="337"/>
    </row>
    <row r="281" spans="1:6" ht="15.75" customHeight="1">
      <c r="A281" s="1170"/>
      <c r="B281" s="1"/>
      <c r="C281" s="1"/>
      <c r="D281" s="1"/>
      <c r="E281" s="337"/>
      <c r="F281" s="337"/>
    </row>
    <row r="282" spans="1:6" ht="15.75" customHeight="1">
      <c r="A282" s="1170"/>
      <c r="B282" s="1"/>
      <c r="C282" s="1"/>
      <c r="D282" s="1"/>
      <c r="E282" s="337"/>
      <c r="F282" s="337"/>
    </row>
    <row r="283" spans="1:6" ht="15.75" customHeight="1">
      <c r="A283" s="1170"/>
      <c r="B283" s="1"/>
      <c r="C283" s="1"/>
      <c r="D283" s="1"/>
      <c r="E283" s="337"/>
      <c r="F283" s="337"/>
    </row>
    <row r="284" spans="1:6" ht="15.75" customHeight="1">
      <c r="A284" s="1170"/>
      <c r="B284" s="1"/>
      <c r="C284" s="1"/>
      <c r="D284" s="1"/>
      <c r="E284" s="337"/>
      <c r="F284" s="337"/>
    </row>
    <row r="285" spans="1:6" ht="15.75" customHeight="1">
      <c r="A285" s="1170"/>
      <c r="B285" s="1"/>
      <c r="C285" s="1"/>
      <c r="D285" s="1"/>
      <c r="E285" s="337"/>
      <c r="F285" s="337"/>
    </row>
    <row r="286" spans="1:6" ht="15.75" customHeight="1">
      <c r="A286" s="1170"/>
      <c r="B286" s="1"/>
      <c r="C286" s="1"/>
      <c r="D286" s="1"/>
      <c r="E286" s="337"/>
      <c r="F286" s="337"/>
    </row>
    <row r="287" spans="1:6" ht="15.75" customHeight="1">
      <c r="A287" s="1170"/>
      <c r="B287" s="1"/>
      <c r="C287" s="1"/>
      <c r="D287" s="1"/>
      <c r="E287" s="337"/>
      <c r="F287" s="337"/>
    </row>
    <row r="288" spans="1:6" ht="15.75" customHeight="1">
      <c r="A288" s="1170"/>
      <c r="B288" s="1"/>
      <c r="C288" s="1"/>
      <c r="D288" s="1"/>
      <c r="E288" s="337"/>
      <c r="F288" s="337"/>
    </row>
    <row r="289" spans="1:6" ht="15.75" customHeight="1">
      <c r="A289" s="1170"/>
      <c r="B289" s="1"/>
      <c r="C289" s="1"/>
      <c r="D289" s="1"/>
      <c r="E289" s="337"/>
      <c r="F289" s="337"/>
    </row>
    <row r="290" spans="1:6" ht="15.75" customHeight="1">
      <c r="A290" s="1170"/>
      <c r="B290" s="1"/>
      <c r="C290" s="1"/>
      <c r="D290" s="1"/>
      <c r="E290" s="337"/>
      <c r="F290" s="337"/>
    </row>
    <row r="291" spans="1:6" ht="15.75" customHeight="1">
      <c r="A291" s="1170"/>
      <c r="B291" s="1"/>
      <c r="C291" s="1"/>
      <c r="D291" s="1"/>
      <c r="E291" s="337"/>
      <c r="F291" s="337"/>
    </row>
    <row r="292" spans="1:6" ht="15.75" customHeight="1">
      <c r="A292" s="1170"/>
      <c r="B292" s="1"/>
      <c r="C292" s="1"/>
      <c r="D292" s="1"/>
      <c r="E292" s="337"/>
      <c r="F292" s="337"/>
    </row>
    <row r="293" spans="1:6" ht="15.75" customHeight="1">
      <c r="A293" s="1170"/>
      <c r="B293" s="1"/>
      <c r="C293" s="1"/>
      <c r="D293" s="1"/>
      <c r="E293" s="337"/>
      <c r="F293" s="337"/>
    </row>
    <row r="294" spans="1:6" ht="15.75" customHeight="1">
      <c r="A294" s="1170"/>
      <c r="B294" s="1"/>
      <c r="C294" s="1"/>
      <c r="D294" s="1"/>
      <c r="E294" s="337"/>
      <c r="F294" s="337"/>
    </row>
    <row r="295" spans="1:6" ht="15.75" customHeight="1">
      <c r="A295" s="1170"/>
      <c r="B295" s="1"/>
      <c r="C295" s="1"/>
      <c r="D295" s="1"/>
      <c r="E295" s="337"/>
      <c r="F295" s="337"/>
    </row>
    <row r="296" spans="1:6" ht="15.75" customHeight="1">
      <c r="A296" s="1170"/>
      <c r="B296" s="1"/>
      <c r="C296" s="1"/>
      <c r="D296" s="1"/>
      <c r="E296" s="337"/>
      <c r="F296" s="337"/>
    </row>
    <row r="297" spans="1:6" ht="15.75" customHeight="1">
      <c r="A297" s="1170"/>
      <c r="B297" s="1"/>
      <c r="C297" s="1"/>
      <c r="D297" s="1"/>
      <c r="E297" s="337"/>
      <c r="F297" s="337"/>
    </row>
    <row r="298" spans="1:6" ht="15.75" customHeight="1">
      <c r="A298" s="1170"/>
      <c r="B298" s="1"/>
      <c r="C298" s="1"/>
      <c r="D298" s="1"/>
      <c r="E298" s="337"/>
      <c r="F298" s="337"/>
    </row>
    <row r="299" spans="1:6" ht="15.75" customHeight="1">
      <c r="A299" s="1170"/>
      <c r="B299" s="1"/>
      <c r="C299" s="1"/>
      <c r="D299" s="1"/>
      <c r="E299" s="337"/>
      <c r="F299" s="337"/>
    </row>
    <row r="300" spans="1:6" ht="15.75" customHeight="1">
      <c r="A300" s="1170"/>
      <c r="B300" s="1"/>
      <c r="C300" s="1"/>
      <c r="D300" s="1"/>
      <c r="E300" s="337"/>
      <c r="F300" s="337"/>
    </row>
    <row r="301" spans="1:6" ht="15.75" customHeight="1">
      <c r="A301" s="1170"/>
      <c r="B301" s="1"/>
      <c r="C301" s="1"/>
      <c r="D301" s="1"/>
      <c r="E301" s="337"/>
      <c r="F301" s="337"/>
    </row>
    <row r="302" spans="1:6" ht="15.75" customHeight="1">
      <c r="A302" s="1170"/>
      <c r="B302" s="1"/>
      <c r="C302" s="1"/>
      <c r="D302" s="1"/>
      <c r="E302" s="337"/>
      <c r="F302" s="337"/>
    </row>
    <row r="303" spans="1:6" ht="15.75" customHeight="1">
      <c r="A303" s="1170"/>
      <c r="B303" s="1"/>
      <c r="C303" s="1"/>
      <c r="D303" s="1"/>
      <c r="E303" s="337"/>
      <c r="F303" s="337"/>
    </row>
    <row r="304" spans="1:6" ht="15.75" customHeight="1">
      <c r="A304" s="1170"/>
      <c r="B304" s="1"/>
      <c r="C304" s="1"/>
      <c r="D304" s="1"/>
      <c r="E304" s="337"/>
      <c r="F304" s="337"/>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5:G5"/>
    <mergeCell ref="B6:G6"/>
    <mergeCell ref="B7:G7"/>
    <mergeCell ref="B1:G1"/>
    <mergeCell ref="B2:G2"/>
    <mergeCell ref="B3:E3"/>
    <mergeCell ref="F3:G3"/>
    <mergeCell ref="B4:G4"/>
  </mergeCells>
  <hyperlinks>
    <hyperlink ref="B2" r:id="rId1" xr:uid="{00000000-0004-0000-1A00-000000000000}"/>
    <hyperlink ref="B4" r:id="rId2" xr:uid="{00000000-0004-0000-1A00-000001000000}"/>
    <hyperlink ref="B5" r:id="rId3" xr:uid="{00000000-0004-0000-1A00-000002000000}"/>
    <hyperlink ref="B6" r:id="rId4" xr:uid="{00000000-0004-0000-1A00-000003000000}"/>
    <hyperlink ref="B7" r:id="rId5" xr:uid="{00000000-0004-0000-1A00-000004000000}"/>
  </hyperlinks>
  <printOptions gridLines="1"/>
  <pageMargins left="0.75" right="0.75" top="1" bottom="1" header="0" footer="0"/>
  <pageSetup scale="60" orientation="landscape"/>
  <headerFooter>
    <oddHeader>&amp;C000000Historical Growth Rates&amp;R000000Global 2016</oddHeader>
  </headerFooter>
  <tableParts count="1">
    <tablePart r:id="rId6"/>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1000"/>
  <sheetViews>
    <sheetView workbookViewId="0">
      <pane ySplit="1" topLeftCell="A2" activePane="bottomLeft" state="frozen"/>
      <selection pane="bottomLeft" activeCell="B3" sqref="B3"/>
    </sheetView>
  </sheetViews>
  <sheetFormatPr baseColWidth="10" defaultColWidth="14.44140625" defaultRowHeight="15" customHeight="1"/>
  <cols>
    <col min="1" max="1" width="37.88671875" customWidth="1"/>
    <col min="2" max="2" width="18.109375" customWidth="1"/>
    <col min="3" max="3" width="21.44140625" customWidth="1"/>
    <col min="4" max="4" width="39.44140625" customWidth="1"/>
    <col min="5" max="5" width="28.109375" customWidth="1"/>
    <col min="6" max="6" width="14.33203125" customWidth="1"/>
    <col min="7" max="7" width="10.6640625" customWidth="1"/>
    <col min="8" max="8" width="18.44140625" customWidth="1"/>
    <col min="9" max="9" width="23.33203125" customWidth="1"/>
    <col min="10" max="10" width="15" customWidth="1"/>
    <col min="11" max="26" width="10.6640625" customWidth="1"/>
  </cols>
  <sheetData>
    <row r="1" spans="1:26" ht="15.75" customHeight="1">
      <c r="A1" s="91" t="s">
        <v>69</v>
      </c>
      <c r="B1" s="1362">
        <v>45662</v>
      </c>
      <c r="C1" s="1363"/>
      <c r="D1" s="1363"/>
      <c r="E1" s="1363"/>
      <c r="F1" s="1363"/>
      <c r="G1" s="1363"/>
      <c r="H1" s="1223"/>
      <c r="I1" s="1223"/>
      <c r="J1" s="84"/>
      <c r="K1" s="1"/>
      <c r="L1" s="1"/>
      <c r="M1" s="1"/>
      <c r="N1" s="1"/>
      <c r="O1" s="1"/>
      <c r="P1" s="1"/>
      <c r="Q1" s="1"/>
      <c r="R1" s="1"/>
      <c r="S1" s="1"/>
      <c r="T1" s="1"/>
      <c r="U1" s="1"/>
      <c r="V1" s="1"/>
      <c r="W1" s="1"/>
      <c r="X1" s="1"/>
      <c r="Y1" s="1"/>
      <c r="Z1" s="1"/>
    </row>
    <row r="2" spans="1:26" ht="15.75" customHeight="1">
      <c r="A2" s="94" t="s">
        <v>72</v>
      </c>
      <c r="B2" s="1369" t="s">
        <v>73</v>
      </c>
      <c r="C2" s="1339"/>
      <c r="D2" s="1339"/>
      <c r="E2" s="1339"/>
      <c r="F2" s="1339"/>
      <c r="G2" s="1339"/>
      <c r="H2" s="1223"/>
      <c r="I2" s="1223"/>
      <c r="J2" s="84"/>
      <c r="K2" s="1"/>
      <c r="L2" s="1"/>
      <c r="M2" s="1"/>
      <c r="N2" s="1"/>
      <c r="O2" s="1"/>
      <c r="P2" s="1"/>
      <c r="Q2" s="1"/>
      <c r="R2" s="1"/>
      <c r="S2" s="1"/>
      <c r="T2" s="1"/>
      <c r="U2" s="1"/>
      <c r="V2" s="1"/>
      <c r="W2" s="1"/>
      <c r="X2" s="1"/>
      <c r="Y2" s="1"/>
      <c r="Z2" s="1"/>
    </row>
    <row r="3" spans="1:26" ht="15.75" customHeight="1">
      <c r="A3" s="94" t="s">
        <v>75</v>
      </c>
      <c r="B3" s="1375" t="s">
        <v>751</v>
      </c>
      <c r="C3" s="1339"/>
      <c r="D3" s="1339"/>
      <c r="E3" s="1340"/>
      <c r="F3" s="1375" t="s">
        <v>77</v>
      </c>
      <c r="G3" s="1339"/>
      <c r="H3" s="1223"/>
      <c r="I3" s="1223"/>
      <c r="J3" s="84"/>
      <c r="K3" s="1"/>
      <c r="L3" s="1"/>
      <c r="M3" s="1"/>
      <c r="N3" s="1"/>
      <c r="O3" s="1"/>
      <c r="P3" s="1"/>
      <c r="Q3" s="1"/>
      <c r="R3" s="1"/>
      <c r="S3" s="1"/>
      <c r="T3" s="1"/>
      <c r="U3" s="1"/>
      <c r="V3" s="1"/>
      <c r="W3" s="1"/>
      <c r="X3" s="1"/>
      <c r="Y3" s="1"/>
      <c r="Z3" s="1"/>
    </row>
    <row r="4" spans="1:26" ht="15.75" customHeight="1">
      <c r="A4" s="94" t="s">
        <v>78</v>
      </c>
      <c r="B4" s="1376" t="s">
        <v>79</v>
      </c>
      <c r="C4" s="1339"/>
      <c r="D4" s="1339"/>
      <c r="E4" s="1339"/>
      <c r="F4" s="1339"/>
      <c r="G4" s="1339"/>
      <c r="H4" s="1223"/>
      <c r="I4" s="1223"/>
      <c r="J4" s="84"/>
      <c r="K4" s="1"/>
      <c r="L4" s="1"/>
      <c r="M4" s="1"/>
      <c r="N4" s="1"/>
      <c r="O4" s="1"/>
      <c r="P4" s="1"/>
      <c r="Q4" s="1"/>
      <c r="R4" s="1"/>
      <c r="S4" s="1"/>
      <c r="T4" s="1"/>
      <c r="U4" s="1"/>
      <c r="V4" s="1"/>
      <c r="W4" s="1"/>
      <c r="X4" s="1"/>
      <c r="Y4" s="1"/>
      <c r="Z4" s="1"/>
    </row>
    <row r="5" spans="1:26" ht="15.75" customHeight="1">
      <c r="A5" s="94" t="s">
        <v>80</v>
      </c>
      <c r="B5" s="1355" t="s">
        <v>752</v>
      </c>
      <c r="C5" s="1339"/>
      <c r="D5" s="1339"/>
      <c r="E5" s="1339"/>
      <c r="F5" s="1339"/>
      <c r="G5" s="1339"/>
      <c r="H5" s="1223"/>
      <c r="I5" s="1223"/>
      <c r="J5" s="84"/>
      <c r="K5" s="1"/>
      <c r="L5" s="1"/>
      <c r="M5" s="1"/>
      <c r="N5" s="1"/>
      <c r="O5" s="1"/>
      <c r="P5" s="1"/>
      <c r="Q5" s="1"/>
      <c r="R5" s="1"/>
      <c r="S5" s="1"/>
      <c r="T5" s="1"/>
      <c r="U5" s="1"/>
      <c r="V5" s="1"/>
      <c r="W5" s="1"/>
      <c r="X5" s="1"/>
      <c r="Y5" s="1"/>
      <c r="Z5" s="1"/>
    </row>
    <row r="6" spans="1:26" ht="16.5" customHeight="1">
      <c r="A6" s="94" t="s">
        <v>82</v>
      </c>
      <c r="B6" s="1369" t="s">
        <v>632</v>
      </c>
      <c r="C6" s="1339"/>
      <c r="D6" s="1339"/>
      <c r="E6" s="1339"/>
      <c r="F6" s="1339"/>
      <c r="G6" s="1339"/>
      <c r="H6" s="1223"/>
      <c r="I6" s="1223"/>
      <c r="J6" s="88"/>
      <c r="K6" s="95"/>
      <c r="L6" s="95"/>
      <c r="M6" s="95"/>
      <c r="N6" s="95"/>
      <c r="O6" s="95"/>
      <c r="P6" s="95"/>
      <c r="Q6" s="95"/>
      <c r="R6" s="95"/>
      <c r="S6" s="95"/>
      <c r="T6" s="95"/>
      <c r="U6" s="95"/>
      <c r="V6" s="95"/>
      <c r="W6" s="95"/>
      <c r="X6" s="95"/>
      <c r="Y6" s="95"/>
      <c r="Z6" s="95"/>
    </row>
    <row r="7" spans="1:26" ht="15.6">
      <c r="A7" s="97" t="s">
        <v>84</v>
      </c>
      <c r="B7" s="1378" t="s">
        <v>633</v>
      </c>
      <c r="C7" s="1371"/>
      <c r="D7" s="1371"/>
      <c r="E7" s="1371"/>
      <c r="F7" s="1371"/>
      <c r="G7" s="1372"/>
      <c r="H7" s="84"/>
      <c r="I7" s="84"/>
      <c r="J7" s="84"/>
      <c r="K7" s="1"/>
      <c r="L7" s="1"/>
      <c r="M7" s="1"/>
      <c r="N7" s="1"/>
      <c r="O7" s="1"/>
      <c r="P7" s="1"/>
      <c r="Q7" s="1"/>
      <c r="R7" s="1"/>
      <c r="S7" s="1"/>
      <c r="T7" s="1"/>
      <c r="U7" s="1"/>
      <c r="V7" s="1"/>
      <c r="W7" s="1"/>
      <c r="X7" s="1"/>
      <c r="Y7" s="1"/>
      <c r="Z7" s="1"/>
    </row>
    <row r="8" spans="1:26" ht="35.4">
      <c r="A8" s="1224" t="s">
        <v>204</v>
      </c>
      <c r="B8" s="1208" t="s">
        <v>247</v>
      </c>
      <c r="C8" s="1208" t="s">
        <v>753</v>
      </c>
      <c r="D8" s="1208" t="s">
        <v>754</v>
      </c>
      <c r="E8" s="1208" t="s">
        <v>755</v>
      </c>
      <c r="F8" s="1208" t="s">
        <v>756</v>
      </c>
      <c r="G8" s="1208" t="s">
        <v>757</v>
      </c>
      <c r="H8" s="1208" t="s">
        <v>758</v>
      </c>
      <c r="I8" s="1208" t="s">
        <v>759</v>
      </c>
      <c r="J8" s="1225" t="s">
        <v>760</v>
      </c>
      <c r="K8" s="319"/>
      <c r="L8" s="319"/>
      <c r="M8" s="319"/>
      <c r="N8" s="319"/>
      <c r="O8" s="319"/>
      <c r="P8" s="319"/>
      <c r="Q8" s="319"/>
      <c r="R8" s="319"/>
      <c r="S8" s="319"/>
      <c r="T8" s="319"/>
      <c r="U8" s="319"/>
      <c r="V8" s="319"/>
      <c r="W8" s="319"/>
      <c r="X8" s="319"/>
      <c r="Y8" s="319"/>
      <c r="Z8" s="319"/>
    </row>
    <row r="9" spans="1:26" ht="15.6">
      <c r="A9" s="1211" t="s">
        <v>106</v>
      </c>
      <c r="B9" s="14">
        <v>54</v>
      </c>
      <c r="C9" s="1226">
        <v>772.53899999999999</v>
      </c>
      <c r="D9" s="1226">
        <v>1550.4069999999999</v>
      </c>
      <c r="E9" s="103">
        <v>0.49828141900804113</v>
      </c>
      <c r="F9" s="1227">
        <v>1015.557</v>
      </c>
      <c r="G9" s="1227">
        <v>63.165799999999763</v>
      </c>
      <c r="H9" s="103">
        <v>7.0344211638214407E-3</v>
      </c>
      <c r="I9" s="103">
        <v>8.5615255378941338E-2</v>
      </c>
      <c r="J9" s="1228">
        <v>4.1947708837323034</v>
      </c>
      <c r="K9" s="1"/>
      <c r="L9" s="1"/>
      <c r="M9" s="1"/>
      <c r="N9" s="1"/>
      <c r="O9" s="1"/>
      <c r="P9" s="1"/>
      <c r="Q9" s="1"/>
      <c r="R9" s="1"/>
      <c r="S9" s="1"/>
      <c r="T9" s="1"/>
      <c r="U9" s="1"/>
      <c r="V9" s="1"/>
      <c r="W9" s="1"/>
      <c r="X9" s="1"/>
      <c r="Y9" s="1"/>
      <c r="Z9" s="1"/>
    </row>
    <row r="10" spans="1:26" ht="15.6">
      <c r="A10" s="1211" t="s">
        <v>107</v>
      </c>
      <c r="B10" s="14">
        <v>67</v>
      </c>
      <c r="C10" s="1226">
        <v>13791.950999999999</v>
      </c>
      <c r="D10" s="1226">
        <v>15847.194</v>
      </c>
      <c r="E10" s="103">
        <v>0.87030871206599725</v>
      </c>
      <c r="F10" s="1227">
        <v>4797.7370000000001</v>
      </c>
      <c r="G10" s="1227">
        <v>1045.6441999999952</v>
      </c>
      <c r="H10" s="103">
        <v>7.667472862174317E-3</v>
      </c>
      <c r="I10" s="103">
        <v>0.12535883716969029</v>
      </c>
      <c r="J10" s="1228">
        <v>2.6209631630366763</v>
      </c>
      <c r="K10" s="1"/>
      <c r="L10" s="1"/>
      <c r="M10" s="1"/>
      <c r="N10" s="1"/>
      <c r="O10" s="1"/>
      <c r="P10" s="1"/>
      <c r="Q10" s="1"/>
      <c r="R10" s="1"/>
      <c r="S10" s="1"/>
      <c r="T10" s="1"/>
      <c r="U10" s="1"/>
      <c r="V10" s="1"/>
      <c r="W10" s="1"/>
      <c r="X10" s="1"/>
      <c r="Y10" s="1"/>
      <c r="Z10" s="1"/>
    </row>
    <row r="11" spans="1:26" ht="15.6">
      <c r="A11" s="1229" t="s">
        <v>108</v>
      </c>
      <c r="B11" s="1159">
        <v>24</v>
      </c>
      <c r="C11" s="1230">
        <v>20711.123</v>
      </c>
      <c r="D11" s="1230">
        <v>11241.54</v>
      </c>
      <c r="E11" s="1160">
        <v>1.8423741764918329</v>
      </c>
      <c r="F11" s="1231">
        <v>716.23</v>
      </c>
      <c r="G11" s="1231">
        <v>95.186799999999494</v>
      </c>
      <c r="H11" s="1160">
        <v>4.3650452468515705E-2</v>
      </c>
      <c r="I11" s="1160">
        <v>1.0798134936686763</v>
      </c>
      <c r="J11" s="1232">
        <v>1.7451651543788214</v>
      </c>
      <c r="K11" s="995"/>
      <c r="L11" s="995"/>
      <c r="M11" s="995"/>
      <c r="N11" s="995"/>
      <c r="O11" s="995"/>
      <c r="P11" s="995"/>
      <c r="Q11" s="995"/>
      <c r="R11" s="995"/>
      <c r="S11" s="995"/>
      <c r="T11" s="995"/>
      <c r="U11" s="995"/>
      <c r="V11" s="995"/>
      <c r="W11" s="995"/>
      <c r="X11" s="995"/>
      <c r="Y11" s="995"/>
      <c r="Z11" s="995"/>
    </row>
    <row r="12" spans="1:26" ht="15.6">
      <c r="A12" s="1211" t="s">
        <v>109</v>
      </c>
      <c r="B12" s="14">
        <v>37</v>
      </c>
      <c r="C12" s="1226">
        <v>1357.223</v>
      </c>
      <c r="D12" s="1226">
        <v>1375.306</v>
      </c>
      <c r="E12" s="103">
        <v>0.9868516533775028</v>
      </c>
      <c r="F12" s="1227">
        <v>101.46</v>
      </c>
      <c r="G12" s="1227">
        <v>5.8262000000004264</v>
      </c>
      <c r="H12" s="103">
        <v>1.3152379983751258E-3</v>
      </c>
      <c r="I12" s="103">
        <v>1.5793049966067455E-2</v>
      </c>
      <c r="J12" s="1228">
        <v>1.7344817552293235</v>
      </c>
      <c r="K12" s="1"/>
      <c r="L12" s="1"/>
      <c r="M12" s="1"/>
      <c r="N12" s="1"/>
      <c r="O12" s="1"/>
      <c r="P12" s="1"/>
      <c r="Q12" s="1"/>
      <c r="R12" s="1"/>
      <c r="S12" s="1"/>
      <c r="T12" s="1"/>
      <c r="U12" s="1"/>
      <c r="V12" s="1"/>
      <c r="W12" s="1"/>
      <c r="X12" s="1"/>
      <c r="Y12" s="1"/>
      <c r="Z12" s="1"/>
    </row>
    <row r="13" spans="1:26" ht="15.6">
      <c r="A13" s="1211" t="s">
        <v>110</v>
      </c>
      <c r="B13" s="14">
        <v>34</v>
      </c>
      <c r="C13" s="1226">
        <v>33094.771000000001</v>
      </c>
      <c r="D13" s="1226">
        <v>19037.584999999999</v>
      </c>
      <c r="E13" s="103">
        <v>1.7383912402754866</v>
      </c>
      <c r="F13" s="1227">
        <v>12.736000000000001</v>
      </c>
      <c r="G13" s="1227">
        <v>498.72999999999956</v>
      </c>
      <c r="H13" s="103">
        <v>2.9960462555513153E-2</v>
      </c>
      <c r="I13" s="103">
        <v>1.0392553232239119</v>
      </c>
      <c r="J13" s="1228">
        <v>1.1507770660211856</v>
      </c>
      <c r="K13" s="1"/>
      <c r="L13" s="1"/>
      <c r="M13" s="1"/>
      <c r="N13" s="1"/>
      <c r="O13" s="1"/>
      <c r="P13" s="1"/>
      <c r="Q13" s="1"/>
      <c r="R13" s="1"/>
      <c r="S13" s="1"/>
      <c r="T13" s="1"/>
      <c r="U13" s="1"/>
      <c r="V13" s="1"/>
      <c r="W13" s="1"/>
      <c r="X13" s="1"/>
      <c r="Y13" s="1"/>
      <c r="Z13" s="1"/>
    </row>
    <row r="14" spans="1:26" ht="15.6">
      <c r="A14" s="1211" t="s">
        <v>111</v>
      </c>
      <c r="B14" s="14">
        <v>33</v>
      </c>
      <c r="C14" s="1226">
        <v>3094.5920000000001</v>
      </c>
      <c r="D14" s="1226">
        <v>1927.1120000000001</v>
      </c>
      <c r="E14" s="103">
        <v>1.605818447500716</v>
      </c>
      <c r="F14" s="1227">
        <v>1380.83</v>
      </c>
      <c r="G14" s="1227">
        <v>187.54600000000028</v>
      </c>
      <c r="H14" s="103">
        <v>2.9796679237983886E-2</v>
      </c>
      <c r="I14" s="103">
        <v>0.77885972617150745</v>
      </c>
      <c r="J14" s="1228">
        <v>2.4258768506874997</v>
      </c>
      <c r="K14" s="1"/>
      <c r="L14" s="1"/>
      <c r="M14" s="1"/>
      <c r="N14" s="1"/>
      <c r="O14" s="1"/>
      <c r="P14" s="1"/>
      <c r="Q14" s="1"/>
      <c r="R14" s="1"/>
      <c r="S14" s="1"/>
      <c r="T14" s="1"/>
      <c r="U14" s="1"/>
      <c r="V14" s="1"/>
      <c r="W14" s="1"/>
      <c r="X14" s="1"/>
      <c r="Y14" s="1"/>
      <c r="Z14" s="1"/>
    </row>
    <row r="15" spans="1:26" ht="15.6">
      <c r="A15" s="1211" t="s">
        <v>112</v>
      </c>
      <c r="B15" s="14">
        <v>15</v>
      </c>
      <c r="C15" s="1226">
        <v>8763</v>
      </c>
      <c r="D15" s="1226">
        <v>0</v>
      </c>
      <c r="E15" s="103" t="s">
        <v>113</v>
      </c>
      <c r="F15" s="1227">
        <v>2795</v>
      </c>
      <c r="G15" s="1227">
        <v>0</v>
      </c>
      <c r="H15" s="103" t="s">
        <v>113</v>
      </c>
      <c r="I15" s="103" t="s">
        <v>113</v>
      </c>
      <c r="J15" s="1228" t="s">
        <v>113</v>
      </c>
      <c r="K15" s="1"/>
      <c r="L15" s="1"/>
      <c r="M15" s="1"/>
      <c r="N15" s="1"/>
      <c r="O15" s="1"/>
      <c r="P15" s="1"/>
      <c r="Q15" s="1"/>
      <c r="R15" s="1"/>
      <c r="S15" s="1"/>
      <c r="T15" s="1"/>
      <c r="U15" s="1"/>
      <c r="V15" s="1"/>
      <c r="W15" s="1"/>
      <c r="X15" s="1"/>
      <c r="Y15" s="1"/>
      <c r="Z15" s="1"/>
    </row>
    <row r="16" spans="1:26" ht="15.6">
      <c r="A16" s="1211" t="s">
        <v>114</v>
      </c>
      <c r="B16" s="14">
        <v>591</v>
      </c>
      <c r="C16" s="1226">
        <v>4418.3599999999997</v>
      </c>
      <c r="D16" s="1226">
        <v>3.1920000000000002</v>
      </c>
      <c r="E16" s="103" t="s">
        <v>113</v>
      </c>
      <c r="F16" s="1227">
        <v>-3238.2080000000001</v>
      </c>
      <c r="G16" s="1227">
        <v>0</v>
      </c>
      <c r="H16" s="103" t="s">
        <v>113</v>
      </c>
      <c r="I16" s="103" t="s">
        <v>113</v>
      </c>
      <c r="J16" s="1228" t="s">
        <v>113</v>
      </c>
      <c r="K16" s="1"/>
      <c r="L16" s="1"/>
      <c r="M16" s="1"/>
      <c r="N16" s="1"/>
      <c r="O16" s="1"/>
      <c r="P16" s="1"/>
      <c r="Q16" s="1"/>
      <c r="R16" s="1"/>
      <c r="S16" s="1"/>
      <c r="T16" s="1"/>
      <c r="U16" s="1"/>
      <c r="V16" s="1"/>
      <c r="W16" s="1"/>
      <c r="X16" s="1"/>
      <c r="Y16" s="1"/>
      <c r="Z16" s="1"/>
    </row>
    <row r="17" spans="1:10" ht="15.6">
      <c r="A17" s="1211" t="s">
        <v>115</v>
      </c>
      <c r="B17" s="14">
        <v>18</v>
      </c>
      <c r="C17" s="1226">
        <v>2494.6149999999998</v>
      </c>
      <c r="D17" s="1226">
        <v>862.77800000000002</v>
      </c>
      <c r="E17" s="103">
        <v>2.8913753016419053</v>
      </c>
      <c r="F17" s="1227">
        <v>158.048</v>
      </c>
      <c r="G17" s="1227">
        <v>0</v>
      </c>
      <c r="H17" s="103">
        <v>6.208213696143839E-2</v>
      </c>
      <c r="I17" s="103">
        <v>0.33305508768719128</v>
      </c>
      <c r="J17" s="1228">
        <v>0.8510742188918321</v>
      </c>
    </row>
    <row r="18" spans="1:10" ht="15.6">
      <c r="A18" s="1211" t="s">
        <v>116</v>
      </c>
      <c r="B18" s="14">
        <v>29</v>
      </c>
      <c r="C18" s="1226">
        <v>9387.6890000000003</v>
      </c>
      <c r="D18" s="1226">
        <v>4781.0469999999996</v>
      </c>
      <c r="E18" s="103">
        <v>1.9635215884721486</v>
      </c>
      <c r="F18" s="1227">
        <v>354.64100000000002</v>
      </c>
      <c r="G18" s="1227">
        <v>13.690799999996671</v>
      </c>
      <c r="H18" s="103">
        <v>2.82972262332606E-2</v>
      </c>
      <c r="I18" s="103">
        <v>0.17527804157770854</v>
      </c>
      <c r="J18" s="1228">
        <v>1.6739557556528541</v>
      </c>
    </row>
    <row r="19" spans="1:10" ht="15.6">
      <c r="A19" s="1211" t="s">
        <v>117</v>
      </c>
      <c r="B19" s="14">
        <v>22</v>
      </c>
      <c r="C19" s="1226">
        <v>1313.4259999999999</v>
      </c>
      <c r="D19" s="1226">
        <v>3036.0509999999999</v>
      </c>
      <c r="E19" s="103">
        <v>0.43260999238813841</v>
      </c>
      <c r="F19" s="1227">
        <v>68.61</v>
      </c>
      <c r="G19" s="1227">
        <v>4.0000000000873115E-2</v>
      </c>
      <c r="H19" s="103">
        <v>-2.3811837570292042E-2</v>
      </c>
      <c r="I19" s="103">
        <v>-0.22993199266639361</v>
      </c>
      <c r="J19" s="1228">
        <v>1.1351345250311251</v>
      </c>
    </row>
    <row r="20" spans="1:10" ht="15.6">
      <c r="A20" s="1211" t="s">
        <v>118</v>
      </c>
      <c r="B20" s="14">
        <v>30</v>
      </c>
      <c r="C20" s="1226">
        <v>7224.451</v>
      </c>
      <c r="D20" s="1226">
        <v>5515.2690000000002</v>
      </c>
      <c r="E20" s="103">
        <v>1.3099000248219987</v>
      </c>
      <c r="F20" s="1227">
        <v>130.32499999999999</v>
      </c>
      <c r="G20" s="1227">
        <v>1.7868000000000848</v>
      </c>
      <c r="H20" s="103" t="s">
        <v>113</v>
      </c>
      <c r="I20" s="103" t="s">
        <v>113</v>
      </c>
      <c r="J20" s="1228" t="s">
        <v>113</v>
      </c>
    </row>
    <row r="21" spans="1:10" ht="15.75" customHeight="1">
      <c r="A21" s="1211" t="s">
        <v>119</v>
      </c>
      <c r="B21" s="14">
        <v>39</v>
      </c>
      <c r="C21" s="1226">
        <v>4233.2060000000001</v>
      </c>
      <c r="D21" s="1226">
        <v>3908.09</v>
      </c>
      <c r="E21" s="103">
        <v>1.0831905099421968</v>
      </c>
      <c r="F21" s="1227">
        <v>17532.316999999999</v>
      </c>
      <c r="G21" s="1227">
        <v>203.71000000000276</v>
      </c>
      <c r="H21" s="103">
        <v>0.14426831998455231</v>
      </c>
      <c r="I21" s="103">
        <v>1.4052551275259479</v>
      </c>
      <c r="J21" s="1228">
        <v>2.6563018278622499</v>
      </c>
    </row>
    <row r="22" spans="1:10" ht="15.75" customHeight="1">
      <c r="A22" s="1211" t="s">
        <v>120</v>
      </c>
      <c r="B22" s="14">
        <v>152</v>
      </c>
      <c r="C22" s="1226">
        <v>7372.0709999999999</v>
      </c>
      <c r="D22" s="1226">
        <v>10641.826999999999</v>
      </c>
      <c r="E22" s="103">
        <v>0.69274486420423864</v>
      </c>
      <c r="F22" s="1227">
        <v>2448.7179999999998</v>
      </c>
      <c r="G22" s="1227">
        <v>514.62039999999979</v>
      </c>
      <c r="H22" s="103">
        <v>-1.1791142392289103E-3</v>
      </c>
      <c r="I22" s="103">
        <v>-1.2790880149406283E-2</v>
      </c>
      <c r="J22" s="1228">
        <v>2.6612038226413137</v>
      </c>
    </row>
    <row r="23" spans="1:10" ht="15.75" customHeight="1">
      <c r="A23" s="1211" t="s">
        <v>121</v>
      </c>
      <c r="B23" s="14">
        <v>9</v>
      </c>
      <c r="C23" s="1226">
        <v>27407.7</v>
      </c>
      <c r="D23" s="1226">
        <v>28042.799999999999</v>
      </c>
      <c r="E23" s="103">
        <v>0.9773524755017331</v>
      </c>
      <c r="F23" s="1227">
        <v>195.08</v>
      </c>
      <c r="G23" s="1227">
        <v>-30.19999999999709</v>
      </c>
      <c r="H23" s="103">
        <v>-2.1867097231432308E-3</v>
      </c>
      <c r="I23" s="103">
        <v>-1.5523762142520768E-2</v>
      </c>
      <c r="J23" s="1228">
        <v>0.85037679570699942</v>
      </c>
    </row>
    <row r="24" spans="1:10" ht="15.75" customHeight="1">
      <c r="A24" s="1211" t="s">
        <v>122</v>
      </c>
      <c r="B24" s="14">
        <v>31</v>
      </c>
      <c r="C24" s="1226">
        <v>7331.5339999999997</v>
      </c>
      <c r="D24" s="1226">
        <v>3183.0740000000001</v>
      </c>
      <c r="E24" s="103">
        <v>2.3032873253967705</v>
      </c>
      <c r="F24" s="1227">
        <v>425.6</v>
      </c>
      <c r="G24" s="1227">
        <v>-1.8415999999997439</v>
      </c>
      <c r="H24" s="103">
        <v>3.746685791879284E-2</v>
      </c>
      <c r="I24" s="103">
        <v>0.72998533350701345</v>
      </c>
      <c r="J24" s="1228">
        <v>1.5856091699425192</v>
      </c>
    </row>
    <row r="25" spans="1:10" ht="15.75" customHeight="1">
      <c r="A25" s="1211" t="s">
        <v>123</v>
      </c>
      <c r="B25" s="14">
        <v>4</v>
      </c>
      <c r="C25" s="1226">
        <v>692.6</v>
      </c>
      <c r="D25" s="1226">
        <v>642.53</v>
      </c>
      <c r="E25" s="103">
        <v>1.0779263225063422</v>
      </c>
      <c r="F25" s="1227">
        <v>0</v>
      </c>
      <c r="G25" s="1227">
        <v>-12.107200000000034</v>
      </c>
      <c r="H25" s="103">
        <v>3.09597381827909E-3</v>
      </c>
      <c r="I25" s="103">
        <v>6.9088538031224847E-2</v>
      </c>
      <c r="J25" s="1228">
        <v>1.3096090731277268</v>
      </c>
    </row>
    <row r="26" spans="1:10" ht="15.75" customHeight="1">
      <c r="A26" s="1211" t="s">
        <v>124</v>
      </c>
      <c r="B26" s="14">
        <v>60</v>
      </c>
      <c r="C26" s="1226">
        <v>18312.044999999998</v>
      </c>
      <c r="D26" s="1226">
        <v>11082.411</v>
      </c>
      <c r="E26" s="103">
        <v>1.6523520919770975</v>
      </c>
      <c r="F26" s="1227">
        <v>3674.0720000000001</v>
      </c>
      <c r="G26" s="1227">
        <v>-98.920200000000477</v>
      </c>
      <c r="H26" s="103">
        <v>5.2027275641348188E-2</v>
      </c>
      <c r="I26" s="103">
        <v>0.53222546132428239</v>
      </c>
      <c r="J26" s="1228">
        <v>1.1344320373825643</v>
      </c>
    </row>
    <row r="27" spans="1:10" ht="15.75" customHeight="1">
      <c r="A27" s="1211" t="s">
        <v>125</v>
      </c>
      <c r="B27" s="14">
        <v>16</v>
      </c>
      <c r="C27" s="1226">
        <v>780.23199999999997</v>
      </c>
      <c r="D27" s="1226">
        <v>648.58000000000004</v>
      </c>
      <c r="E27" s="103">
        <v>1.2029849825773227</v>
      </c>
      <c r="F27" s="1227">
        <v>198.3</v>
      </c>
      <c r="G27" s="1227">
        <v>-5.5119999999999436</v>
      </c>
      <c r="H27" s="103">
        <v>4.1818439606614841E-2</v>
      </c>
      <c r="I27" s="103">
        <v>0.48888409345958084</v>
      </c>
      <c r="J27" s="1228">
        <v>1.2410014770236968</v>
      </c>
    </row>
    <row r="28" spans="1:10" ht="15.75" customHeight="1">
      <c r="A28" s="1211" t="s">
        <v>126</v>
      </c>
      <c r="B28" s="14">
        <v>63</v>
      </c>
      <c r="C28" s="1226">
        <v>3264.6190000000001</v>
      </c>
      <c r="D28" s="1226">
        <v>8930.2469999999994</v>
      </c>
      <c r="E28" s="103">
        <v>0.36556872391099599</v>
      </c>
      <c r="F28" s="1227">
        <v>5659.7889999999998</v>
      </c>
      <c r="G28" s="1227">
        <v>459.91860000000088</v>
      </c>
      <c r="H28" s="103">
        <v>1.3792624153242633E-3</v>
      </c>
      <c r="I28" s="103">
        <v>2.6153830380117933E-2</v>
      </c>
      <c r="J28" s="1228">
        <v>4.7139988082338196</v>
      </c>
    </row>
    <row r="29" spans="1:10" ht="15.75" customHeight="1">
      <c r="A29" s="1211" t="s">
        <v>127</v>
      </c>
      <c r="B29" s="14">
        <v>35</v>
      </c>
      <c r="C29" s="1226">
        <v>16066.353999999999</v>
      </c>
      <c r="D29" s="1226">
        <v>16083.953</v>
      </c>
      <c r="E29" s="103">
        <v>0.99890580381576588</v>
      </c>
      <c r="F29" s="1227">
        <v>373.1</v>
      </c>
      <c r="G29" s="1227">
        <v>1727.4875999999931</v>
      </c>
      <c r="H29" s="103">
        <v>3.3470274962448718E-3</v>
      </c>
      <c r="I29" s="103">
        <v>1.9107648993274811E-2</v>
      </c>
      <c r="J29" s="1228">
        <v>3.3449300664684207</v>
      </c>
    </row>
    <row r="30" spans="1:10" ht="15.75" customHeight="1">
      <c r="A30" s="1211" t="s">
        <v>128</v>
      </c>
      <c r="B30" s="14">
        <v>46</v>
      </c>
      <c r="C30" s="1226">
        <v>10236.395</v>
      </c>
      <c r="D30" s="1226">
        <v>6621.9139999999998</v>
      </c>
      <c r="E30" s="103">
        <v>1.5458362944610879</v>
      </c>
      <c r="F30" s="1227">
        <v>4525.9189999999999</v>
      </c>
      <c r="G30" s="1227">
        <v>38.983599999999569</v>
      </c>
      <c r="H30" s="103">
        <v>3.8508067346589604E-2</v>
      </c>
      <c r="I30" s="103">
        <v>0.32793450647967937</v>
      </c>
      <c r="J30" s="1228">
        <v>1.5644347993202348</v>
      </c>
    </row>
    <row r="31" spans="1:10" ht="15.75" customHeight="1">
      <c r="A31" s="1211" t="s">
        <v>129</v>
      </c>
      <c r="B31" s="14">
        <v>21</v>
      </c>
      <c r="C31" s="1226">
        <v>22431.226999999999</v>
      </c>
      <c r="D31" s="1226">
        <v>16629.95</v>
      </c>
      <c r="E31" s="103">
        <v>1.3488451258121641</v>
      </c>
      <c r="F31" s="1227">
        <v>7895.25</v>
      </c>
      <c r="G31" s="1227">
        <v>149.92199999999139</v>
      </c>
      <c r="H31" s="103">
        <v>3.0015662439102954E-2</v>
      </c>
      <c r="I31" s="103">
        <v>0.11273550363694786</v>
      </c>
      <c r="J31" s="1228">
        <v>0.79974779181477329</v>
      </c>
    </row>
    <row r="32" spans="1:10" ht="15.75" customHeight="1">
      <c r="A32" s="1211" t="s">
        <v>130</v>
      </c>
      <c r="B32" s="14">
        <v>535</v>
      </c>
      <c r="C32" s="1226">
        <v>6752.6350000000002</v>
      </c>
      <c r="D32" s="1226">
        <v>22231.119999999999</v>
      </c>
      <c r="E32" s="103">
        <v>0.30374695471933039</v>
      </c>
      <c r="F32" s="1227">
        <v>53156.216</v>
      </c>
      <c r="G32" s="1227">
        <v>12429.676997999999</v>
      </c>
      <c r="H32" s="103">
        <v>0.24938461994507974</v>
      </c>
      <c r="I32" s="103" t="s">
        <v>113</v>
      </c>
      <c r="J32" s="1228">
        <v>0.93339464274042372</v>
      </c>
    </row>
    <row r="33" spans="1:26" ht="15.75" customHeight="1">
      <c r="A33" s="1211" t="s">
        <v>131</v>
      </c>
      <c r="B33" s="14">
        <v>231</v>
      </c>
      <c r="C33" s="1226">
        <v>19335.474999999999</v>
      </c>
      <c r="D33" s="1226">
        <v>31381.07</v>
      </c>
      <c r="E33" s="103">
        <v>0.61615091518549236</v>
      </c>
      <c r="F33" s="1227">
        <v>88331.285000000003</v>
      </c>
      <c r="G33" s="1227">
        <v>10070.160599999988</v>
      </c>
      <c r="H33" s="103">
        <v>0.23936246817779333</v>
      </c>
      <c r="I33" s="103">
        <v>1.1926276388191344</v>
      </c>
      <c r="J33" s="1228">
        <v>1.0148579813307739</v>
      </c>
    </row>
    <row r="34" spans="1:26" ht="15.75" customHeight="1">
      <c r="A34" s="1211" t="s">
        <v>132</v>
      </c>
      <c r="B34" s="14">
        <v>29</v>
      </c>
      <c r="C34" s="1226">
        <v>716.01400000000001</v>
      </c>
      <c r="D34" s="1226">
        <v>592.01800000000003</v>
      </c>
      <c r="E34" s="103">
        <v>1.2094463344019946</v>
      </c>
      <c r="F34" s="1227">
        <v>50.771000000000001</v>
      </c>
      <c r="G34" s="1227">
        <v>30.533200000000079</v>
      </c>
      <c r="H34" s="103">
        <v>8.9103062021790337E-3</v>
      </c>
      <c r="I34" s="103">
        <v>0.14958558730499469</v>
      </c>
      <c r="J34" s="1228">
        <v>1.859008910079772</v>
      </c>
    </row>
    <row r="35" spans="1:26" ht="15.75" customHeight="1">
      <c r="A35" s="1211" t="s">
        <v>133</v>
      </c>
      <c r="B35" s="14">
        <v>101</v>
      </c>
      <c r="C35" s="1226">
        <v>6352.8890000000001</v>
      </c>
      <c r="D35" s="1226">
        <v>6062.74</v>
      </c>
      <c r="E35" s="103">
        <v>1.0478577342917559</v>
      </c>
      <c r="F35" s="1227">
        <v>12858.089</v>
      </c>
      <c r="G35" s="1227">
        <v>324.48840000000018</v>
      </c>
      <c r="H35" s="103">
        <v>0.10742964307899272</v>
      </c>
      <c r="I35" s="103">
        <v>2.0029863141736564</v>
      </c>
      <c r="J35" s="1228">
        <v>2.0875371987638252</v>
      </c>
    </row>
    <row r="36" spans="1:26" ht="15.75" customHeight="1">
      <c r="A36" s="1211" t="s">
        <v>134</v>
      </c>
      <c r="B36" s="14">
        <v>11</v>
      </c>
      <c r="C36" s="1226">
        <v>67.930000000000007</v>
      </c>
      <c r="D36" s="1226">
        <v>83.977999999999994</v>
      </c>
      <c r="E36" s="103">
        <v>0.8089023315630286</v>
      </c>
      <c r="F36" s="1227">
        <v>12.282999999999999</v>
      </c>
      <c r="G36" s="1227">
        <v>10.935000000000002</v>
      </c>
      <c r="H36" s="103">
        <v>2.1872119179560689E-3</v>
      </c>
      <c r="I36" s="103" t="s">
        <v>113</v>
      </c>
      <c r="J36" s="1228">
        <v>2.7373984741056008</v>
      </c>
    </row>
    <row r="37" spans="1:26" ht="15.75" customHeight="1">
      <c r="A37" s="1211" t="s">
        <v>135</v>
      </c>
      <c r="B37" s="14">
        <v>122</v>
      </c>
      <c r="C37" s="1226">
        <v>5079.1790000000001</v>
      </c>
      <c r="D37" s="1226">
        <v>3681.837</v>
      </c>
      <c r="E37" s="103">
        <v>1.3795230478698541</v>
      </c>
      <c r="F37" s="1227">
        <v>5713.1509999999998</v>
      </c>
      <c r="G37" s="1227">
        <v>147.37299999999959</v>
      </c>
      <c r="H37" s="103">
        <v>4.7231927571202502E-2</v>
      </c>
      <c r="I37" s="103">
        <v>0.71249169450335803</v>
      </c>
      <c r="J37" s="1228">
        <v>2.1729517723710456</v>
      </c>
    </row>
    <row r="38" spans="1:26" ht="15.75" customHeight="1">
      <c r="A38" s="1211" t="s">
        <v>136</v>
      </c>
      <c r="B38" s="14">
        <v>42</v>
      </c>
      <c r="C38" s="1226">
        <v>3481.2240000000002</v>
      </c>
      <c r="D38" s="1226">
        <v>2394.2979999999998</v>
      </c>
      <c r="E38" s="103">
        <v>1.4539643770324331</v>
      </c>
      <c r="F38" s="1227">
        <v>4595.5469999999996</v>
      </c>
      <c r="G38" s="1227">
        <v>3.5995999999995547</v>
      </c>
      <c r="H38" s="103">
        <v>3.8518528825321197E-2</v>
      </c>
      <c r="I38" s="103">
        <v>0.89494188737889679</v>
      </c>
      <c r="J38" s="1228">
        <v>3.8629620708907382</v>
      </c>
    </row>
    <row r="39" spans="1:26" ht="15.75" customHeight="1">
      <c r="A39" s="1211" t="s">
        <v>137</v>
      </c>
      <c r="B39" s="14">
        <v>96</v>
      </c>
      <c r="C39" s="1226">
        <v>9296.0300000000007</v>
      </c>
      <c r="D39" s="1226">
        <v>20334.935000000001</v>
      </c>
      <c r="E39" s="103">
        <v>0.4571457936796946</v>
      </c>
      <c r="F39" s="1227">
        <v>887.46799999999996</v>
      </c>
      <c r="G39" s="1227">
        <v>305.47539999999935</v>
      </c>
      <c r="H39" s="103">
        <v>-3.9181988163196985E-2</v>
      </c>
      <c r="I39" s="103">
        <v>-0.64089325167529942</v>
      </c>
      <c r="J39" s="1228">
        <v>1.4069695142199781</v>
      </c>
    </row>
    <row r="40" spans="1:26" ht="15.75" customHeight="1">
      <c r="A40" s="1211" t="s">
        <v>138</v>
      </c>
      <c r="B40" s="14">
        <v>50</v>
      </c>
      <c r="C40" s="1226">
        <v>6405.7759999999998</v>
      </c>
      <c r="D40" s="1226">
        <v>5131.7929999999997</v>
      </c>
      <c r="E40" s="103">
        <v>1.2482529985133852</v>
      </c>
      <c r="F40" s="1227">
        <v>3432.752</v>
      </c>
      <c r="G40" s="1227">
        <v>26.235399999999572</v>
      </c>
      <c r="H40" s="103">
        <v>6.417199514719471E-2</v>
      </c>
      <c r="I40" s="103">
        <v>0.55300581559613471</v>
      </c>
      <c r="J40" s="1228">
        <v>2.3193890855856671</v>
      </c>
    </row>
    <row r="41" spans="1:26" ht="15.75" customHeight="1">
      <c r="A41" s="1211" t="s">
        <v>139</v>
      </c>
      <c r="B41" s="14">
        <v>35</v>
      </c>
      <c r="C41" s="1226">
        <v>9068.4920000000002</v>
      </c>
      <c r="D41" s="1226">
        <v>4583.5069999999996</v>
      </c>
      <c r="E41" s="103">
        <v>1.9785051053701894</v>
      </c>
      <c r="F41" s="1227">
        <v>3146.9250000000002</v>
      </c>
      <c r="G41" s="1227">
        <v>98.152200000000448</v>
      </c>
      <c r="H41" s="103">
        <v>3.3604203348605408E-2</v>
      </c>
      <c r="I41" s="103">
        <v>0.59396197483729174</v>
      </c>
      <c r="J41" s="1228">
        <v>1.5671727482197484</v>
      </c>
    </row>
    <row r="42" spans="1:26" ht="15.75" customHeight="1">
      <c r="A42" s="1211" t="s">
        <v>254</v>
      </c>
      <c r="B42" s="14">
        <v>166</v>
      </c>
      <c r="C42" s="1226">
        <v>14831.9</v>
      </c>
      <c r="D42" s="1226">
        <v>20839.396000000001</v>
      </c>
      <c r="E42" s="103">
        <v>0.71172408259817121</v>
      </c>
      <c r="F42" s="1227">
        <v>15815.554</v>
      </c>
      <c r="G42" s="1227">
        <v>160.2048000000068</v>
      </c>
      <c r="H42" s="103">
        <v>1.7918660321226597E-2</v>
      </c>
      <c r="I42" s="103">
        <v>0.13540900170393369</v>
      </c>
      <c r="J42" s="1228">
        <v>6.8100315171778836E-2</v>
      </c>
    </row>
    <row r="43" spans="1:26" ht="15.75" customHeight="1">
      <c r="A43" s="1211" t="s">
        <v>141</v>
      </c>
      <c r="B43" s="14">
        <v>77</v>
      </c>
      <c r="C43" s="1226">
        <v>11356.067999999999</v>
      </c>
      <c r="D43" s="1226">
        <v>7071.5879999999997</v>
      </c>
      <c r="E43" s="103">
        <v>1.6058724009373848</v>
      </c>
      <c r="F43" s="1227">
        <v>8016.1080000000002</v>
      </c>
      <c r="G43" s="1227">
        <v>103.11800000000221</v>
      </c>
      <c r="H43" s="103">
        <v>4.3559980139493436E-2</v>
      </c>
      <c r="I43" s="103">
        <v>0.47314613666322575</v>
      </c>
      <c r="J43" s="1228">
        <v>1.6975230664187548</v>
      </c>
    </row>
    <row r="44" spans="1:26" ht="15.75" customHeight="1">
      <c r="A44" s="1211" t="s">
        <v>142</v>
      </c>
      <c r="B44" s="14">
        <v>14</v>
      </c>
      <c r="C44" s="1226">
        <v>2295.3829999999998</v>
      </c>
      <c r="D44" s="1226">
        <v>931.46500000000003</v>
      </c>
      <c r="E44" s="103">
        <v>2.4642718728025206</v>
      </c>
      <c r="F44" s="1227">
        <v>1952.27</v>
      </c>
      <c r="G44" s="1227">
        <v>0</v>
      </c>
      <c r="H44" s="103">
        <v>1.4365742505631607E-2</v>
      </c>
      <c r="I44" s="103">
        <v>0.71264328789071807</v>
      </c>
      <c r="J44" s="1228">
        <v>7.7773250651796788</v>
      </c>
    </row>
    <row r="45" spans="1:26" ht="15.75" customHeight="1">
      <c r="A45" s="1211" t="s">
        <v>143</v>
      </c>
      <c r="B45" s="14">
        <v>28</v>
      </c>
      <c r="C45" s="1226">
        <v>1646.009</v>
      </c>
      <c r="D45" s="1226">
        <v>1247.163</v>
      </c>
      <c r="E45" s="103">
        <v>1.319802624035511</v>
      </c>
      <c r="F45" s="1227">
        <v>179.61600000000001</v>
      </c>
      <c r="G45" s="1227">
        <v>38.330200000000332</v>
      </c>
      <c r="H45" s="103">
        <v>1.1233594701056575E-2</v>
      </c>
      <c r="I45" s="103">
        <v>0.19937721728035906</v>
      </c>
      <c r="J45" s="1228">
        <v>1.9591798093994046</v>
      </c>
    </row>
    <row r="46" spans="1:26" ht="15.75" customHeight="1">
      <c r="A46" s="1211" t="s">
        <v>144</v>
      </c>
      <c r="B46" s="14">
        <v>18</v>
      </c>
      <c r="C46" s="1226">
        <v>4105.6610000000001</v>
      </c>
      <c r="D46" s="1226">
        <v>2471.1179999999999</v>
      </c>
      <c r="E46" s="103">
        <v>1.6614589024077362</v>
      </c>
      <c r="F46" s="1227">
        <v>1533.5</v>
      </c>
      <c r="G46" s="1227">
        <v>-3.0624000000000251</v>
      </c>
      <c r="H46" s="103">
        <v>0.38159403354479288</v>
      </c>
      <c r="I46" s="103">
        <v>1.9440926748086178</v>
      </c>
      <c r="J46" s="1228">
        <v>0.1882582558306389</v>
      </c>
    </row>
    <row r="47" spans="1:26" ht="15.75" customHeight="1">
      <c r="A47" s="1211" t="s">
        <v>145</v>
      </c>
      <c r="B47" s="14">
        <v>218</v>
      </c>
      <c r="C47" s="1226">
        <v>11793.031000000001</v>
      </c>
      <c r="D47" s="1226">
        <v>13416.057000000001</v>
      </c>
      <c r="E47" s="103">
        <v>0.8790236207255232</v>
      </c>
      <c r="F47" s="1227">
        <v>12476.258</v>
      </c>
      <c r="G47" s="1227">
        <v>394.04119999999966</v>
      </c>
      <c r="H47" s="103">
        <v>4.5760403063886256E-2</v>
      </c>
      <c r="I47" s="103">
        <v>0.36555755382077676</v>
      </c>
      <c r="J47" s="1228">
        <v>1.3345092640558633</v>
      </c>
    </row>
    <row r="48" spans="1:26" ht="15.75" customHeight="1">
      <c r="A48" s="1229" t="s">
        <v>146</v>
      </c>
      <c r="B48" s="1159">
        <v>113</v>
      </c>
      <c r="C48" s="1230">
        <v>15514.422</v>
      </c>
      <c r="D48" s="1230">
        <v>19226.241000000002</v>
      </c>
      <c r="E48" s="1160">
        <v>0.80693995253674389</v>
      </c>
      <c r="F48" s="1231">
        <v>21975.907999999999</v>
      </c>
      <c r="G48" s="1231">
        <v>-58.718000000008033</v>
      </c>
      <c r="H48" s="1160">
        <v>7.4326015889880203E-3</v>
      </c>
      <c r="I48" s="1160">
        <v>0.28207644961736833</v>
      </c>
      <c r="J48" s="1232">
        <v>14.649503528884146</v>
      </c>
      <c r="K48" s="995"/>
      <c r="L48" s="995"/>
      <c r="M48" s="995"/>
      <c r="N48" s="995"/>
      <c r="O48" s="995"/>
      <c r="P48" s="995"/>
      <c r="Q48" s="995"/>
      <c r="R48" s="995"/>
      <c r="S48" s="995"/>
      <c r="T48" s="995"/>
      <c r="U48" s="995"/>
      <c r="V48" s="995"/>
      <c r="W48" s="995"/>
      <c r="X48" s="995"/>
      <c r="Y48" s="995"/>
      <c r="Z48" s="995"/>
    </row>
    <row r="49" spans="1:10" ht="15.75" customHeight="1">
      <c r="A49" s="1211" t="s">
        <v>255</v>
      </c>
      <c r="B49" s="14">
        <v>116</v>
      </c>
      <c r="C49" s="1226">
        <v>6021.3530000000001</v>
      </c>
      <c r="D49" s="1226">
        <v>11133.464</v>
      </c>
      <c r="E49" s="103">
        <v>0.54083374231056924</v>
      </c>
      <c r="F49" s="1227">
        <v>13063.894</v>
      </c>
      <c r="G49" s="1227">
        <v>136.78120000000126</v>
      </c>
      <c r="H49" s="103">
        <v>5.3782455461152928E-2</v>
      </c>
      <c r="I49" s="103">
        <v>0.47059820253521084</v>
      </c>
      <c r="J49" s="1228">
        <v>1.2215732596318463</v>
      </c>
    </row>
    <row r="50" spans="1:10" ht="15.75" customHeight="1">
      <c r="A50" s="1211" t="s">
        <v>148</v>
      </c>
      <c r="B50" s="14">
        <v>30</v>
      </c>
      <c r="C50" s="1226">
        <v>1005.293</v>
      </c>
      <c r="D50" s="1226">
        <v>851.69500000000005</v>
      </c>
      <c r="E50" s="103">
        <v>1.1803439024533431</v>
      </c>
      <c r="F50" s="1227">
        <v>1112.9970000000001</v>
      </c>
      <c r="G50" s="1227">
        <v>0</v>
      </c>
      <c r="H50" s="103">
        <v>7.2897973513516611E-3</v>
      </c>
      <c r="I50" s="103">
        <v>6.0900281354400301E-2</v>
      </c>
      <c r="J50" s="1228">
        <v>1.6411183820582911</v>
      </c>
    </row>
    <row r="51" spans="1:10" ht="15.75" customHeight="1">
      <c r="A51" s="1211" t="s">
        <v>149</v>
      </c>
      <c r="B51" s="14">
        <v>33</v>
      </c>
      <c r="C51" s="1226">
        <v>9212.83</v>
      </c>
      <c r="D51" s="1226">
        <v>6743.1</v>
      </c>
      <c r="E51" s="103">
        <v>1.366260325369637</v>
      </c>
      <c r="F51" s="1227">
        <v>2170.5590000000002</v>
      </c>
      <c r="G51" s="1227">
        <v>-1.7528000000020256</v>
      </c>
      <c r="H51" s="103">
        <v>2.9405357811535238E-2</v>
      </c>
      <c r="I51" s="103">
        <v>0.30639916164823394</v>
      </c>
      <c r="J51" s="1228">
        <v>1.9243115204339636</v>
      </c>
    </row>
    <row r="52" spans="1:10" ht="15.75" customHeight="1">
      <c r="A52" s="1211" t="s">
        <v>150</v>
      </c>
      <c r="B52" s="14">
        <v>65</v>
      </c>
      <c r="C52" s="1226">
        <v>16851.113000000001</v>
      </c>
      <c r="D52" s="1226">
        <v>15046.31</v>
      </c>
      <c r="E52" s="103">
        <v>1.119949874753345</v>
      </c>
      <c r="F52" s="1227">
        <v>2454.6959999999999</v>
      </c>
      <c r="G52" s="1227">
        <v>126.84019999999873</v>
      </c>
      <c r="H52" s="103">
        <v>2.0250230278927431E-2</v>
      </c>
      <c r="I52" s="103">
        <v>0.16199260652304906</v>
      </c>
      <c r="J52" s="1228">
        <v>0.97629779651195581</v>
      </c>
    </row>
    <row r="53" spans="1:10" ht="15.75" customHeight="1">
      <c r="A53" s="1211" t="s">
        <v>151</v>
      </c>
      <c r="B53" s="14">
        <v>101</v>
      </c>
      <c r="C53" s="1226">
        <v>7638.6980000000003</v>
      </c>
      <c r="D53" s="1226">
        <v>7704.9250000000002</v>
      </c>
      <c r="E53" s="103">
        <v>0.99140458862351033</v>
      </c>
      <c r="F53" s="1227">
        <v>471.51400000000001</v>
      </c>
      <c r="G53" s="1227">
        <v>66.024199999999837</v>
      </c>
      <c r="H53" s="103">
        <v>2.1758104872275021E-3</v>
      </c>
      <c r="I53" s="103">
        <v>1.5255941462272679E-2</v>
      </c>
      <c r="J53" s="1228">
        <v>2.2174325440773912</v>
      </c>
    </row>
    <row r="54" spans="1:10" ht="15.75" customHeight="1">
      <c r="A54" s="1211" t="s">
        <v>152</v>
      </c>
      <c r="B54" s="14">
        <v>16</v>
      </c>
      <c r="C54" s="1226">
        <v>788.81</v>
      </c>
      <c r="D54" s="1226">
        <v>2012.97</v>
      </c>
      <c r="E54" s="103">
        <v>0.39186376349374302</v>
      </c>
      <c r="F54" s="1227">
        <v>2649</v>
      </c>
      <c r="G54" s="1227">
        <v>37.649999999999636</v>
      </c>
      <c r="H54" s="103">
        <v>3.7257759220243887E-2</v>
      </c>
      <c r="I54" s="103">
        <v>0.39684457266285533</v>
      </c>
      <c r="J54" s="1228">
        <v>2.7320131450914822</v>
      </c>
    </row>
    <row r="55" spans="1:10" ht="15.75" customHeight="1">
      <c r="A55" s="1211" t="s">
        <v>153</v>
      </c>
      <c r="B55" s="14">
        <v>22</v>
      </c>
      <c r="C55" s="1226">
        <v>722.69100000000003</v>
      </c>
      <c r="D55" s="1226">
        <v>6137.7910000000002</v>
      </c>
      <c r="E55" s="103">
        <v>0.11774447842880281</v>
      </c>
      <c r="F55" s="1227">
        <v>5866.43</v>
      </c>
      <c r="G55" s="1227">
        <v>0.94959999999991851</v>
      </c>
      <c r="H55" s="103">
        <v>4.719125790251846E-3</v>
      </c>
      <c r="I55" s="103">
        <v>3.4409293942384581E-2</v>
      </c>
      <c r="J55" s="1228">
        <v>1.1641427939095834</v>
      </c>
    </row>
    <row r="56" spans="1:10" ht="15.75" customHeight="1">
      <c r="A56" s="1211" t="s">
        <v>154</v>
      </c>
      <c r="B56" s="14">
        <v>19</v>
      </c>
      <c r="C56" s="1226">
        <v>389.32100000000003</v>
      </c>
      <c r="D56" s="1226">
        <v>3789.56</v>
      </c>
      <c r="E56" s="103">
        <v>0.10273514603278482</v>
      </c>
      <c r="F56" s="1227">
        <v>509.6</v>
      </c>
      <c r="G56" s="1227">
        <v>0</v>
      </c>
      <c r="H56" s="103">
        <v>-1.1900991639857614E-2</v>
      </c>
      <c r="I56" s="103">
        <v>-0.19111261795626044</v>
      </c>
      <c r="J56" s="1228">
        <v>0.98725425630591079</v>
      </c>
    </row>
    <row r="57" spans="1:10" ht="15.75" customHeight="1">
      <c r="A57" s="1211" t="s">
        <v>155</v>
      </c>
      <c r="B57" s="14">
        <v>53</v>
      </c>
      <c r="C57" s="1226">
        <v>2862.9940000000001</v>
      </c>
      <c r="D57" s="1226">
        <v>2069.2600000000002</v>
      </c>
      <c r="E57" s="103">
        <v>1.3835835032813661</v>
      </c>
      <c r="F57" s="1227">
        <v>1512.8779999999999</v>
      </c>
      <c r="G57" s="1227">
        <v>0</v>
      </c>
      <c r="H57" s="103">
        <v>6.1452887252948212E-3</v>
      </c>
      <c r="I57" s="103">
        <v>5.6406910478191831E-2</v>
      </c>
      <c r="J57" s="1228">
        <v>1.9113389894888644</v>
      </c>
    </row>
    <row r="58" spans="1:10" ht="15.75" customHeight="1">
      <c r="A58" s="1211" t="s">
        <v>156</v>
      </c>
      <c r="B58" s="14">
        <v>231</v>
      </c>
      <c r="C58" s="1226">
        <v>4225.0519999999997</v>
      </c>
      <c r="D58" s="1226">
        <v>-3154.8969999999999</v>
      </c>
      <c r="E58" s="103" t="s">
        <v>113</v>
      </c>
      <c r="F58" s="1227">
        <v>1954.7529999999999</v>
      </c>
      <c r="G58" s="1227">
        <v>73.641799999997602</v>
      </c>
      <c r="H58" s="103">
        <v>5.4996961891315664E-2</v>
      </c>
      <c r="I58" s="103">
        <v>0.48515940349461051</v>
      </c>
      <c r="J58" s="1228">
        <v>0.51654500449476859</v>
      </c>
    </row>
    <row r="59" spans="1:10" ht="15.75" customHeight="1">
      <c r="A59" s="1211" t="s">
        <v>157</v>
      </c>
      <c r="B59" s="14">
        <v>109</v>
      </c>
      <c r="C59" s="1226">
        <v>4557.6090000000004</v>
      </c>
      <c r="D59" s="1226">
        <v>6724.8969999999999</v>
      </c>
      <c r="E59" s="103">
        <v>0.67772175544101276</v>
      </c>
      <c r="F59" s="1227">
        <v>11765.928</v>
      </c>
      <c r="G59" s="1227">
        <v>14.317000000002736</v>
      </c>
      <c r="H59" s="103">
        <v>5.0323075010880923E-2</v>
      </c>
      <c r="I59" s="103">
        <v>0.40169675143433853</v>
      </c>
      <c r="J59" s="1228">
        <v>1.9682598139763747</v>
      </c>
    </row>
    <row r="60" spans="1:10" ht="15.75" customHeight="1">
      <c r="A60" s="1211" t="s">
        <v>158</v>
      </c>
      <c r="B60" s="14">
        <v>64</v>
      </c>
      <c r="C60" s="1226">
        <v>7550.7920000000004</v>
      </c>
      <c r="D60" s="1226">
        <v>4262.5910000000003</v>
      </c>
      <c r="E60" s="103">
        <v>1.7714089857553774</v>
      </c>
      <c r="F60" s="1227">
        <v>0.41499999999999998</v>
      </c>
      <c r="G60" s="1227">
        <v>14.792599999998856</v>
      </c>
      <c r="H60" s="103">
        <v>5.8526633659342263E-2</v>
      </c>
      <c r="I60" s="103">
        <v>0.40970096335307471</v>
      </c>
      <c r="J60" s="1228">
        <v>1.2286156999263649</v>
      </c>
    </row>
    <row r="61" spans="1:10" ht="15.75" customHeight="1">
      <c r="A61" s="1211" t="s">
        <v>159</v>
      </c>
      <c r="B61" s="14">
        <v>14</v>
      </c>
      <c r="C61" s="1226">
        <v>393.49200000000002</v>
      </c>
      <c r="D61" s="1226">
        <v>443.815</v>
      </c>
      <c r="E61" s="103">
        <v>0.88661266518707127</v>
      </c>
      <c r="F61" s="1227">
        <v>7.2149999999999999</v>
      </c>
      <c r="G61" s="1227">
        <v>2.7342000000001008</v>
      </c>
      <c r="H61" s="103">
        <v>-2.2258743880386308E-3</v>
      </c>
      <c r="I61" s="103">
        <v>-3.1661503161799449E-2</v>
      </c>
      <c r="J61" s="1228">
        <v>2.3287714864040083</v>
      </c>
    </row>
    <row r="62" spans="1:10" ht="15.75" customHeight="1">
      <c r="A62" s="1211" t="s">
        <v>160</v>
      </c>
      <c r="B62" s="14">
        <v>4</v>
      </c>
      <c r="C62" s="1226">
        <v>47186</v>
      </c>
      <c r="D62" s="1226">
        <v>44901.7</v>
      </c>
      <c r="E62" s="103">
        <v>1.0508733522338798</v>
      </c>
      <c r="F62" s="1227">
        <v>8539</v>
      </c>
      <c r="G62" s="1227">
        <v>42.80000000000291</v>
      </c>
      <c r="H62" s="103">
        <v>1.9303910862444831E-2</v>
      </c>
      <c r="I62" s="103">
        <v>0.20177233737961686</v>
      </c>
      <c r="J62" s="1228">
        <v>1.2679674608622964</v>
      </c>
    </row>
    <row r="63" spans="1:10" ht="15.75" customHeight="1">
      <c r="A63" s="1211" t="s">
        <v>256</v>
      </c>
      <c r="B63" s="14">
        <v>147</v>
      </c>
      <c r="C63" s="1226">
        <v>80372.350000000006</v>
      </c>
      <c r="D63" s="1226">
        <v>51152.228999999999</v>
      </c>
      <c r="E63" s="103">
        <v>1.5712384693929957</v>
      </c>
      <c r="F63" s="1227">
        <v>10021.284</v>
      </c>
      <c r="G63" s="1227">
        <v>11.591399999990244</v>
      </c>
      <c r="H63" s="103">
        <v>0.17944803046179625</v>
      </c>
      <c r="I63" s="103">
        <v>0.7762013108746717</v>
      </c>
      <c r="J63" s="1228">
        <v>0.66742412364620984</v>
      </c>
    </row>
    <row r="64" spans="1:10" ht="15.75" customHeight="1">
      <c r="A64" s="1211" t="s">
        <v>162</v>
      </c>
      <c r="B64" s="14">
        <v>24</v>
      </c>
      <c r="C64" s="1226">
        <v>21546.394</v>
      </c>
      <c r="D64" s="1226">
        <v>10321.894</v>
      </c>
      <c r="E64" s="103">
        <v>2.0874457730335148</v>
      </c>
      <c r="F64" s="1227">
        <v>3295.4380000000001</v>
      </c>
      <c r="G64" s="1227">
        <v>5.158000000003085</v>
      </c>
      <c r="H64" s="103">
        <v>0.15403105351560173</v>
      </c>
      <c r="I64" s="103">
        <v>0.67211109362775223</v>
      </c>
      <c r="J64" s="1228">
        <v>0.48899530900155047</v>
      </c>
    </row>
    <row r="65" spans="1:10" ht="15.75" customHeight="1">
      <c r="A65" s="1211" t="s">
        <v>163</v>
      </c>
      <c r="B65" s="14">
        <v>97</v>
      </c>
      <c r="C65" s="1226">
        <v>17223.395</v>
      </c>
      <c r="D65" s="1226">
        <v>19807.635999999999</v>
      </c>
      <c r="E65" s="103">
        <v>0.86953309319698735</v>
      </c>
      <c r="F65" s="1227">
        <v>3935.2460000000001</v>
      </c>
      <c r="G65" s="1227">
        <v>109.14059999999881</v>
      </c>
      <c r="H65" s="103">
        <v>2.0219680375014736E-3</v>
      </c>
      <c r="I65" s="103">
        <v>4.9048389843145107E-2</v>
      </c>
      <c r="J65" s="1228">
        <v>3.1319386393409379</v>
      </c>
    </row>
    <row r="66" spans="1:10" ht="15.75" customHeight="1">
      <c r="A66" s="1211" t="s">
        <v>164</v>
      </c>
      <c r="B66" s="14">
        <v>22</v>
      </c>
      <c r="C66" s="1226">
        <v>6944.6480000000001</v>
      </c>
      <c r="D66" s="1226">
        <v>6128.7020000000002</v>
      </c>
      <c r="E66" s="103">
        <v>1.1331352054643871</v>
      </c>
      <c r="F66" s="1227">
        <v>1192.5</v>
      </c>
      <c r="G66" s="1227">
        <v>-8.7640000000010332</v>
      </c>
      <c r="H66" s="103">
        <v>1.6203867343771897E-2</v>
      </c>
      <c r="I66" s="103">
        <v>0.20012049125357878</v>
      </c>
      <c r="J66" s="1228">
        <v>1.7435134987048067</v>
      </c>
    </row>
    <row r="67" spans="1:10" ht="15.75" customHeight="1">
      <c r="A67" s="1211" t="s">
        <v>165</v>
      </c>
      <c r="B67" s="14">
        <v>6</v>
      </c>
      <c r="C67" s="1226">
        <v>589.79999999999995</v>
      </c>
      <c r="D67" s="1226">
        <v>429.1</v>
      </c>
      <c r="E67" s="103">
        <v>1.3745047774411556</v>
      </c>
      <c r="F67" s="1227">
        <v>708.2</v>
      </c>
      <c r="G67" s="1227">
        <v>2.3999999999998636</v>
      </c>
      <c r="H67" s="103">
        <v>7.8687606679370345E-2</v>
      </c>
      <c r="I67" s="103">
        <v>1.0572280714761686</v>
      </c>
      <c r="J67" s="1228">
        <v>2.474249268999992</v>
      </c>
    </row>
    <row r="68" spans="1:10" ht="15.75" customHeight="1">
      <c r="A68" s="1211" t="s">
        <v>166</v>
      </c>
      <c r="B68" s="14">
        <v>48</v>
      </c>
      <c r="C68" s="1226">
        <v>137875.01999999999</v>
      </c>
      <c r="D68" s="1226">
        <v>53393.493999999999</v>
      </c>
      <c r="E68" s="103">
        <v>2.5822438216910846</v>
      </c>
      <c r="F68" s="1227">
        <v>4583.8</v>
      </c>
      <c r="G68" s="1227">
        <v>0.16840000000956934</v>
      </c>
      <c r="H68" s="103">
        <v>0.2357328538153427</v>
      </c>
      <c r="I68" s="103">
        <v>1.3594790692197956</v>
      </c>
      <c r="J68" s="1228">
        <v>0.38012046475085931</v>
      </c>
    </row>
    <row r="69" spans="1:10" ht="15.75" customHeight="1">
      <c r="A69" s="1211" t="s">
        <v>167</v>
      </c>
      <c r="B69" s="14">
        <v>60</v>
      </c>
      <c r="C69" s="1226">
        <v>5370.5039999999999</v>
      </c>
      <c r="D69" s="1226">
        <v>3916.2020000000002</v>
      </c>
      <c r="E69" s="103">
        <v>1.3713552058857024</v>
      </c>
      <c r="F69" s="1227">
        <v>-658.22799999999995</v>
      </c>
      <c r="G69" s="1227">
        <v>9.0359999999991487</v>
      </c>
      <c r="H69" s="103">
        <v>3.0208703112695925E-2</v>
      </c>
      <c r="I69" s="103">
        <v>0.18954374954675485</v>
      </c>
      <c r="J69" s="1228">
        <v>0.70928300476283024</v>
      </c>
    </row>
    <row r="70" spans="1:10" ht="15.75" customHeight="1">
      <c r="A70" s="1211" t="s">
        <v>168</v>
      </c>
      <c r="B70" s="14">
        <v>19</v>
      </c>
      <c r="C70" s="1226">
        <v>908.43799999999999</v>
      </c>
      <c r="D70" s="1226">
        <v>1460.5250000000001</v>
      </c>
      <c r="E70" s="103">
        <v>0.62199414594067193</v>
      </c>
      <c r="F70" s="1227">
        <v>372.69</v>
      </c>
      <c r="G70" s="1227">
        <v>13.25460000000021</v>
      </c>
      <c r="H70" s="103">
        <v>-6.3874491321072166E-3</v>
      </c>
      <c r="I70" s="103">
        <v>-0.10653206242414495</v>
      </c>
      <c r="J70" s="1228">
        <v>2.2554075844500825</v>
      </c>
    </row>
    <row r="71" spans="1:10" ht="15.75" customHeight="1">
      <c r="A71" s="1211" t="s">
        <v>169</v>
      </c>
      <c r="B71" s="14">
        <v>192</v>
      </c>
      <c r="C71" s="1226">
        <v>5789.6769999999997</v>
      </c>
      <c r="D71" s="1226">
        <v>42202.004999999997</v>
      </c>
      <c r="E71" s="103">
        <v>0.13718961930837173</v>
      </c>
      <c r="F71" s="1227">
        <v>8726.2710000000006</v>
      </c>
      <c r="G71" s="1227">
        <v>4.3580000000001746</v>
      </c>
      <c r="H71" s="103">
        <v>-0.14198715050017852</v>
      </c>
      <c r="I71" s="103">
        <v>-0.66547931544350103</v>
      </c>
      <c r="J71" s="1228">
        <v>0.14175359905867305</v>
      </c>
    </row>
    <row r="72" spans="1:10" ht="15.75" customHeight="1">
      <c r="A72" s="1211" t="s">
        <v>170</v>
      </c>
      <c r="B72" s="14">
        <v>15</v>
      </c>
      <c r="C72" s="1226">
        <v>62.341000000000001</v>
      </c>
      <c r="D72" s="1226">
        <v>245.52099999999999</v>
      </c>
      <c r="E72" s="103">
        <v>0.25391310722911686</v>
      </c>
      <c r="F72" s="1227">
        <v>-0.216</v>
      </c>
      <c r="G72" s="1227">
        <v>0</v>
      </c>
      <c r="H72" s="103">
        <v>-6.168253720540396E-2</v>
      </c>
      <c r="I72" s="103">
        <v>-0.54018582547916838</v>
      </c>
      <c r="J72" s="1228">
        <v>0.28405101940074207</v>
      </c>
    </row>
    <row r="73" spans="1:10" ht="15.75" customHeight="1">
      <c r="A73" s="1211" t="s">
        <v>171</v>
      </c>
      <c r="B73" s="14">
        <v>11</v>
      </c>
      <c r="C73" s="1226">
        <v>25.844999999999999</v>
      </c>
      <c r="D73" s="1226">
        <v>88.968000000000004</v>
      </c>
      <c r="E73" s="103">
        <v>0.29049770704073374</v>
      </c>
      <c r="F73" s="1227">
        <v>79.076999999999998</v>
      </c>
      <c r="G73" s="1227">
        <v>0</v>
      </c>
      <c r="H73" s="103">
        <v>1.3348393574297183E-2</v>
      </c>
      <c r="I73" s="103">
        <v>0.16256266777851291</v>
      </c>
      <c r="J73" s="1228">
        <v>0.37375276362134119</v>
      </c>
    </row>
    <row r="74" spans="1:10" ht="15.75" customHeight="1">
      <c r="A74" s="1211" t="s">
        <v>257</v>
      </c>
      <c r="B74" s="14">
        <v>60</v>
      </c>
      <c r="C74" s="1226">
        <v>1485.69</v>
      </c>
      <c r="D74" s="1226">
        <v>1985.579</v>
      </c>
      <c r="E74" s="103">
        <v>0.74824018586014462</v>
      </c>
      <c r="F74" s="1227">
        <v>2076.9369999999999</v>
      </c>
      <c r="G74" s="1227">
        <v>95.286399999999958</v>
      </c>
      <c r="H74" s="103">
        <v>1.8320039500273166E-2</v>
      </c>
      <c r="I74" s="103">
        <v>2.1172087305415039</v>
      </c>
      <c r="J74" s="1228">
        <v>2.3061889572841001</v>
      </c>
    </row>
    <row r="75" spans="1:10" ht="15.75" customHeight="1">
      <c r="A75" s="1211" t="s">
        <v>173</v>
      </c>
      <c r="B75" s="14">
        <v>50</v>
      </c>
      <c r="C75" s="1226">
        <v>3841.3939999999998</v>
      </c>
      <c r="D75" s="1226">
        <v>2990.5749999999998</v>
      </c>
      <c r="E75" s="103">
        <v>1.2845001379333405</v>
      </c>
      <c r="F75" s="1227">
        <v>549.86</v>
      </c>
      <c r="G75" s="1227">
        <v>-45.220400000000154</v>
      </c>
      <c r="H75" s="103">
        <v>2.3924166811692786E-2</v>
      </c>
      <c r="I75" s="103">
        <v>0.41792323005829762</v>
      </c>
      <c r="J75" s="1228">
        <v>1.2936791544033139</v>
      </c>
    </row>
    <row r="76" spans="1:10" ht="15.75" customHeight="1">
      <c r="A76" s="1211" t="s">
        <v>174</v>
      </c>
      <c r="B76" s="14">
        <v>1</v>
      </c>
      <c r="C76" s="1226">
        <v>0</v>
      </c>
      <c r="D76" s="1226">
        <v>43.3</v>
      </c>
      <c r="E76" s="103">
        <v>0</v>
      </c>
      <c r="F76" s="1227">
        <v>0</v>
      </c>
      <c r="G76" s="1227">
        <v>0</v>
      </c>
      <c r="H76" s="103">
        <v>-1.9796095643030221E-3</v>
      </c>
      <c r="I76" s="103">
        <v>-4.4799914881403287E-2</v>
      </c>
      <c r="J76" s="1228">
        <v>2.2382478863009179</v>
      </c>
    </row>
    <row r="77" spans="1:10" ht="15.75" customHeight="1">
      <c r="A77" s="1211" t="s">
        <v>175</v>
      </c>
      <c r="B77" s="14">
        <v>62</v>
      </c>
      <c r="C77" s="1226">
        <v>10552.901</v>
      </c>
      <c r="D77" s="1226">
        <v>5936.8029999999999</v>
      </c>
      <c r="E77" s="103">
        <v>1.7775393591466653</v>
      </c>
      <c r="F77" s="1227">
        <v>2250.3679999999999</v>
      </c>
      <c r="G77" s="1227">
        <v>106.95000000000073</v>
      </c>
      <c r="H77" s="103">
        <v>4.1463065509721328E-2</v>
      </c>
      <c r="I77" s="103">
        <v>0.37803892351254909</v>
      </c>
      <c r="J77" s="1228">
        <v>1.6556714897550431</v>
      </c>
    </row>
    <row r="78" spans="1:10" ht="15.75" customHeight="1">
      <c r="A78" s="1211" t="s">
        <v>176</v>
      </c>
      <c r="B78" s="14">
        <v>29</v>
      </c>
      <c r="C78" s="1226">
        <v>5402.7</v>
      </c>
      <c r="D78" s="1226">
        <v>3529.2049999999999</v>
      </c>
      <c r="E78" s="103">
        <v>1.5308546825701539</v>
      </c>
      <c r="F78" s="1227">
        <v>4897.4399999999996</v>
      </c>
      <c r="G78" s="1227">
        <v>-37.88300000000163</v>
      </c>
      <c r="H78" s="103">
        <v>2.4936384655617719E-2</v>
      </c>
      <c r="I78" s="103">
        <v>0.57043247773141093</v>
      </c>
      <c r="J78" s="1228">
        <v>2.4663966081903905</v>
      </c>
    </row>
    <row r="79" spans="1:10" ht="15.75" customHeight="1">
      <c r="A79" s="1211" t="s">
        <v>177</v>
      </c>
      <c r="B79" s="14">
        <v>13</v>
      </c>
      <c r="C79" s="1226">
        <v>6569.6</v>
      </c>
      <c r="D79" s="1226">
        <v>5487.32</v>
      </c>
      <c r="E79" s="103">
        <v>1.1972328932885272</v>
      </c>
      <c r="F79" s="1227">
        <v>18332</v>
      </c>
      <c r="G79" s="1227">
        <v>12.320000000003347</v>
      </c>
      <c r="H79" s="103">
        <v>7.1570384643015697E-2</v>
      </c>
      <c r="I79" s="103">
        <v>0.78820952865657701</v>
      </c>
      <c r="J79" s="1228">
        <v>3.5706348388844233</v>
      </c>
    </row>
    <row r="80" spans="1:10" ht="15.75" customHeight="1">
      <c r="A80" s="1211" t="s">
        <v>178</v>
      </c>
      <c r="B80" s="14">
        <v>66</v>
      </c>
      <c r="C80" s="1226">
        <v>14008.341</v>
      </c>
      <c r="D80" s="1226">
        <v>2777.5340000000001</v>
      </c>
      <c r="E80" s="103">
        <v>5.0434453727659143</v>
      </c>
      <c r="F80" s="1227">
        <v>7176.223</v>
      </c>
      <c r="G80" s="1227">
        <v>8.4439999999995052</v>
      </c>
      <c r="H80" s="103">
        <v>7.6716912277708146E-2</v>
      </c>
      <c r="I80" s="103">
        <v>0.93240774538139592</v>
      </c>
      <c r="J80" s="1228">
        <v>1.880634510325728</v>
      </c>
    </row>
    <row r="81" spans="1:10" ht="15.75" customHeight="1">
      <c r="A81" s="1211" t="s">
        <v>179</v>
      </c>
      <c r="B81" s="14">
        <v>24</v>
      </c>
      <c r="C81" s="1226">
        <v>108199.289</v>
      </c>
      <c r="D81" s="1226">
        <v>73982.03</v>
      </c>
      <c r="E81" s="103">
        <v>1.4625077062632643</v>
      </c>
      <c r="F81" s="1227">
        <v>4872.1149999999998</v>
      </c>
      <c r="G81" s="1227">
        <v>1531.2000000000116</v>
      </c>
      <c r="H81" s="103">
        <v>2.1600848026036377E-2</v>
      </c>
      <c r="I81" s="103">
        <v>0.45368344670284855</v>
      </c>
      <c r="J81" s="1228">
        <v>3.5951299451019962</v>
      </c>
    </row>
    <row r="82" spans="1:10" ht="15.75" customHeight="1">
      <c r="A82" s="1211" t="s">
        <v>180</v>
      </c>
      <c r="B82" s="14">
        <v>17</v>
      </c>
      <c r="C82" s="1226">
        <v>7509.0590000000002</v>
      </c>
      <c r="D82" s="1226">
        <v>5823.8220000000001</v>
      </c>
      <c r="E82" s="103">
        <v>1.2893695926832929</v>
      </c>
      <c r="F82" s="1227">
        <v>316.95999999999998</v>
      </c>
      <c r="G82" s="1227">
        <v>-1293.2999999999993</v>
      </c>
      <c r="H82" s="103">
        <v>2.5903700967199864E-3</v>
      </c>
      <c r="I82" s="103">
        <v>0.112194895527715</v>
      </c>
      <c r="J82" s="1228">
        <v>4.8930976064323222</v>
      </c>
    </row>
    <row r="83" spans="1:10" ht="15.75" customHeight="1">
      <c r="A83" s="1211" t="s">
        <v>181</v>
      </c>
      <c r="B83" s="14">
        <v>28</v>
      </c>
      <c r="C83" s="1226">
        <v>1091.402</v>
      </c>
      <c r="D83" s="1226">
        <v>7953.8</v>
      </c>
      <c r="E83" s="103">
        <v>0.13721768211420957</v>
      </c>
      <c r="F83" s="1227">
        <v>101.03</v>
      </c>
      <c r="G83" s="1227">
        <v>0.40000000000145519</v>
      </c>
      <c r="H83" s="103">
        <v>-0.26575609756097557</v>
      </c>
      <c r="I83" s="103">
        <v>-0.74019541176913106</v>
      </c>
      <c r="J83" s="1228">
        <v>0.13573524804042503</v>
      </c>
    </row>
    <row r="84" spans="1:10" ht="15.75" customHeight="1">
      <c r="A84" s="1211" t="s">
        <v>182</v>
      </c>
      <c r="B84" s="14">
        <v>98</v>
      </c>
      <c r="C84" s="1226">
        <v>11285.119000000001</v>
      </c>
      <c r="D84" s="1226">
        <v>8568.1299999999992</v>
      </c>
      <c r="E84" s="103">
        <v>1.317104082220975</v>
      </c>
      <c r="F84" s="1227">
        <v>590.88800000000003</v>
      </c>
      <c r="G84" s="1227">
        <v>56.84939999999915</v>
      </c>
      <c r="H84" s="103">
        <v>7.2602822997946117E-3</v>
      </c>
      <c r="I84" s="103">
        <v>0.17900346658478014</v>
      </c>
      <c r="J84" s="1228">
        <v>3.6771871216402161</v>
      </c>
    </row>
    <row r="85" spans="1:10" ht="15.75" customHeight="1">
      <c r="A85" s="1211" t="s">
        <v>183</v>
      </c>
      <c r="B85" s="14">
        <v>3</v>
      </c>
      <c r="C85" s="1226">
        <v>1155</v>
      </c>
      <c r="D85" s="1226">
        <v>1016.01</v>
      </c>
      <c r="E85" s="103">
        <v>1.1367998346472967</v>
      </c>
      <c r="F85" s="1227">
        <v>0</v>
      </c>
      <c r="G85" s="1227">
        <v>-16</v>
      </c>
      <c r="H85" s="103">
        <v>6.4504793672771525E-3</v>
      </c>
      <c r="I85" s="103">
        <v>0.14862512675773809</v>
      </c>
      <c r="J85" s="1228">
        <v>1.5003253061530804</v>
      </c>
    </row>
    <row r="86" spans="1:10" ht="15.75" customHeight="1">
      <c r="A86" s="1211" t="s">
        <v>184</v>
      </c>
      <c r="B86" s="14">
        <v>63</v>
      </c>
      <c r="C86" s="1226">
        <v>51562.290999999997</v>
      </c>
      <c r="D86" s="1226">
        <v>41204.597999999998</v>
      </c>
      <c r="E86" s="103">
        <v>1.2513722619014509</v>
      </c>
      <c r="F86" s="1227">
        <v>28108.573</v>
      </c>
      <c r="G86" s="1227">
        <v>6670.7073999999993</v>
      </c>
      <c r="H86" s="103">
        <v>0.11600239559724274</v>
      </c>
      <c r="I86" s="103">
        <v>0.46251128162456939</v>
      </c>
      <c r="J86" s="1228">
        <v>1.1023163547709465</v>
      </c>
    </row>
    <row r="87" spans="1:10" ht="15.75" customHeight="1">
      <c r="A87" s="1211" t="s">
        <v>185</v>
      </c>
      <c r="B87" s="14">
        <v>30</v>
      </c>
      <c r="C87" s="1226">
        <v>3713.6410000000001</v>
      </c>
      <c r="D87" s="1226">
        <v>2661.6149999999998</v>
      </c>
      <c r="E87" s="103">
        <v>1.3952585178547612</v>
      </c>
      <c r="F87" s="1227">
        <v>122.48</v>
      </c>
      <c r="G87" s="1227">
        <v>519.58280000000013</v>
      </c>
      <c r="H87" s="103">
        <v>2.1214202221508948E-2</v>
      </c>
      <c r="I87" s="103">
        <v>9.9974398748347446E-2</v>
      </c>
      <c r="J87" s="1228">
        <v>1.6833471274291145</v>
      </c>
    </row>
    <row r="88" spans="1:10" ht="15.75" customHeight="1">
      <c r="A88" s="1211" t="s">
        <v>186</v>
      </c>
      <c r="B88" s="14">
        <v>8</v>
      </c>
      <c r="C88" s="1226">
        <v>770.71</v>
      </c>
      <c r="D88" s="1226">
        <v>481.82499999999999</v>
      </c>
      <c r="E88" s="103">
        <v>1.5995641571109844</v>
      </c>
      <c r="F88" s="1227">
        <v>65.2</v>
      </c>
      <c r="G88" s="1227">
        <v>0</v>
      </c>
      <c r="H88" s="103">
        <v>4.6771735149014788E-2</v>
      </c>
      <c r="I88" s="103">
        <v>0.39194344631348488</v>
      </c>
      <c r="J88" s="1228">
        <v>0.93758670841260694</v>
      </c>
    </row>
    <row r="89" spans="1:10" ht="15.75" customHeight="1">
      <c r="A89" s="1211" t="s">
        <v>187</v>
      </c>
      <c r="B89" s="14">
        <v>12</v>
      </c>
      <c r="C89" s="1226">
        <v>565.678</v>
      </c>
      <c r="D89" s="1226">
        <v>1217.2</v>
      </c>
      <c r="E89" s="103">
        <v>0.46473710154452841</v>
      </c>
      <c r="F89" s="1227">
        <v>79.5</v>
      </c>
      <c r="G89" s="1227">
        <v>6.2199999999993452</v>
      </c>
      <c r="H89" s="103">
        <v>-7.9457422038473197E-3</v>
      </c>
      <c r="I89" s="103">
        <v>-7.3432987439915887E-2</v>
      </c>
      <c r="J89" s="1228">
        <v>2.5356270056745536</v>
      </c>
    </row>
    <row r="90" spans="1:10" ht="15.75" customHeight="1">
      <c r="A90" s="1211" t="s">
        <v>188</v>
      </c>
      <c r="B90" s="14">
        <v>81</v>
      </c>
      <c r="C90" s="1226">
        <v>80949.464000000007</v>
      </c>
      <c r="D90" s="1226">
        <v>30718.156999999999</v>
      </c>
      <c r="E90" s="103">
        <v>2.6352317946678903</v>
      </c>
      <c r="F90" s="1227">
        <v>3728.9290000000001</v>
      </c>
      <c r="G90" s="1227">
        <v>7203.4900000000198</v>
      </c>
      <c r="H90" s="103">
        <v>0.1138596997532106</v>
      </c>
      <c r="I90" s="103">
        <v>0.4170417885060273</v>
      </c>
      <c r="J90" s="1228">
        <v>1.3970196738508474</v>
      </c>
    </row>
    <row r="91" spans="1:10" ht="15.75" customHeight="1">
      <c r="A91" s="1211" t="s">
        <v>189</v>
      </c>
      <c r="B91" s="14">
        <v>29</v>
      </c>
      <c r="C91" s="1226">
        <v>1285.444</v>
      </c>
      <c r="D91" s="1226">
        <v>1744.6590000000001</v>
      </c>
      <c r="E91" s="103">
        <v>0.73678810587054544</v>
      </c>
      <c r="F91" s="1227">
        <v>532.16899999999998</v>
      </c>
      <c r="G91" s="1227">
        <v>654.2250004</v>
      </c>
      <c r="H91" s="103">
        <v>2.4250902453430468E-2</v>
      </c>
      <c r="I91" s="103">
        <v>2.5361523079444268</v>
      </c>
      <c r="J91" s="1228">
        <v>1.2317197291379707</v>
      </c>
    </row>
    <row r="92" spans="1:10" ht="15.75" customHeight="1">
      <c r="A92" s="1211" t="s">
        <v>190</v>
      </c>
      <c r="B92" s="14">
        <v>333</v>
      </c>
      <c r="C92" s="1226">
        <v>67416.514999999999</v>
      </c>
      <c r="D92" s="1226">
        <v>38458.525999999998</v>
      </c>
      <c r="E92" s="103">
        <v>1.7529666893629778</v>
      </c>
      <c r="F92" s="1227">
        <v>82252.801999999996</v>
      </c>
      <c r="G92" s="1227">
        <v>7238.1918000000005</v>
      </c>
      <c r="H92" s="103">
        <v>0.21011597941116059</v>
      </c>
      <c r="I92" s="103">
        <v>0.89491803093174838</v>
      </c>
      <c r="J92" s="1228">
        <v>1.7141776006664302</v>
      </c>
    </row>
    <row r="93" spans="1:10" ht="15.75" customHeight="1">
      <c r="A93" s="1211" t="s">
        <v>191</v>
      </c>
      <c r="B93" s="14">
        <v>27</v>
      </c>
      <c r="C93" s="1226">
        <v>10607.86</v>
      </c>
      <c r="D93" s="1226">
        <v>4876.6469999999999</v>
      </c>
      <c r="E93" s="103">
        <v>2.1752363868042943</v>
      </c>
      <c r="F93" s="1227">
        <v>1280.42</v>
      </c>
      <c r="G93" s="1227">
        <v>2.5767999999989115</v>
      </c>
      <c r="H93" s="103">
        <v>4.9794273240634554E-2</v>
      </c>
      <c r="I93" s="103">
        <v>0.79965489194910433</v>
      </c>
      <c r="J93" s="1228">
        <v>1.855004733537124</v>
      </c>
    </row>
    <row r="94" spans="1:10" ht="15.75" customHeight="1">
      <c r="A94" s="1211" t="s">
        <v>192</v>
      </c>
      <c r="B94" s="14">
        <v>11</v>
      </c>
      <c r="C94" s="1226">
        <v>10497.538</v>
      </c>
      <c r="D94" s="1226">
        <v>14808.55</v>
      </c>
      <c r="E94" s="103">
        <v>0.70888358414564567</v>
      </c>
      <c r="F94" s="1227">
        <v>-97.4</v>
      </c>
      <c r="G94" s="1227">
        <v>4.1640000000006694</v>
      </c>
      <c r="H94" s="103">
        <v>-4.7718937847524664E-2</v>
      </c>
      <c r="I94" s="103">
        <v>-0.33215646005756949</v>
      </c>
      <c r="J94" s="1228">
        <v>0.51675463191342708</v>
      </c>
    </row>
    <row r="95" spans="1:10" ht="15.75" customHeight="1">
      <c r="A95" s="1211" t="s">
        <v>193</v>
      </c>
      <c r="B95" s="14">
        <v>61</v>
      </c>
      <c r="C95" s="1226">
        <v>3150.55</v>
      </c>
      <c r="D95" s="1226">
        <v>2600.5790000000002</v>
      </c>
      <c r="E95" s="103">
        <v>1.2114802126757156</v>
      </c>
      <c r="F95" s="1227">
        <v>26604.018</v>
      </c>
      <c r="G95" s="1227">
        <v>658.37060000000201</v>
      </c>
      <c r="H95" s="103">
        <v>0.26114498331874886</v>
      </c>
      <c r="I95" s="103">
        <v>1.632039425074824</v>
      </c>
      <c r="J95" s="1228">
        <v>2.6691836427011228</v>
      </c>
    </row>
    <row r="96" spans="1:10" ht="15.75" customHeight="1">
      <c r="A96" s="1211" t="s">
        <v>194</v>
      </c>
      <c r="B96" s="14">
        <v>32</v>
      </c>
      <c r="C96" s="1226">
        <v>41154.332000000002</v>
      </c>
      <c r="D96" s="1226">
        <v>43405.156999999999</v>
      </c>
      <c r="E96" s="103">
        <v>0.94814383461393781</v>
      </c>
      <c r="F96" s="1227">
        <v>2807.2179999999998</v>
      </c>
      <c r="G96" s="1227">
        <v>-100.58439999999973</v>
      </c>
      <c r="H96" s="103">
        <v>1.6218816990425423E-3</v>
      </c>
      <c r="I96" s="103">
        <v>1.0912911760441816E-2</v>
      </c>
      <c r="J96" s="1228">
        <v>0.59226786178126434</v>
      </c>
    </row>
    <row r="97" spans="1:26" ht="15.75" customHeight="1">
      <c r="A97" s="1211" t="s">
        <v>195</v>
      </c>
      <c r="B97" s="14">
        <v>12</v>
      </c>
      <c r="C97" s="1226">
        <v>1725.5920000000001</v>
      </c>
      <c r="D97" s="1226">
        <v>2060.8150000000001</v>
      </c>
      <c r="E97" s="103">
        <v>0.83733474377855366</v>
      </c>
      <c r="F97" s="1227">
        <v>-43.71</v>
      </c>
      <c r="G97" s="1227">
        <v>-1.8466000000007625</v>
      </c>
      <c r="H97" s="103">
        <v>-6.0251026375366364E-3</v>
      </c>
      <c r="I97" s="103">
        <v>-1.8723440697345252E-2</v>
      </c>
      <c r="J97" s="1228">
        <v>1.7295163968284217</v>
      </c>
      <c r="K97" s="1"/>
      <c r="L97" s="1"/>
      <c r="M97" s="1"/>
      <c r="N97" s="1"/>
      <c r="O97" s="1"/>
      <c r="P97" s="1"/>
      <c r="Q97" s="1"/>
      <c r="R97" s="1"/>
      <c r="S97" s="1"/>
      <c r="T97" s="1"/>
      <c r="U97" s="1"/>
      <c r="V97" s="1"/>
      <c r="W97" s="1"/>
      <c r="X97" s="1"/>
      <c r="Y97" s="1"/>
      <c r="Z97" s="1"/>
    </row>
    <row r="98" spans="1:26" ht="15.75" customHeight="1">
      <c r="A98" s="1211" t="s">
        <v>196</v>
      </c>
      <c r="B98" s="14">
        <v>21</v>
      </c>
      <c r="C98" s="1226">
        <v>16550.723999999998</v>
      </c>
      <c r="D98" s="1226">
        <v>10342.218000000001</v>
      </c>
      <c r="E98" s="103">
        <v>1.6003070134472119</v>
      </c>
      <c r="F98" s="1227">
        <v>4242.3999999999996</v>
      </c>
      <c r="G98" s="1227">
        <v>-214.33560000000216</v>
      </c>
      <c r="H98" s="103">
        <v>3.4716455347616589E-2</v>
      </c>
      <c r="I98" s="103">
        <v>0.63849219649890832</v>
      </c>
      <c r="J98" s="1228">
        <v>1.9438034247568625</v>
      </c>
      <c r="K98" s="1"/>
      <c r="L98" s="1"/>
      <c r="M98" s="1"/>
      <c r="N98" s="1"/>
      <c r="O98" s="1"/>
      <c r="P98" s="1"/>
      <c r="Q98" s="1"/>
      <c r="R98" s="1"/>
      <c r="S98" s="1"/>
      <c r="T98" s="1"/>
      <c r="U98" s="1"/>
      <c r="V98" s="1"/>
      <c r="W98" s="1"/>
      <c r="X98" s="1"/>
      <c r="Y98" s="1"/>
      <c r="Z98" s="1"/>
    </row>
    <row r="99" spans="1:26" ht="15.75" customHeight="1">
      <c r="A99" s="1211" t="s">
        <v>197</v>
      </c>
      <c r="B99" s="14">
        <v>4</v>
      </c>
      <c r="C99" s="1226">
        <v>10234</v>
      </c>
      <c r="D99" s="1226">
        <v>5447.6</v>
      </c>
      <c r="E99" s="103">
        <v>1.8786254497393347</v>
      </c>
      <c r="F99" s="1227">
        <v>68</v>
      </c>
      <c r="G99" s="1227">
        <v>0</v>
      </c>
      <c r="H99" s="103">
        <v>9.4309271620960033E-2</v>
      </c>
      <c r="I99" s="103">
        <v>0.32076983194936959</v>
      </c>
      <c r="J99" s="1228">
        <v>0.47509810066637165</v>
      </c>
      <c r="K99" s="1"/>
      <c r="L99" s="1"/>
      <c r="M99" s="1"/>
      <c r="N99" s="1"/>
      <c r="O99" s="1"/>
      <c r="P99" s="1"/>
      <c r="Q99" s="1"/>
      <c r="R99" s="1"/>
      <c r="S99" s="1"/>
      <c r="T99" s="1"/>
      <c r="U99" s="1"/>
      <c r="V99" s="1"/>
      <c r="W99" s="1"/>
      <c r="X99" s="1"/>
      <c r="Y99" s="1"/>
      <c r="Z99" s="1"/>
    </row>
    <row r="100" spans="1:26" ht="15.75" customHeight="1">
      <c r="A100" s="1211" t="s">
        <v>198</v>
      </c>
      <c r="B100" s="14">
        <v>24</v>
      </c>
      <c r="C100" s="1226">
        <v>12854.98</v>
      </c>
      <c r="D100" s="1226">
        <v>6765.2910000000002</v>
      </c>
      <c r="E100" s="103">
        <v>1.900137037712051</v>
      </c>
      <c r="F100" s="1227">
        <v>1976.28</v>
      </c>
      <c r="G100" s="1227">
        <v>-137.23919999999998</v>
      </c>
      <c r="H100" s="103">
        <v>9.0853693674562669E-2</v>
      </c>
      <c r="I100" s="103">
        <v>1.6575021707046571</v>
      </c>
      <c r="J100" s="1228">
        <v>1.6281746952724945</v>
      </c>
      <c r="K100" s="1"/>
      <c r="L100" s="1"/>
      <c r="M100" s="1"/>
      <c r="N100" s="1"/>
      <c r="O100" s="1"/>
      <c r="P100" s="1"/>
      <c r="Q100" s="1"/>
      <c r="R100" s="1"/>
      <c r="S100" s="1"/>
      <c r="T100" s="1"/>
      <c r="U100" s="1"/>
      <c r="V100" s="1"/>
      <c r="W100" s="1"/>
      <c r="X100" s="1"/>
      <c r="Y100" s="1"/>
      <c r="Z100" s="1"/>
    </row>
    <row r="101" spans="1:26" ht="15.75" customHeight="1">
      <c r="A101" s="1211" t="s">
        <v>199</v>
      </c>
      <c r="B101" s="14">
        <v>14</v>
      </c>
      <c r="C101" s="1226">
        <v>50314.5</v>
      </c>
      <c r="D101" s="1226">
        <v>17208.400000000001</v>
      </c>
      <c r="E101" s="103">
        <v>2.923833709118802</v>
      </c>
      <c r="F101" s="1227">
        <v>105.8</v>
      </c>
      <c r="G101" s="1227">
        <v>0</v>
      </c>
      <c r="H101" s="103">
        <v>0.30653922157705915</v>
      </c>
      <c r="I101" s="103">
        <v>1.5028409512686065</v>
      </c>
      <c r="J101" s="1228">
        <v>0.29371422898224059</v>
      </c>
      <c r="K101" s="1"/>
      <c r="L101" s="1"/>
      <c r="M101" s="1"/>
      <c r="N101" s="1"/>
      <c r="O101" s="1"/>
      <c r="P101" s="1"/>
      <c r="Q101" s="1"/>
      <c r="R101" s="1"/>
      <c r="S101" s="1"/>
      <c r="T101" s="1"/>
      <c r="U101" s="1"/>
      <c r="V101" s="1"/>
      <c r="W101" s="1"/>
      <c r="X101" s="1"/>
      <c r="Y101" s="1"/>
      <c r="Z101" s="1"/>
    </row>
    <row r="102" spans="1:26" ht="15.75" customHeight="1">
      <c r="A102" s="1211" t="s">
        <v>200</v>
      </c>
      <c r="B102" s="14">
        <v>15</v>
      </c>
      <c r="C102" s="1226">
        <v>5203.74</v>
      </c>
      <c r="D102" s="1226">
        <v>1474.8</v>
      </c>
      <c r="E102" s="103">
        <v>3.5284377542717658</v>
      </c>
      <c r="F102" s="1227">
        <v>165.02799999999999</v>
      </c>
      <c r="G102" s="1227">
        <v>3.0061999999998079</v>
      </c>
      <c r="H102" s="103">
        <v>0.4184202999074465</v>
      </c>
      <c r="I102" s="103">
        <v>1.5119462539331638</v>
      </c>
      <c r="J102" s="1228">
        <v>0.23750271221398803</v>
      </c>
      <c r="K102" s="95"/>
      <c r="L102" s="95"/>
      <c r="M102" s="95"/>
      <c r="N102" s="95"/>
      <c r="O102" s="95"/>
      <c r="P102" s="95"/>
      <c r="Q102" s="95"/>
      <c r="R102" s="95"/>
      <c r="S102" s="95"/>
      <c r="T102" s="95"/>
      <c r="U102" s="95"/>
      <c r="V102" s="95"/>
      <c r="W102" s="95"/>
      <c r="X102" s="95"/>
      <c r="Y102" s="95"/>
      <c r="Z102" s="95"/>
    </row>
    <row r="103" spans="1:26" ht="15.75" customHeight="1">
      <c r="A103" s="1233" t="s">
        <v>201</v>
      </c>
      <c r="B103" s="1234">
        <v>6062</v>
      </c>
      <c r="C103" s="1235">
        <v>1278422.355</v>
      </c>
      <c r="D103" s="1235">
        <v>976657.38300000003</v>
      </c>
      <c r="E103" s="1214">
        <v>1.3089773110331364</v>
      </c>
      <c r="F103" s="1235">
        <v>562851.28099999996</v>
      </c>
      <c r="G103" s="1235">
        <v>52524.916999999899</v>
      </c>
      <c r="H103" s="1214">
        <v>4.2148320413931871E-2</v>
      </c>
      <c r="I103" s="1214">
        <v>0.43890253738256801</v>
      </c>
      <c r="J103" s="1236">
        <v>0.8431269668834348</v>
      </c>
      <c r="K103" s="95"/>
      <c r="L103" s="95"/>
      <c r="M103" s="95"/>
      <c r="N103" s="95"/>
      <c r="O103" s="95"/>
      <c r="P103" s="95"/>
      <c r="Q103" s="95"/>
      <c r="R103" s="95"/>
      <c r="S103" s="95"/>
      <c r="T103" s="95"/>
      <c r="U103" s="95"/>
      <c r="V103" s="95"/>
      <c r="W103" s="95"/>
      <c r="X103" s="95"/>
      <c r="Y103" s="95"/>
      <c r="Z103" s="95"/>
    </row>
    <row r="104" spans="1:26" ht="15.75" customHeight="1">
      <c r="A104" s="1237" t="s">
        <v>258</v>
      </c>
      <c r="B104" s="1238">
        <v>4935</v>
      </c>
      <c r="C104" s="1239">
        <v>1234984.5860000001</v>
      </c>
      <c r="D104" s="1239">
        <v>941457.81200000003</v>
      </c>
      <c r="E104" s="1240">
        <v>1.3117789987598512</v>
      </c>
      <c r="F104" s="1239">
        <v>537504.94900000002</v>
      </c>
      <c r="G104" s="1239">
        <v>52288.333999999799</v>
      </c>
      <c r="H104" s="1240">
        <v>4.3473903201840802E-2</v>
      </c>
      <c r="I104" s="1240">
        <v>0.45828340253030087</v>
      </c>
      <c r="J104" s="1241">
        <v>1.5606598104159137</v>
      </c>
      <c r="K104" s="95"/>
      <c r="L104" s="95"/>
      <c r="M104" s="95"/>
      <c r="N104" s="95"/>
      <c r="O104" s="95"/>
      <c r="P104" s="95"/>
      <c r="Q104" s="95"/>
      <c r="R104" s="95"/>
      <c r="S104" s="95"/>
      <c r="T104" s="95"/>
      <c r="U104" s="95"/>
      <c r="V104" s="95"/>
      <c r="W104" s="95"/>
      <c r="X104" s="95"/>
      <c r="Y104" s="95"/>
      <c r="Z104" s="95"/>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5:G5"/>
    <mergeCell ref="B6:G6"/>
    <mergeCell ref="B7:G7"/>
    <mergeCell ref="B1:G1"/>
    <mergeCell ref="B2:G2"/>
    <mergeCell ref="B3:E3"/>
    <mergeCell ref="F3:G3"/>
    <mergeCell ref="B4:G4"/>
  </mergeCells>
  <hyperlinks>
    <hyperlink ref="B2" r:id="rId1" xr:uid="{00000000-0004-0000-1B00-000000000000}"/>
    <hyperlink ref="B4" r:id="rId2" xr:uid="{00000000-0004-0000-1B00-000001000000}"/>
    <hyperlink ref="B5" r:id="rId3" xr:uid="{00000000-0004-0000-1B00-000002000000}"/>
    <hyperlink ref="B6" r:id="rId4" xr:uid="{00000000-0004-0000-1B00-000003000000}"/>
    <hyperlink ref="B7" r:id="rId5" xr:uid="{00000000-0004-0000-1B00-000004000000}"/>
  </hyperlinks>
  <printOptions gridLines="1"/>
  <pageMargins left="0.75" right="0.75" top="1" bottom="1" header="0" footer="0"/>
  <pageSetup scale="60" orientation="landscape"/>
  <headerFooter>
    <oddHeader>&amp;C000000Capital Expenditures by Sector&amp;R000000Global  2016</oddHeader>
  </headerFooter>
  <tableParts count="1">
    <tablePart r:id="rId6"/>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2A2EA0"/>
  </sheetPr>
  <dimension ref="A1:U1000"/>
  <sheetViews>
    <sheetView workbookViewId="0"/>
  </sheetViews>
  <sheetFormatPr baseColWidth="10" defaultColWidth="14.44140625" defaultRowHeight="15" customHeight="1"/>
  <cols>
    <col min="1" max="1" width="10.6640625" customWidth="1"/>
    <col min="2" max="2" width="24.44140625" customWidth="1"/>
    <col min="3" max="5" width="15.109375" hidden="1" customWidth="1"/>
    <col min="6" max="6" width="12.88671875" customWidth="1"/>
    <col min="7" max="9" width="14.109375" customWidth="1"/>
    <col min="10" max="10" width="23.33203125" customWidth="1"/>
    <col min="11" max="21" width="10.6640625" customWidth="1"/>
  </cols>
  <sheetData>
    <row r="1" spans="2:10" ht="14.4">
      <c r="B1" s="1" t="s">
        <v>761</v>
      </c>
      <c r="C1" s="1"/>
      <c r="D1" s="1"/>
      <c r="E1" s="1"/>
      <c r="F1" s="1"/>
      <c r="G1" s="1"/>
      <c r="H1" s="1"/>
      <c r="I1" s="1"/>
      <c r="J1" s="128"/>
    </row>
    <row r="2" spans="2:10" ht="14.4">
      <c r="B2" s="1"/>
      <c r="C2" s="1"/>
      <c r="D2" s="1"/>
      <c r="E2" s="1"/>
      <c r="F2" s="1"/>
      <c r="G2" s="1"/>
      <c r="H2" s="1"/>
      <c r="I2" s="1"/>
      <c r="J2" s="128"/>
    </row>
    <row r="3" spans="2:10" ht="14.4">
      <c r="B3" s="1" t="s">
        <v>762</v>
      </c>
      <c r="C3" s="1"/>
      <c r="D3" s="1"/>
      <c r="E3" s="1"/>
      <c r="F3" s="1"/>
      <c r="G3" s="1"/>
      <c r="H3" s="1"/>
      <c r="I3" s="1"/>
      <c r="J3" s="128"/>
    </row>
    <row r="4" spans="2:10" ht="14.4">
      <c r="B4" s="1" t="s">
        <v>763</v>
      </c>
      <c r="C4" s="1"/>
      <c r="D4" s="1"/>
      <c r="E4" s="1"/>
      <c r="F4" s="1"/>
      <c r="G4" s="1"/>
      <c r="H4" s="1"/>
      <c r="I4" s="1"/>
      <c r="J4" s="128"/>
    </row>
    <row r="5" spans="2:10" ht="14.4">
      <c r="B5" s="1" t="s">
        <v>764</v>
      </c>
      <c r="C5" s="1"/>
      <c r="D5" s="1"/>
      <c r="E5" s="1"/>
      <c r="F5" s="1"/>
      <c r="G5" s="1"/>
      <c r="H5" s="1"/>
      <c r="I5" s="1"/>
      <c r="J5" s="128"/>
    </row>
    <row r="6" spans="2:10" ht="14.4">
      <c r="B6" s="1"/>
      <c r="C6" s="1"/>
      <c r="D6" s="1"/>
      <c r="E6" s="1"/>
      <c r="F6" s="1"/>
      <c r="G6" s="1"/>
      <c r="H6" s="1"/>
      <c r="I6" s="1"/>
      <c r="J6" s="128"/>
    </row>
    <row r="7" spans="2:10" ht="115.2">
      <c r="B7" s="319" t="s">
        <v>765</v>
      </c>
      <c r="C7" s="1"/>
      <c r="D7" s="1"/>
      <c r="E7" s="1"/>
      <c r="F7" s="1"/>
      <c r="G7" s="1"/>
      <c r="H7" s="1"/>
      <c r="I7" s="1"/>
      <c r="J7" s="128"/>
    </row>
    <row r="8" spans="2:10" ht="14.4">
      <c r="B8" s="1"/>
      <c r="C8" s="1"/>
      <c r="D8" s="1"/>
      <c r="E8" s="1"/>
      <c r="F8" s="1"/>
      <c r="G8" s="1"/>
      <c r="H8" s="1"/>
      <c r="I8" s="1"/>
      <c r="J8" s="128"/>
    </row>
    <row r="9" spans="2:10" ht="14.4">
      <c r="B9" s="1414" t="s">
        <v>766</v>
      </c>
      <c r="C9" s="1334"/>
      <c r="D9" s="1334"/>
      <c r="E9" s="1334"/>
      <c r="F9" s="1334"/>
      <c r="G9" s="1334"/>
      <c r="H9" s="1334"/>
      <c r="I9" s="1334"/>
      <c r="J9" s="128"/>
    </row>
    <row r="10" spans="2:10" ht="14.4">
      <c r="B10" s="803" t="s">
        <v>767</v>
      </c>
      <c r="C10" s="1242" t="s">
        <v>569</v>
      </c>
      <c r="D10" s="1242" t="s">
        <v>768</v>
      </c>
      <c r="E10" s="1242" t="s">
        <v>769</v>
      </c>
      <c r="F10" s="1242" t="s">
        <v>770</v>
      </c>
      <c r="G10" s="1242" t="s">
        <v>101</v>
      </c>
      <c r="H10" s="1242" t="s">
        <v>102</v>
      </c>
      <c r="I10" s="1242" t="s">
        <v>103</v>
      </c>
      <c r="J10" s="128"/>
    </row>
    <row r="11" spans="2:10" ht="14.4">
      <c r="B11" s="3" t="s">
        <v>373</v>
      </c>
      <c r="C11" s="1243"/>
      <c r="D11" s="1243">
        <f>+'1. Datos'!D6</f>
        <v>0</v>
      </c>
      <c r="E11" s="1243" t="e">
        <f>+'1. Datos'!#REF!</f>
        <v>#REF!</v>
      </c>
      <c r="F11" s="1243" t="e">
        <f>+'1. Datos'!#REF!</f>
        <v>#REF!</v>
      </c>
      <c r="G11" s="1243">
        <f>+'1. Datos'!E8</f>
        <v>0</v>
      </c>
      <c r="H11" s="1243">
        <f>+'1. Datos'!F8</f>
        <v>0</v>
      </c>
      <c r="I11" s="1243">
        <f>+'1. Datos'!G8</f>
        <v>0</v>
      </c>
      <c r="J11" s="128"/>
    </row>
    <row r="12" spans="2:10" ht="14.4">
      <c r="B12" s="3" t="s">
        <v>417</v>
      </c>
      <c r="C12" s="1243"/>
      <c r="D12" s="1243">
        <f>+'1. Datos'!D30</f>
        <v>0</v>
      </c>
      <c r="E12" s="1243" t="e">
        <f>+'1. Datos'!#REF!</f>
        <v>#REF!</v>
      </c>
      <c r="F12" s="1243" t="e">
        <f>+'1. Datos'!#REF!</f>
        <v>#REF!</v>
      </c>
      <c r="G12" s="1243">
        <f>+'1. Datos'!E30</f>
        <v>0</v>
      </c>
      <c r="H12" s="1243">
        <f>+'1. Datos'!F30</f>
        <v>0</v>
      </c>
      <c r="I12" s="1243">
        <f>+'1. Datos'!G30</f>
        <v>0</v>
      </c>
      <c r="J12" s="128"/>
    </row>
    <row r="13" spans="2:10" ht="14.4">
      <c r="B13" s="3" t="s">
        <v>341</v>
      </c>
      <c r="C13" s="1243"/>
      <c r="D13" s="1243">
        <f>+'1. Datos'!D95</f>
        <v>0</v>
      </c>
      <c r="E13" s="1243" t="e">
        <f>+'1. Datos'!#REF!</f>
        <v>#REF!</v>
      </c>
      <c r="F13" s="1243" t="e">
        <f>+'1. Datos'!#REF!</f>
        <v>#REF!</v>
      </c>
      <c r="G13" s="1243">
        <f>+'1. Datos'!E95</f>
        <v>0</v>
      </c>
      <c r="H13" s="1243">
        <f>+'1. Datos'!F95</f>
        <v>0</v>
      </c>
      <c r="I13" s="1243">
        <f>+'1. Datos'!G95</f>
        <v>0</v>
      </c>
      <c r="J13" s="128"/>
    </row>
    <row r="14" spans="2:10" ht="14.4">
      <c r="B14" s="3" t="s">
        <v>352</v>
      </c>
      <c r="C14" s="1243"/>
      <c r="D14" s="1243">
        <f>+'1. Datos'!D123</f>
        <v>0</v>
      </c>
      <c r="E14" s="1243" t="e">
        <f>+'1. Datos'!#REF!</f>
        <v>#REF!</v>
      </c>
      <c r="F14" s="1243" t="e">
        <f>+'1. Datos'!#REF!</f>
        <v>#REF!</v>
      </c>
      <c r="G14" s="1243">
        <f>+'1. Datos'!E123</f>
        <v>0</v>
      </c>
      <c r="H14" s="1243">
        <f>+'1. Datos'!F123</f>
        <v>0</v>
      </c>
      <c r="I14" s="1243">
        <f>+'1. Datos'!G123</f>
        <v>0</v>
      </c>
      <c r="J14" s="128"/>
    </row>
    <row r="15" spans="2:10" ht="14.4">
      <c r="B15" s="3" t="s">
        <v>571</v>
      </c>
      <c r="C15" s="1243"/>
      <c r="D15" s="1243">
        <f>+'1. Datos'!D135</f>
        <v>0</v>
      </c>
      <c r="E15" s="1243" t="e">
        <f>+'1. Datos'!#REF!</f>
        <v>#REF!</v>
      </c>
      <c r="F15" s="1243" t="e">
        <f>+'1. Datos'!#REF!</f>
        <v>#REF!</v>
      </c>
      <c r="G15" s="1243">
        <f>+'1. Datos'!E135</f>
        <v>0</v>
      </c>
      <c r="H15" s="1243">
        <f>+'1. Datos'!F135</f>
        <v>0</v>
      </c>
      <c r="I15" s="1243">
        <f>+'1. Datos'!G135</f>
        <v>0</v>
      </c>
      <c r="J15" s="128"/>
    </row>
    <row r="16" spans="2:10" ht="14.4">
      <c r="B16" s="1244" t="s">
        <v>418</v>
      </c>
      <c r="C16" s="70"/>
      <c r="D16" s="70" t="e">
        <f>+D12/D15</f>
        <v>#DIV/0!</v>
      </c>
      <c r="E16" s="70" t="e">
        <f>+E12/E15</f>
        <v>#REF!</v>
      </c>
      <c r="F16" s="70" t="e">
        <f>+F12/F15</f>
        <v>#REF!</v>
      </c>
      <c r="G16" s="70" t="e">
        <f>+G12/G15</f>
        <v>#DIV/0!</v>
      </c>
      <c r="H16" s="70" t="e">
        <f>+H12/H15</f>
        <v>#DIV/0!</v>
      </c>
      <c r="I16" s="70" t="e">
        <f>+I12/I15</f>
        <v>#DIV/0!</v>
      </c>
      <c r="J16" s="128" t="s">
        <v>585</v>
      </c>
    </row>
    <row r="17" spans="1:21" ht="14.4">
      <c r="A17" s="127" t="s">
        <v>586</v>
      </c>
      <c r="B17" s="1244" t="s">
        <v>587</v>
      </c>
      <c r="C17" s="70"/>
      <c r="D17" s="70" t="e">
        <f>+D12/D13</f>
        <v>#DIV/0!</v>
      </c>
      <c r="E17" s="70" t="e">
        <f>+E12/E13</f>
        <v>#REF!</v>
      </c>
      <c r="F17" s="70" t="e">
        <f>+F12/F13</f>
        <v>#REF!</v>
      </c>
      <c r="G17" s="70" t="e">
        <f>+G12/G13</f>
        <v>#DIV/0!</v>
      </c>
      <c r="H17" s="70" t="e">
        <f>+H12/H13</f>
        <v>#DIV/0!</v>
      </c>
      <c r="I17" s="70" t="e">
        <f>+I12/I13</f>
        <v>#DIV/0!</v>
      </c>
      <c r="J17" s="128" t="s">
        <v>588</v>
      </c>
      <c r="K17" s="1"/>
      <c r="L17" s="1"/>
      <c r="M17" s="1"/>
      <c r="N17" s="1"/>
      <c r="O17" s="1"/>
      <c r="P17" s="1"/>
      <c r="Q17" s="1"/>
      <c r="R17" s="1"/>
      <c r="S17" s="50"/>
      <c r="T17" s="1"/>
      <c r="U17" s="50"/>
    </row>
    <row r="18" spans="1:21" ht="14.4">
      <c r="A18" s="127" t="s">
        <v>589</v>
      </c>
      <c r="B18" s="1244" t="s">
        <v>590</v>
      </c>
      <c r="C18" s="1245"/>
      <c r="D18" s="1245" t="e">
        <f>+D13/D15</f>
        <v>#DIV/0!</v>
      </c>
      <c r="E18" s="1245" t="e">
        <f>+E13/E15</f>
        <v>#REF!</v>
      </c>
      <c r="F18" s="1245" t="e">
        <f>+F13/F15</f>
        <v>#REF!</v>
      </c>
      <c r="G18" s="1245" t="e">
        <f>+G13/G15</f>
        <v>#DIV/0!</v>
      </c>
      <c r="H18" s="1245" t="e">
        <f>+H13/H15</f>
        <v>#DIV/0!</v>
      </c>
      <c r="I18" s="1245" t="e">
        <f>+I13/I15</f>
        <v>#DIV/0!</v>
      </c>
      <c r="J18" s="128" t="s">
        <v>591</v>
      </c>
      <c r="K18" s="1"/>
      <c r="L18" s="1"/>
      <c r="M18" s="1"/>
      <c r="N18" s="1"/>
      <c r="O18" s="1"/>
      <c r="P18" s="1"/>
      <c r="Q18" s="1"/>
      <c r="R18" s="1"/>
      <c r="S18" s="1246"/>
      <c r="T18" s="1"/>
      <c r="U18" s="1247"/>
    </row>
    <row r="19" spans="1:21" ht="14.4">
      <c r="A19" s="1"/>
      <c r="B19" s="1248"/>
      <c r="C19" s="1248"/>
      <c r="D19" s="1248"/>
      <c r="E19" s="1248"/>
      <c r="F19" s="1248"/>
      <c r="G19" s="1"/>
      <c r="H19" s="1"/>
      <c r="I19" s="1"/>
      <c r="J19" s="128"/>
      <c r="K19" s="1"/>
      <c r="L19" s="1"/>
      <c r="M19" s="1"/>
      <c r="N19" s="1"/>
      <c r="O19" s="1"/>
      <c r="P19" s="1"/>
      <c r="Q19" s="1"/>
      <c r="R19" s="1"/>
      <c r="S19" s="181"/>
      <c r="T19" s="1"/>
      <c r="U19" s="181"/>
    </row>
    <row r="20" spans="1:21" ht="14.4" hidden="1">
      <c r="A20" s="1"/>
      <c r="B20" s="1248"/>
      <c r="C20" s="1248"/>
      <c r="D20" s="1248"/>
      <c r="E20" s="1248"/>
      <c r="F20" s="1248"/>
      <c r="G20" s="1"/>
      <c r="H20" s="1"/>
      <c r="I20" s="1"/>
      <c r="J20" s="630"/>
      <c r="K20" s="1"/>
      <c r="L20" s="1"/>
      <c r="M20" s="1"/>
      <c r="N20" s="1"/>
      <c r="O20" s="1"/>
      <c r="P20" s="1"/>
      <c r="Q20" s="1"/>
      <c r="R20" s="1"/>
      <c r="S20" s="1"/>
      <c r="T20" s="1"/>
      <c r="U20" s="1"/>
    </row>
    <row r="21" spans="1:21" ht="15.75" customHeight="1">
      <c r="A21" s="1465" t="s">
        <v>586</v>
      </c>
      <c r="B21" s="1249" t="s">
        <v>592</v>
      </c>
      <c r="C21" s="1250"/>
      <c r="D21" s="1250" t="e">
        <f>+D12/D11</f>
        <v>#DIV/0!</v>
      </c>
      <c r="E21" s="1250" t="e">
        <f>+E12/E11</f>
        <v>#REF!</v>
      </c>
      <c r="F21" s="1250" t="e">
        <f>+F12/F11</f>
        <v>#REF!</v>
      </c>
      <c r="G21" s="1251" t="e">
        <f>+G12/G11</f>
        <v>#DIV/0!</v>
      </c>
      <c r="H21" s="1251" t="e">
        <f>+H12/H11</f>
        <v>#DIV/0!</v>
      </c>
      <c r="I21" s="1251" t="e">
        <f>+I12/I11</f>
        <v>#DIV/0!</v>
      </c>
      <c r="J21" s="128"/>
      <c r="K21" s="1"/>
      <c r="L21" s="1"/>
      <c r="M21" s="1"/>
      <c r="N21" s="1"/>
      <c r="O21" s="1"/>
      <c r="P21" s="1"/>
      <c r="Q21" s="1"/>
      <c r="R21" s="1"/>
      <c r="S21" s="1"/>
      <c r="T21" s="1"/>
      <c r="U21" s="1"/>
    </row>
    <row r="22" spans="1:21" ht="15.75" customHeight="1">
      <c r="A22" s="1466"/>
      <c r="B22" s="1249" t="s">
        <v>593</v>
      </c>
      <c r="C22" s="1250"/>
      <c r="D22" s="1250" t="e">
        <f>+D11/D13</f>
        <v>#DIV/0!</v>
      </c>
      <c r="E22" s="1250" t="e">
        <f>+E11/E13</f>
        <v>#REF!</v>
      </c>
      <c r="F22" s="1250" t="e">
        <f>+F11/F13</f>
        <v>#REF!</v>
      </c>
      <c r="G22" s="1251" t="e">
        <f>+G11/G13</f>
        <v>#DIV/0!</v>
      </c>
      <c r="H22" s="1251" t="e">
        <f>+H11/H13</f>
        <v>#DIV/0!</v>
      </c>
      <c r="I22" s="1251" t="e">
        <f>+I11/I13</f>
        <v>#DIV/0!</v>
      </c>
      <c r="J22" s="128"/>
      <c r="K22" s="1"/>
      <c r="L22" s="1"/>
      <c r="M22" s="1"/>
      <c r="N22" s="1"/>
      <c r="O22" s="1"/>
      <c r="P22" s="1"/>
      <c r="Q22" s="1"/>
      <c r="R22" s="1"/>
      <c r="S22" s="1"/>
      <c r="T22" s="1"/>
      <c r="U22" s="1"/>
    </row>
    <row r="23" spans="1:21" ht="15.75" customHeight="1">
      <c r="A23" s="1042" t="s">
        <v>589</v>
      </c>
      <c r="B23" s="1249" t="s">
        <v>590</v>
      </c>
      <c r="C23" s="1252"/>
      <c r="D23" s="1252" t="e">
        <f>+D13/D15</f>
        <v>#DIV/0!</v>
      </c>
      <c r="E23" s="1252" t="e">
        <f>+E13/E15</f>
        <v>#REF!</v>
      </c>
      <c r="F23" s="1252" t="e">
        <f>+F13/F15</f>
        <v>#REF!</v>
      </c>
      <c r="G23" s="157" t="e">
        <f>+G13/G15</f>
        <v>#DIV/0!</v>
      </c>
      <c r="H23" s="157" t="e">
        <f>+H13/H15</f>
        <v>#DIV/0!</v>
      </c>
      <c r="I23" s="157" t="e">
        <f>+I13/I15</f>
        <v>#DIV/0!</v>
      </c>
      <c r="J23" s="1253"/>
      <c r="K23" s="1"/>
      <c r="L23" s="1"/>
      <c r="M23" s="1"/>
      <c r="N23" s="1"/>
      <c r="O23" s="1"/>
      <c r="P23" s="1"/>
      <c r="Q23" s="1"/>
      <c r="R23" s="1"/>
      <c r="S23" s="1"/>
      <c r="T23" s="1"/>
      <c r="U23" s="1"/>
    </row>
    <row r="24" spans="1:21" ht="15.75" customHeight="1">
      <c r="A24" s="1"/>
      <c r="B24" s="1254" t="s">
        <v>594</v>
      </c>
      <c r="C24" s="1250"/>
      <c r="D24" s="1250" t="e">
        <f>+D21*D22*D23</f>
        <v>#DIV/0!</v>
      </c>
      <c r="E24" s="1250" t="e">
        <f>+E21*E22*E23</f>
        <v>#REF!</v>
      </c>
      <c r="F24" s="1250" t="e">
        <f>+F21*F22*F23</f>
        <v>#REF!</v>
      </c>
      <c r="G24" s="1251" t="e">
        <f>+G21*G22*G23</f>
        <v>#DIV/0!</v>
      </c>
      <c r="H24" s="1251" t="e">
        <f>+H21*H22*H23</f>
        <v>#DIV/0!</v>
      </c>
      <c r="I24" s="1251" t="e">
        <f>+I21*I22*I23</f>
        <v>#DIV/0!</v>
      </c>
      <c r="J24" s="128"/>
      <c r="K24" s="1"/>
      <c r="L24" s="1"/>
      <c r="M24" s="1"/>
      <c r="N24" s="1"/>
      <c r="O24" s="1"/>
      <c r="P24" s="1"/>
      <c r="Q24" s="1"/>
      <c r="R24" s="1"/>
      <c r="S24" s="1"/>
      <c r="T24" s="1"/>
      <c r="U24" s="1"/>
    </row>
    <row r="25" spans="1:21" ht="15.75" customHeight="1">
      <c r="A25" s="1"/>
      <c r="B25" s="1045" t="s">
        <v>595</v>
      </c>
      <c r="C25" s="1046"/>
      <c r="D25" s="1046" t="e">
        <f>+D16-D24</f>
        <v>#DIV/0!</v>
      </c>
      <c r="E25" s="1046" t="e">
        <f>+E16-E24</f>
        <v>#REF!</v>
      </c>
      <c r="F25" s="1046" t="e">
        <f>+F16-F24</f>
        <v>#REF!</v>
      </c>
      <c r="G25" s="1046" t="e">
        <f>+G16-G24</f>
        <v>#DIV/0!</v>
      </c>
      <c r="H25" s="1046" t="e">
        <f>+H16-H24</f>
        <v>#DIV/0!</v>
      </c>
      <c r="I25" s="1046" t="e">
        <f>+I16-I24</f>
        <v>#DIV/0!</v>
      </c>
      <c r="J25" s="128"/>
      <c r="K25" s="1"/>
      <c r="L25" s="1"/>
      <c r="M25" s="1"/>
      <c r="N25" s="1"/>
      <c r="O25" s="1"/>
      <c r="P25" s="1"/>
      <c r="Q25" s="1"/>
      <c r="R25" s="1"/>
      <c r="S25" s="1"/>
      <c r="T25" s="1"/>
      <c r="U25" s="1"/>
    </row>
    <row r="26" spans="1:21" ht="15.75" customHeight="1">
      <c r="A26" s="1"/>
      <c r="B26" s="1"/>
      <c r="C26" s="1"/>
      <c r="D26" s="1"/>
      <c r="E26" s="1"/>
      <c r="F26" s="1"/>
      <c r="G26" s="1"/>
      <c r="H26" s="1"/>
      <c r="I26" s="1"/>
      <c r="J26" s="128"/>
      <c r="K26" s="1"/>
      <c r="L26" s="1"/>
      <c r="M26" s="1"/>
      <c r="N26" s="1"/>
      <c r="O26" s="1"/>
      <c r="P26" s="1"/>
      <c r="Q26" s="1"/>
      <c r="R26" s="1"/>
      <c r="S26" s="1"/>
      <c r="T26" s="1"/>
      <c r="U26" s="1"/>
    </row>
    <row r="27" spans="1:21" ht="15.75" customHeight="1">
      <c r="A27" s="1"/>
      <c r="B27" s="1"/>
      <c r="C27" s="1"/>
      <c r="D27" s="1"/>
      <c r="E27" s="1"/>
      <c r="F27" s="1"/>
      <c r="G27" s="1"/>
      <c r="H27" s="1"/>
      <c r="I27" s="1"/>
      <c r="J27" s="128"/>
      <c r="K27" s="1"/>
      <c r="L27" s="1"/>
      <c r="M27" s="1"/>
      <c r="N27" s="1"/>
      <c r="O27" s="1"/>
      <c r="P27" s="1"/>
      <c r="Q27" s="1"/>
      <c r="R27" s="1"/>
      <c r="S27" s="1"/>
      <c r="T27" s="1"/>
      <c r="U27" s="1"/>
    </row>
    <row r="28" spans="1:21" ht="15.75" customHeight="1">
      <c r="A28" s="1"/>
      <c r="B28" s="73" t="s">
        <v>771</v>
      </c>
      <c r="C28" s="1"/>
      <c r="D28" s="1"/>
      <c r="E28" s="1"/>
      <c r="F28" s="1"/>
      <c r="G28" s="1"/>
      <c r="H28" s="1"/>
      <c r="I28" s="1"/>
      <c r="J28" s="128"/>
      <c r="K28" s="1"/>
      <c r="L28" s="1"/>
      <c r="M28" s="1"/>
      <c r="N28" s="1"/>
      <c r="O28" s="1"/>
      <c r="P28" s="1"/>
      <c r="Q28" s="1"/>
      <c r="R28" s="1"/>
      <c r="S28" s="1"/>
      <c r="T28" s="1"/>
      <c r="U28" s="1"/>
    </row>
    <row r="29" spans="1:21" ht="15.75" customHeight="1">
      <c r="A29" s="1"/>
      <c r="B29" s="73"/>
      <c r="C29" s="1"/>
      <c r="D29" s="1"/>
      <c r="E29" s="1"/>
      <c r="F29" s="1"/>
      <c r="G29" s="1"/>
      <c r="H29" s="1"/>
      <c r="I29" s="1"/>
      <c r="J29" s="128"/>
      <c r="K29" s="1"/>
      <c r="L29" s="1"/>
      <c r="M29" s="1"/>
      <c r="N29" s="1"/>
      <c r="O29" s="1"/>
      <c r="P29" s="1"/>
      <c r="Q29" s="1"/>
      <c r="R29" s="1"/>
      <c r="S29" s="1"/>
      <c r="T29" s="1"/>
      <c r="U29" s="1"/>
    </row>
    <row r="30" spans="1:21" ht="15.75" customHeight="1">
      <c r="A30" s="1"/>
      <c r="B30" s="1255" t="str">
        <f>B21</f>
        <v>Margen Neto</v>
      </c>
      <c r="C30" s="1256">
        <f>C21</f>
        <v>0</v>
      </c>
      <c r="D30" s="1256" t="e">
        <f>D21</f>
        <v>#DIV/0!</v>
      </c>
      <c r="E30" s="1256" t="e">
        <f>E21</f>
        <v>#REF!</v>
      </c>
      <c r="F30" s="1256"/>
      <c r="G30" s="1256" t="e">
        <f>G21</f>
        <v>#DIV/0!</v>
      </c>
      <c r="H30" s="1256" t="e">
        <f>H21</f>
        <v>#DIV/0!</v>
      </c>
      <c r="I30" s="1256" t="e">
        <f>I21</f>
        <v>#DIV/0!</v>
      </c>
      <c r="J30" s="145" t="e">
        <f>+AVERAGE(G30:I30)</f>
        <v>#DIV/0!</v>
      </c>
      <c r="K30" s="1"/>
      <c r="L30" s="1"/>
      <c r="M30" s="1"/>
      <c r="N30" s="1"/>
      <c r="O30" s="1"/>
      <c r="P30" s="1"/>
      <c r="Q30" s="1"/>
      <c r="R30" s="1"/>
      <c r="S30" s="1"/>
      <c r="T30" s="1"/>
      <c r="U30" s="1"/>
    </row>
    <row r="31" spans="1:21" ht="15" customHeight="1">
      <c r="A31" s="1"/>
      <c r="B31" s="1478" t="s">
        <v>772</v>
      </c>
      <c r="C31" s="1371"/>
      <c r="D31" s="1371"/>
      <c r="E31" s="1371"/>
      <c r="F31" s="1371"/>
      <c r="G31" s="1371"/>
      <c r="H31" s="1371"/>
      <c r="I31" s="1477"/>
      <c r="J31" s="128"/>
      <c r="K31" s="1"/>
      <c r="L31" s="1"/>
      <c r="M31" s="1"/>
      <c r="N31" s="1"/>
      <c r="O31" s="1"/>
      <c r="P31" s="1"/>
      <c r="Q31" s="1"/>
      <c r="R31" s="1"/>
      <c r="S31" s="1"/>
      <c r="T31" s="1"/>
      <c r="U31" s="1"/>
    </row>
    <row r="32" spans="1:21" ht="15.75" customHeight="1">
      <c r="A32" s="1"/>
      <c r="B32" s="1403"/>
      <c r="C32" s="1334"/>
      <c r="D32" s="1334"/>
      <c r="E32" s="1334"/>
      <c r="F32" s="1334"/>
      <c r="G32" s="1334"/>
      <c r="H32" s="1334"/>
      <c r="I32" s="1479"/>
      <c r="J32" s="128"/>
      <c r="K32" s="1"/>
      <c r="L32" s="1"/>
      <c r="M32" s="1"/>
      <c r="N32" s="1"/>
      <c r="O32" s="1"/>
      <c r="P32" s="1"/>
      <c r="Q32" s="1"/>
      <c r="R32" s="1"/>
      <c r="S32" s="1"/>
      <c r="T32" s="1"/>
      <c r="U32" s="1"/>
    </row>
    <row r="33" spans="1:10" ht="26.25" customHeight="1">
      <c r="A33" s="1"/>
      <c r="B33" s="1466"/>
      <c r="C33" s="1337"/>
      <c r="D33" s="1337"/>
      <c r="E33" s="1337"/>
      <c r="F33" s="1337"/>
      <c r="G33" s="1337"/>
      <c r="H33" s="1337"/>
      <c r="I33" s="1442"/>
      <c r="J33" s="1257" t="s">
        <v>773</v>
      </c>
    </row>
    <row r="34" spans="1:10" ht="15.75" customHeight="1">
      <c r="A34" s="1"/>
      <c r="B34" s="235"/>
      <c r="C34" s="235"/>
      <c r="D34" s="235"/>
      <c r="E34" s="235"/>
      <c r="F34" s="235"/>
      <c r="G34" s="235"/>
      <c r="H34" s="235"/>
      <c r="I34" s="235"/>
      <c r="J34" s="128"/>
    </row>
    <row r="35" spans="1:10" ht="15.75" customHeight="1">
      <c r="A35" s="1"/>
      <c r="B35" s="1255" t="str">
        <f>B22</f>
        <v>Rotación de Activo Total</v>
      </c>
      <c r="C35" s="1256">
        <f>C22</f>
        <v>0</v>
      </c>
      <c r="D35" s="1256" t="e">
        <f>D22</f>
        <v>#DIV/0!</v>
      </c>
      <c r="E35" s="1256" t="e">
        <f>E22</f>
        <v>#REF!</v>
      </c>
      <c r="F35" s="1256" t="e">
        <f>F22</f>
        <v>#REF!</v>
      </c>
      <c r="G35" s="1256" t="e">
        <f>G22</f>
        <v>#DIV/0!</v>
      </c>
      <c r="H35" s="1256" t="e">
        <f>H22</f>
        <v>#DIV/0!</v>
      </c>
      <c r="I35" s="1256" t="e">
        <f>I22</f>
        <v>#DIV/0!</v>
      </c>
      <c r="J35" s="145" t="e">
        <f>+AVERAGE(D35:I35)</f>
        <v>#DIV/0!</v>
      </c>
    </row>
    <row r="36" spans="1:10" ht="15" customHeight="1">
      <c r="A36" s="1"/>
      <c r="B36" s="1478" t="s">
        <v>774</v>
      </c>
      <c r="C36" s="1371"/>
      <c r="D36" s="1371"/>
      <c r="E36" s="1371"/>
      <c r="F36" s="1371"/>
      <c r="G36" s="1371"/>
      <c r="H36" s="1371"/>
      <c r="I36" s="1477"/>
      <c r="J36" s="128"/>
    </row>
    <row r="37" spans="1:10" ht="24" customHeight="1">
      <c r="A37" s="1"/>
      <c r="B37" s="1466"/>
      <c r="C37" s="1337"/>
      <c r="D37" s="1337"/>
      <c r="E37" s="1337"/>
      <c r="F37" s="1337"/>
      <c r="G37" s="1337"/>
      <c r="H37" s="1337"/>
      <c r="I37" s="1442"/>
      <c r="J37" s="1257" t="s">
        <v>773</v>
      </c>
    </row>
    <row r="38" spans="1:10" ht="15.75" customHeight="1">
      <c r="A38" s="1"/>
      <c r="B38" s="235"/>
      <c r="C38" s="235"/>
      <c r="D38" s="235"/>
      <c r="E38" s="235"/>
      <c r="F38" s="235"/>
      <c r="G38" s="235"/>
      <c r="H38" s="235"/>
      <c r="I38" s="235"/>
      <c r="J38" s="128"/>
    </row>
    <row r="39" spans="1:10" ht="15.75" customHeight="1">
      <c r="A39" s="1"/>
      <c r="B39" s="1255" t="s">
        <v>590</v>
      </c>
      <c r="C39" s="1258">
        <f>C23</f>
        <v>0</v>
      </c>
      <c r="D39" s="1258" t="e">
        <f>D23</f>
        <v>#DIV/0!</v>
      </c>
      <c r="E39" s="1258" t="e">
        <f>E23</f>
        <v>#REF!</v>
      </c>
      <c r="F39" s="1258" t="e">
        <f>F23</f>
        <v>#REF!</v>
      </c>
      <c r="G39" s="1258" t="e">
        <f>G23</f>
        <v>#DIV/0!</v>
      </c>
      <c r="H39" s="1258" t="e">
        <f>H23</f>
        <v>#DIV/0!</v>
      </c>
      <c r="I39" s="1258" t="e">
        <f>I23</f>
        <v>#DIV/0!</v>
      </c>
      <c r="J39" s="145" t="e">
        <f>+AVERAGE(D39:I39)</f>
        <v>#DIV/0!</v>
      </c>
    </row>
    <row r="40" spans="1:10" ht="15" customHeight="1">
      <c r="A40" s="1"/>
      <c r="B40" s="1478" t="s">
        <v>775</v>
      </c>
      <c r="C40" s="1371"/>
      <c r="D40" s="1371"/>
      <c r="E40" s="1371"/>
      <c r="F40" s="1371"/>
      <c r="G40" s="1371"/>
      <c r="H40" s="1371"/>
      <c r="I40" s="1477"/>
      <c r="J40" s="128"/>
    </row>
    <row r="41" spans="1:10" ht="15.75" customHeight="1">
      <c r="A41" s="1"/>
      <c r="B41" s="1403"/>
      <c r="C41" s="1334"/>
      <c r="D41" s="1334"/>
      <c r="E41" s="1334"/>
      <c r="F41" s="1334"/>
      <c r="G41" s="1334"/>
      <c r="H41" s="1334"/>
      <c r="I41" s="1479"/>
      <c r="J41" s="128"/>
    </row>
    <row r="42" spans="1:10" ht="3" customHeight="1">
      <c r="A42" s="1"/>
      <c r="B42" s="1466"/>
      <c r="C42" s="1337"/>
      <c r="D42" s="1337"/>
      <c r="E42" s="1337"/>
      <c r="F42" s="1337"/>
      <c r="G42" s="1337"/>
      <c r="H42" s="1337"/>
      <c r="I42" s="1442"/>
      <c r="J42" s="1257" t="s">
        <v>773</v>
      </c>
    </row>
    <row r="43" spans="1:10" ht="15.75" customHeight="1">
      <c r="A43" s="1"/>
      <c r="B43" s="235"/>
      <c r="C43" s="235"/>
      <c r="D43" s="235"/>
      <c r="E43" s="235"/>
      <c r="F43" s="235"/>
      <c r="G43" s="235"/>
      <c r="H43" s="235"/>
      <c r="I43" s="235"/>
      <c r="J43" s="128"/>
    </row>
    <row r="44" spans="1:10" ht="15.75" customHeight="1">
      <c r="A44" s="127" t="str">
        <f>A17</f>
        <v>ROA</v>
      </c>
      <c r="B44" s="1255" t="str">
        <f>B17</f>
        <v>ROA (Rentabilidad de Activos)</v>
      </c>
      <c r="C44" s="1259">
        <f>C17</f>
        <v>0</v>
      </c>
      <c r="D44" s="1256" t="e">
        <f>D17</f>
        <v>#DIV/0!</v>
      </c>
      <c r="E44" s="1256" t="e">
        <f>E17</f>
        <v>#REF!</v>
      </c>
      <c r="F44" s="1256" t="e">
        <f>F17</f>
        <v>#REF!</v>
      </c>
      <c r="G44" s="1256" t="e">
        <f>G17</f>
        <v>#DIV/0!</v>
      </c>
      <c r="H44" s="1256" t="e">
        <f>H17</f>
        <v>#DIV/0!</v>
      </c>
      <c r="I44" s="1256" t="e">
        <f>I17</f>
        <v>#DIV/0!</v>
      </c>
      <c r="J44" s="145" t="e">
        <f>+AVERAGE(D44:I44)</f>
        <v>#DIV/0!</v>
      </c>
    </row>
    <row r="45" spans="1:10" ht="15" customHeight="1">
      <c r="A45" s="1"/>
      <c r="B45" s="1476" t="s">
        <v>776</v>
      </c>
      <c r="C45" s="1371"/>
      <c r="D45" s="1371"/>
      <c r="E45" s="1371"/>
      <c r="F45" s="1371"/>
      <c r="G45" s="1371"/>
      <c r="H45" s="1371"/>
      <c r="I45" s="1477"/>
      <c r="J45" s="128"/>
    </row>
    <row r="46" spans="1:10" ht="28.5" customHeight="1">
      <c r="A46" s="1"/>
      <c r="B46" s="1466"/>
      <c r="C46" s="1337"/>
      <c r="D46" s="1337"/>
      <c r="E46" s="1337"/>
      <c r="F46" s="1337"/>
      <c r="G46" s="1337"/>
      <c r="H46" s="1337"/>
      <c r="I46" s="1442"/>
      <c r="J46" s="1257" t="s">
        <v>773</v>
      </c>
    </row>
    <row r="47" spans="1:10" ht="15.75" customHeight="1">
      <c r="A47" s="1"/>
      <c r="B47" s="235"/>
      <c r="C47" s="235"/>
      <c r="D47" s="235"/>
      <c r="E47" s="235"/>
      <c r="F47" s="235"/>
      <c r="G47" s="235"/>
      <c r="H47" s="235"/>
      <c r="I47" s="235"/>
      <c r="J47" s="128"/>
    </row>
    <row r="48" spans="1:10" ht="15.75" customHeight="1">
      <c r="A48" s="1"/>
      <c r="B48" s="1255" t="str">
        <f>B16</f>
        <v>ROE</v>
      </c>
      <c r="C48" s="1256">
        <f>C16</f>
        <v>0</v>
      </c>
      <c r="D48" s="1256" t="e">
        <f>D16</f>
        <v>#DIV/0!</v>
      </c>
      <c r="E48" s="1256" t="e">
        <f>E16</f>
        <v>#REF!</v>
      </c>
      <c r="F48" s="1256" t="e">
        <f>F16</f>
        <v>#REF!</v>
      </c>
      <c r="G48" s="1256" t="e">
        <f>G16</f>
        <v>#DIV/0!</v>
      </c>
      <c r="H48" s="1256" t="e">
        <f>H16</f>
        <v>#DIV/0!</v>
      </c>
      <c r="I48" s="1256" t="e">
        <f>I16</f>
        <v>#DIV/0!</v>
      </c>
      <c r="J48" s="145" t="e">
        <f>+AVERAGE(D48:I48)</f>
        <v>#DIV/0!</v>
      </c>
    </row>
    <row r="49" spans="2:10" ht="15" customHeight="1">
      <c r="B49" s="1478" t="s">
        <v>777</v>
      </c>
      <c r="C49" s="1371"/>
      <c r="D49" s="1371"/>
      <c r="E49" s="1371"/>
      <c r="F49" s="1371"/>
      <c r="G49" s="1371"/>
      <c r="H49" s="1371"/>
      <c r="I49" s="1477"/>
      <c r="J49" s="128"/>
    </row>
    <row r="50" spans="2:10" ht="15.75" customHeight="1">
      <c r="B50" s="1403"/>
      <c r="C50" s="1334"/>
      <c r="D50" s="1334"/>
      <c r="E50" s="1334"/>
      <c r="F50" s="1334"/>
      <c r="G50" s="1334"/>
      <c r="H50" s="1334"/>
      <c r="I50" s="1479"/>
      <c r="J50" s="128"/>
    </row>
    <row r="51" spans="2:10" ht="27" customHeight="1">
      <c r="B51" s="1466"/>
      <c r="C51" s="1337"/>
      <c r="D51" s="1337"/>
      <c r="E51" s="1337"/>
      <c r="F51" s="1337"/>
      <c r="G51" s="1337"/>
      <c r="H51" s="1337"/>
      <c r="I51" s="1442"/>
      <c r="J51" s="1257" t="s">
        <v>773</v>
      </c>
    </row>
    <row r="52" spans="2:10" ht="15.75" customHeight="1">
      <c r="B52" s="1"/>
      <c r="C52" s="1"/>
      <c r="D52" s="1"/>
      <c r="E52" s="1"/>
      <c r="F52" s="1"/>
      <c r="G52" s="1"/>
      <c r="H52" s="1"/>
      <c r="I52" s="1"/>
      <c r="J52" s="128"/>
    </row>
    <row r="53" spans="2:10" ht="15.75" customHeight="1">
      <c r="B53" s="1"/>
      <c r="C53" s="1"/>
      <c r="D53" s="1"/>
      <c r="E53" s="1"/>
      <c r="F53" s="1"/>
      <c r="G53" s="1"/>
      <c r="H53" s="1"/>
      <c r="I53" s="1"/>
      <c r="J53" s="128"/>
    </row>
    <row r="54" spans="2:10" ht="15.75" customHeight="1">
      <c r="B54" s="1"/>
      <c r="C54" s="1"/>
      <c r="D54" s="1"/>
      <c r="E54" s="1"/>
      <c r="F54" s="1"/>
      <c r="G54" s="1"/>
      <c r="H54" s="1"/>
      <c r="I54" s="1"/>
      <c r="J54" s="128"/>
    </row>
    <row r="55" spans="2:10" ht="15.75" customHeight="1">
      <c r="B55" s="1"/>
      <c r="C55" s="1"/>
      <c r="D55" s="1"/>
      <c r="E55" s="1"/>
      <c r="F55" s="1"/>
      <c r="G55" s="1"/>
      <c r="H55" s="1"/>
      <c r="I55" s="1"/>
      <c r="J55" s="128"/>
    </row>
    <row r="56" spans="2:10" ht="15.75" customHeight="1">
      <c r="B56" s="12" t="s">
        <v>778</v>
      </c>
      <c r="C56" s="1"/>
      <c r="D56" s="1"/>
      <c r="E56" s="1"/>
      <c r="F56" s="1"/>
      <c r="G56" s="1"/>
      <c r="H56" s="1"/>
      <c r="I56" s="1"/>
      <c r="J56" s="128"/>
    </row>
    <row r="57" spans="2:10" ht="15.75" customHeight="1">
      <c r="B57" s="1"/>
      <c r="C57" s="1"/>
      <c r="D57" s="1"/>
      <c r="E57" s="1"/>
      <c r="F57" s="1"/>
      <c r="G57" s="1"/>
      <c r="H57" s="1"/>
      <c r="I57" s="1"/>
      <c r="J57" s="128"/>
    </row>
    <row r="58" spans="2:10" ht="15.75" customHeight="1">
      <c r="B58" s="1"/>
      <c r="C58" s="1"/>
      <c r="D58" s="1"/>
      <c r="E58" s="1"/>
      <c r="F58" s="1"/>
      <c r="G58" s="1"/>
      <c r="H58" s="1"/>
      <c r="I58" s="1"/>
      <c r="J58" s="128"/>
    </row>
    <row r="59" spans="2:10" ht="15.75" customHeight="1">
      <c r="B59" s="1"/>
      <c r="C59" s="1"/>
      <c r="D59" s="1"/>
      <c r="E59" s="1"/>
      <c r="F59" s="1"/>
      <c r="G59" s="1"/>
      <c r="H59" s="1"/>
      <c r="I59" s="1"/>
      <c r="J59" s="128"/>
    </row>
    <row r="60" spans="2:10" ht="15.75" customHeight="1">
      <c r="B60" s="1"/>
      <c r="C60" s="1"/>
      <c r="D60" s="1"/>
      <c r="E60" s="1"/>
      <c r="F60" s="1"/>
      <c r="G60" s="1"/>
      <c r="H60" s="1"/>
      <c r="I60" s="1"/>
      <c r="J60" s="128"/>
    </row>
    <row r="61" spans="2:10" ht="15.75" customHeight="1">
      <c r="B61" s="1"/>
      <c r="C61" s="1"/>
      <c r="D61" s="1"/>
      <c r="E61" s="1"/>
      <c r="F61" s="1"/>
      <c r="G61" s="1"/>
      <c r="H61" s="1"/>
      <c r="I61" s="1"/>
      <c r="J61" s="128"/>
    </row>
    <row r="62" spans="2:10" ht="15.75" customHeight="1">
      <c r="B62" s="1"/>
      <c r="C62" s="1"/>
      <c r="D62" s="1"/>
      <c r="E62" s="1"/>
      <c r="F62" s="1"/>
      <c r="G62" s="1"/>
      <c r="H62" s="1"/>
      <c r="I62" s="1"/>
      <c r="J62" s="128"/>
    </row>
    <row r="63" spans="2:10" ht="15.75" customHeight="1">
      <c r="B63" s="1"/>
      <c r="C63" s="1"/>
      <c r="D63" s="1"/>
      <c r="E63" s="1"/>
      <c r="F63" s="1"/>
      <c r="G63" s="1"/>
      <c r="H63" s="1"/>
      <c r="I63" s="1"/>
      <c r="J63" s="128"/>
    </row>
    <row r="64" spans="2:10" ht="15.75" customHeight="1">
      <c r="B64" s="1"/>
      <c r="C64" s="1"/>
      <c r="D64" s="1"/>
      <c r="E64" s="1"/>
      <c r="F64" s="1"/>
      <c r="G64" s="1"/>
      <c r="H64" s="1"/>
      <c r="I64" s="1"/>
      <c r="J64" s="128"/>
    </row>
    <row r="65" spans="10:10" ht="15.75" customHeight="1">
      <c r="J65" s="128"/>
    </row>
    <row r="66" spans="10:10" ht="15.75" customHeight="1">
      <c r="J66" s="128"/>
    </row>
    <row r="67" spans="10:10" ht="15.75" customHeight="1">
      <c r="J67" s="128"/>
    </row>
    <row r="68" spans="10:10" ht="15.75" customHeight="1">
      <c r="J68" s="128"/>
    </row>
    <row r="69" spans="10:10" ht="15.75" customHeight="1">
      <c r="J69" s="128"/>
    </row>
    <row r="70" spans="10:10" ht="15.75" customHeight="1">
      <c r="J70" s="128"/>
    </row>
    <row r="71" spans="10:10" ht="15.75" customHeight="1">
      <c r="J71" s="128"/>
    </row>
    <row r="72" spans="10:10" ht="15.75" customHeight="1">
      <c r="J72" s="128"/>
    </row>
    <row r="73" spans="10:10" ht="15.75" customHeight="1">
      <c r="J73" s="128"/>
    </row>
    <row r="74" spans="10:10" ht="15.75" customHeight="1">
      <c r="J74" s="128"/>
    </row>
    <row r="75" spans="10:10" ht="15.75" customHeight="1">
      <c r="J75" s="128"/>
    </row>
    <row r="76" spans="10:10" ht="15.75" customHeight="1">
      <c r="J76" s="128"/>
    </row>
    <row r="77" spans="10:10" ht="15.75" customHeight="1">
      <c r="J77" s="128"/>
    </row>
    <row r="78" spans="10:10" ht="15.75" customHeight="1">
      <c r="J78" s="128"/>
    </row>
    <row r="79" spans="10:10" ht="15.75" customHeight="1">
      <c r="J79" s="128"/>
    </row>
    <row r="80" spans="10:10" ht="15.75" customHeight="1">
      <c r="J80" s="128"/>
    </row>
    <row r="81" spans="10:10" ht="15.75" customHeight="1">
      <c r="J81" s="128"/>
    </row>
    <row r="82" spans="10:10" ht="15.75" customHeight="1">
      <c r="J82" s="128"/>
    </row>
    <row r="83" spans="10:10" ht="15.75" customHeight="1">
      <c r="J83" s="128"/>
    </row>
    <row r="84" spans="10:10" ht="15.75" customHeight="1">
      <c r="J84" s="128"/>
    </row>
    <row r="85" spans="10:10" ht="15.75" customHeight="1">
      <c r="J85" s="128"/>
    </row>
    <row r="86" spans="10:10" ht="15.75" customHeight="1">
      <c r="J86" s="128"/>
    </row>
    <row r="87" spans="10:10" ht="15.75" customHeight="1">
      <c r="J87" s="128"/>
    </row>
    <row r="88" spans="10:10" ht="15.75" customHeight="1">
      <c r="J88" s="128"/>
    </row>
    <row r="89" spans="10:10" ht="15.75" customHeight="1">
      <c r="J89" s="128"/>
    </row>
    <row r="90" spans="10:10" ht="15.75" customHeight="1">
      <c r="J90" s="128"/>
    </row>
    <row r="91" spans="10:10" ht="15.75" customHeight="1">
      <c r="J91" s="128"/>
    </row>
    <row r="92" spans="10:10" ht="15.75" customHeight="1">
      <c r="J92" s="128"/>
    </row>
    <row r="93" spans="10:10" ht="15.75" customHeight="1">
      <c r="J93" s="128"/>
    </row>
    <row r="94" spans="10:10" ht="15.75" customHeight="1">
      <c r="J94" s="128"/>
    </row>
    <row r="95" spans="10:10" ht="15.75" customHeight="1">
      <c r="J95" s="128"/>
    </row>
    <row r="96" spans="10:10" ht="15.75" customHeight="1">
      <c r="J96" s="128"/>
    </row>
    <row r="97" spans="10:10" ht="15.75" customHeight="1">
      <c r="J97" s="128"/>
    </row>
    <row r="98" spans="10:10" ht="15.75" customHeight="1">
      <c r="J98" s="128"/>
    </row>
    <row r="99" spans="10:10" ht="15.75" customHeight="1">
      <c r="J99" s="128"/>
    </row>
    <row r="100" spans="10:10" ht="15.75" customHeight="1">
      <c r="J100" s="128"/>
    </row>
    <row r="101" spans="10:10" ht="15.75" customHeight="1">
      <c r="J101" s="128"/>
    </row>
    <row r="102" spans="10:10" ht="15.75" customHeight="1">
      <c r="J102" s="128"/>
    </row>
    <row r="103" spans="10:10" ht="15.75" customHeight="1">
      <c r="J103" s="128"/>
    </row>
    <row r="104" spans="10:10" ht="15.75" customHeight="1">
      <c r="J104" s="128"/>
    </row>
    <row r="105" spans="10:10" ht="15.75" customHeight="1">
      <c r="J105" s="128"/>
    </row>
    <row r="106" spans="10:10" ht="15.75" customHeight="1">
      <c r="J106" s="128"/>
    </row>
    <row r="107" spans="10:10" ht="15.75" customHeight="1">
      <c r="J107" s="128"/>
    </row>
    <row r="108" spans="10:10" ht="15.75" customHeight="1">
      <c r="J108" s="128"/>
    </row>
    <row r="109" spans="10:10" ht="15.75" customHeight="1">
      <c r="J109" s="128"/>
    </row>
    <row r="110" spans="10:10" ht="15.75" customHeight="1">
      <c r="J110" s="128"/>
    </row>
    <row r="111" spans="10:10" ht="15.75" customHeight="1">
      <c r="J111" s="128"/>
    </row>
    <row r="112" spans="10:10" ht="15.75" customHeight="1">
      <c r="J112" s="128"/>
    </row>
    <row r="113" spans="10:10" ht="15.75" customHeight="1">
      <c r="J113" s="128"/>
    </row>
    <row r="114" spans="10:10" ht="15.75" customHeight="1">
      <c r="J114" s="128"/>
    </row>
    <row r="115" spans="10:10" ht="15.75" customHeight="1">
      <c r="J115" s="128"/>
    </row>
    <row r="116" spans="10:10" ht="15.75" customHeight="1">
      <c r="J116" s="128"/>
    </row>
    <row r="117" spans="10:10" ht="15.75" customHeight="1">
      <c r="J117" s="128"/>
    </row>
    <row r="118" spans="10:10" ht="15.75" customHeight="1">
      <c r="J118" s="128"/>
    </row>
    <row r="119" spans="10:10" ht="15.75" customHeight="1">
      <c r="J119" s="128"/>
    </row>
    <row r="120" spans="10:10" ht="15.75" customHeight="1">
      <c r="J120" s="128"/>
    </row>
    <row r="121" spans="10:10" ht="15.75" customHeight="1">
      <c r="J121" s="128"/>
    </row>
    <row r="122" spans="10:10" ht="15.75" customHeight="1">
      <c r="J122" s="128"/>
    </row>
    <row r="123" spans="10:10" ht="15.75" customHeight="1">
      <c r="J123" s="128"/>
    </row>
    <row r="124" spans="10:10" ht="15.75" customHeight="1">
      <c r="J124" s="128"/>
    </row>
    <row r="125" spans="10:10" ht="15.75" customHeight="1">
      <c r="J125" s="128"/>
    </row>
    <row r="126" spans="10:10" ht="15.75" customHeight="1">
      <c r="J126" s="128"/>
    </row>
    <row r="127" spans="10:10" ht="15.75" customHeight="1">
      <c r="J127" s="128"/>
    </row>
    <row r="128" spans="10:10" ht="15.75" customHeight="1">
      <c r="J128" s="128"/>
    </row>
    <row r="129" spans="10:10" ht="15.75" customHeight="1">
      <c r="J129" s="128"/>
    </row>
    <row r="130" spans="10:10" ht="15.75" customHeight="1">
      <c r="J130" s="128"/>
    </row>
    <row r="131" spans="10:10" ht="15.75" customHeight="1">
      <c r="J131" s="128"/>
    </row>
    <row r="132" spans="10:10" ht="15.75" customHeight="1">
      <c r="J132" s="128"/>
    </row>
    <row r="133" spans="10:10" ht="15.75" customHeight="1">
      <c r="J133" s="128"/>
    </row>
    <row r="134" spans="10:10" ht="15.75" customHeight="1">
      <c r="J134" s="128"/>
    </row>
    <row r="135" spans="10:10" ht="15.75" customHeight="1">
      <c r="J135" s="128"/>
    </row>
    <row r="136" spans="10:10" ht="15.75" customHeight="1">
      <c r="J136" s="128"/>
    </row>
    <row r="137" spans="10:10" ht="15.75" customHeight="1">
      <c r="J137" s="128"/>
    </row>
    <row r="138" spans="10:10" ht="15.75" customHeight="1">
      <c r="J138" s="128"/>
    </row>
    <row r="139" spans="10:10" ht="15.75" customHeight="1">
      <c r="J139" s="128"/>
    </row>
    <row r="140" spans="10:10" ht="15.75" customHeight="1">
      <c r="J140" s="128"/>
    </row>
    <row r="141" spans="10:10" ht="15.75" customHeight="1">
      <c r="J141" s="128"/>
    </row>
    <row r="142" spans="10:10" ht="15.75" customHeight="1">
      <c r="J142" s="128"/>
    </row>
    <row r="143" spans="10:10" ht="15.75" customHeight="1">
      <c r="J143" s="128"/>
    </row>
    <row r="144" spans="10:10" ht="15.75" customHeight="1">
      <c r="J144" s="128"/>
    </row>
    <row r="145" spans="10:10" ht="15.75" customHeight="1">
      <c r="J145" s="128"/>
    </row>
    <row r="146" spans="10:10" ht="15.75" customHeight="1">
      <c r="J146" s="128"/>
    </row>
    <row r="147" spans="10:10" ht="15.75" customHeight="1">
      <c r="J147" s="128"/>
    </row>
    <row r="148" spans="10:10" ht="15.75" customHeight="1">
      <c r="J148" s="128"/>
    </row>
    <row r="149" spans="10:10" ht="15.75" customHeight="1">
      <c r="J149" s="128"/>
    </row>
    <row r="150" spans="10:10" ht="15.75" customHeight="1">
      <c r="J150" s="128"/>
    </row>
    <row r="151" spans="10:10" ht="15.75" customHeight="1">
      <c r="J151" s="128"/>
    </row>
    <row r="152" spans="10:10" ht="15.75" customHeight="1">
      <c r="J152" s="128"/>
    </row>
    <row r="153" spans="10:10" ht="15.75" customHeight="1">
      <c r="J153" s="128"/>
    </row>
    <row r="154" spans="10:10" ht="15.75" customHeight="1">
      <c r="J154" s="128"/>
    </row>
    <row r="155" spans="10:10" ht="15.75" customHeight="1">
      <c r="J155" s="128"/>
    </row>
    <row r="156" spans="10:10" ht="15.75" customHeight="1">
      <c r="J156" s="128"/>
    </row>
    <row r="157" spans="10:10" ht="15.75" customHeight="1">
      <c r="J157" s="128"/>
    </row>
    <row r="158" spans="10:10" ht="15.75" customHeight="1">
      <c r="J158" s="128"/>
    </row>
    <row r="159" spans="10:10" ht="15.75" customHeight="1">
      <c r="J159" s="128"/>
    </row>
    <row r="160" spans="10:10" ht="15.75" customHeight="1">
      <c r="J160" s="128"/>
    </row>
    <row r="161" spans="10:10" ht="15.75" customHeight="1">
      <c r="J161" s="128"/>
    </row>
    <row r="162" spans="10:10" ht="15.75" customHeight="1">
      <c r="J162" s="128"/>
    </row>
    <row r="163" spans="10:10" ht="15.75" customHeight="1">
      <c r="J163" s="128"/>
    </row>
    <row r="164" spans="10:10" ht="15.75" customHeight="1">
      <c r="J164" s="128"/>
    </row>
    <row r="165" spans="10:10" ht="15.75" customHeight="1">
      <c r="J165" s="128"/>
    </row>
    <row r="166" spans="10:10" ht="15.75" customHeight="1">
      <c r="J166" s="128"/>
    </row>
    <row r="167" spans="10:10" ht="15.75" customHeight="1">
      <c r="J167" s="128"/>
    </row>
    <row r="168" spans="10:10" ht="15.75" customHeight="1">
      <c r="J168" s="128"/>
    </row>
    <row r="169" spans="10:10" ht="15.75" customHeight="1">
      <c r="J169" s="128"/>
    </row>
    <row r="170" spans="10:10" ht="15.75" customHeight="1">
      <c r="J170" s="128"/>
    </row>
    <row r="171" spans="10:10" ht="15.75" customHeight="1">
      <c r="J171" s="128"/>
    </row>
    <row r="172" spans="10:10" ht="15.75" customHeight="1">
      <c r="J172" s="128"/>
    </row>
    <row r="173" spans="10:10" ht="15.75" customHeight="1">
      <c r="J173" s="128"/>
    </row>
    <row r="174" spans="10:10" ht="15.75" customHeight="1">
      <c r="J174" s="128"/>
    </row>
    <row r="175" spans="10:10" ht="15.75" customHeight="1">
      <c r="J175" s="128"/>
    </row>
    <row r="176" spans="10:10" ht="15.75" customHeight="1">
      <c r="J176" s="128"/>
    </row>
    <row r="177" spans="10:10" ht="15.75" customHeight="1">
      <c r="J177" s="128"/>
    </row>
    <row r="178" spans="10:10" ht="15.75" customHeight="1">
      <c r="J178" s="128"/>
    </row>
    <row r="179" spans="10:10" ht="15.75" customHeight="1">
      <c r="J179" s="128"/>
    </row>
    <row r="180" spans="10:10" ht="15.75" customHeight="1">
      <c r="J180" s="128"/>
    </row>
    <row r="181" spans="10:10" ht="15.75" customHeight="1">
      <c r="J181" s="128"/>
    </row>
    <row r="182" spans="10:10" ht="15.75" customHeight="1">
      <c r="J182" s="128"/>
    </row>
    <row r="183" spans="10:10" ht="15.75" customHeight="1">
      <c r="J183" s="128"/>
    </row>
    <row r="184" spans="10:10" ht="15.75" customHeight="1">
      <c r="J184" s="128"/>
    </row>
    <row r="185" spans="10:10" ht="15.75" customHeight="1">
      <c r="J185" s="128"/>
    </row>
    <row r="186" spans="10:10" ht="15.75" customHeight="1">
      <c r="J186" s="128"/>
    </row>
    <row r="187" spans="10:10" ht="15.75" customHeight="1">
      <c r="J187" s="128"/>
    </row>
    <row r="188" spans="10:10" ht="15.75" customHeight="1">
      <c r="J188" s="128"/>
    </row>
    <row r="189" spans="10:10" ht="15.75" customHeight="1">
      <c r="J189" s="128"/>
    </row>
    <row r="190" spans="10:10" ht="15.75" customHeight="1">
      <c r="J190" s="128"/>
    </row>
    <row r="191" spans="10:10" ht="15.75" customHeight="1">
      <c r="J191" s="128"/>
    </row>
    <row r="192" spans="10:10" ht="15.75" customHeight="1">
      <c r="J192" s="128"/>
    </row>
    <row r="193" spans="10:10" ht="15.75" customHeight="1">
      <c r="J193" s="128"/>
    </row>
    <row r="194" spans="10:10" ht="15.75" customHeight="1">
      <c r="J194" s="128"/>
    </row>
    <row r="195" spans="10:10" ht="15.75" customHeight="1">
      <c r="J195" s="128"/>
    </row>
    <row r="196" spans="10:10" ht="15.75" customHeight="1">
      <c r="J196" s="128"/>
    </row>
    <row r="197" spans="10:10" ht="15.75" customHeight="1">
      <c r="J197" s="128"/>
    </row>
    <row r="198" spans="10:10" ht="15.75" customHeight="1">
      <c r="J198" s="128"/>
    </row>
    <row r="199" spans="10:10" ht="15.75" customHeight="1">
      <c r="J199" s="128"/>
    </row>
    <row r="200" spans="10:10" ht="15.75" customHeight="1">
      <c r="J200" s="128"/>
    </row>
    <row r="201" spans="10:10" ht="15.75" customHeight="1">
      <c r="J201" s="128"/>
    </row>
    <row r="202" spans="10:10" ht="15.75" customHeight="1">
      <c r="J202" s="128"/>
    </row>
    <row r="203" spans="10:10" ht="15.75" customHeight="1">
      <c r="J203" s="128"/>
    </row>
    <row r="204" spans="10:10" ht="15.75" customHeight="1">
      <c r="J204" s="128"/>
    </row>
    <row r="205" spans="10:10" ht="15.75" customHeight="1">
      <c r="J205" s="128"/>
    </row>
    <row r="206" spans="10:10" ht="15.75" customHeight="1">
      <c r="J206" s="128"/>
    </row>
    <row r="207" spans="10:10" ht="15.75" customHeight="1">
      <c r="J207" s="128"/>
    </row>
    <row r="208" spans="10:10" ht="15.75" customHeight="1">
      <c r="J208" s="128"/>
    </row>
    <row r="209" spans="10:10" ht="15.75" customHeight="1">
      <c r="J209" s="128"/>
    </row>
    <row r="210" spans="10:10" ht="15.75" customHeight="1">
      <c r="J210" s="128"/>
    </row>
    <row r="211" spans="10:10" ht="15.75" customHeight="1">
      <c r="J211" s="128"/>
    </row>
    <row r="212" spans="10:10" ht="15.75" customHeight="1">
      <c r="J212" s="128"/>
    </row>
    <row r="213" spans="10:10" ht="15.75" customHeight="1">
      <c r="J213" s="128"/>
    </row>
    <row r="214" spans="10:10" ht="15.75" customHeight="1">
      <c r="J214" s="128"/>
    </row>
    <row r="215" spans="10:10" ht="15.75" customHeight="1">
      <c r="J215" s="128"/>
    </row>
    <row r="216" spans="10:10" ht="15.75" customHeight="1">
      <c r="J216" s="128"/>
    </row>
    <row r="217" spans="10:10" ht="15.75" customHeight="1">
      <c r="J217" s="128"/>
    </row>
    <row r="218" spans="10:10" ht="15.75" customHeight="1">
      <c r="J218" s="128"/>
    </row>
    <row r="219" spans="10:10" ht="15.75" customHeight="1">
      <c r="J219" s="128"/>
    </row>
    <row r="220" spans="10:10" ht="15.75" customHeight="1">
      <c r="J220" s="128"/>
    </row>
    <row r="221" spans="10:10" ht="15.75" customHeight="1">
      <c r="J221" s="128"/>
    </row>
    <row r="222" spans="10:10" ht="15.75" customHeight="1">
      <c r="J222" s="128"/>
    </row>
    <row r="223" spans="10:10" ht="15.75" customHeight="1">
      <c r="J223" s="128"/>
    </row>
    <row r="224" spans="10:10" ht="15.75" customHeight="1">
      <c r="J224" s="128"/>
    </row>
    <row r="225" spans="10:10" ht="15.75" customHeight="1">
      <c r="J225" s="128"/>
    </row>
    <row r="226" spans="10:10" ht="15.75" customHeight="1">
      <c r="J226" s="128"/>
    </row>
    <row r="227" spans="10:10" ht="15.75" customHeight="1">
      <c r="J227" s="128"/>
    </row>
    <row r="228" spans="10:10" ht="15.75" customHeight="1">
      <c r="J228" s="128"/>
    </row>
    <row r="229" spans="10:10" ht="15.75" customHeight="1">
      <c r="J229" s="128"/>
    </row>
    <row r="230" spans="10:10" ht="15.75" customHeight="1">
      <c r="J230" s="128"/>
    </row>
    <row r="231" spans="10:10" ht="15.75" customHeight="1">
      <c r="J231" s="128"/>
    </row>
    <row r="232" spans="10:10" ht="15.75" customHeight="1">
      <c r="J232" s="128"/>
    </row>
    <row r="233" spans="10:10" ht="15.75" customHeight="1">
      <c r="J233" s="128"/>
    </row>
    <row r="234" spans="10:10" ht="15.75" customHeight="1">
      <c r="J234" s="128"/>
    </row>
    <row r="235" spans="10:10" ht="15.75" customHeight="1">
      <c r="J235" s="128"/>
    </row>
    <row r="236" spans="10:10" ht="15.75" customHeight="1">
      <c r="J236" s="128"/>
    </row>
    <row r="237" spans="10:10" ht="15.75" customHeight="1">
      <c r="J237" s="128"/>
    </row>
    <row r="238" spans="10:10" ht="15.75" customHeight="1">
      <c r="J238" s="128"/>
    </row>
    <row r="239" spans="10:10" ht="15.75" customHeight="1">
      <c r="J239" s="128"/>
    </row>
    <row r="240" spans="10:10" ht="15.75" customHeight="1">
      <c r="J240" s="128"/>
    </row>
    <row r="241" spans="10:10" ht="15.75" customHeight="1">
      <c r="J241" s="128"/>
    </row>
    <row r="242" spans="10:10" ht="15.75" customHeight="1">
      <c r="J242" s="128"/>
    </row>
    <row r="243" spans="10:10" ht="15.75" customHeight="1">
      <c r="J243" s="128"/>
    </row>
    <row r="244" spans="10:10" ht="15.75" customHeight="1">
      <c r="J244" s="128"/>
    </row>
    <row r="245" spans="10:10" ht="15.75" customHeight="1">
      <c r="J245" s="128"/>
    </row>
    <row r="246" spans="10:10" ht="15.75" customHeight="1">
      <c r="J246" s="128"/>
    </row>
    <row r="247" spans="10:10" ht="15.75" customHeight="1">
      <c r="J247" s="128"/>
    </row>
    <row r="248" spans="10:10" ht="15.75" customHeight="1">
      <c r="J248" s="128"/>
    </row>
    <row r="249" spans="10:10" ht="15.75" customHeight="1">
      <c r="J249" s="128"/>
    </row>
    <row r="250" spans="10:10" ht="15.75" customHeight="1">
      <c r="J250" s="128"/>
    </row>
    <row r="251" spans="10:10" ht="15.75" customHeight="1">
      <c r="J251" s="128"/>
    </row>
    <row r="252" spans="10:10" ht="15.75" customHeight="1">
      <c r="J252" s="128"/>
    </row>
    <row r="253" spans="10:10" ht="15.75" customHeight="1">
      <c r="J253" s="128"/>
    </row>
    <row r="254" spans="10:10" ht="15.75" customHeight="1">
      <c r="J254" s="128"/>
    </row>
    <row r="255" spans="10:10" ht="15.75" customHeight="1">
      <c r="J255" s="128"/>
    </row>
    <row r="256" spans="10:10" ht="15.75" customHeight="1">
      <c r="J256" s="128"/>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45:I46"/>
    <mergeCell ref="B49:I51"/>
    <mergeCell ref="B9:I9"/>
    <mergeCell ref="A21:A22"/>
    <mergeCell ref="B31:I33"/>
    <mergeCell ref="B36:I37"/>
    <mergeCell ref="B40:I42"/>
  </mergeCells>
  <conditionalFormatting sqref="C12:I12">
    <cfRule type="cellIs" dxfId="3" priority="1" operator="lessThan">
      <formula>0</formula>
    </cfRule>
  </conditionalFormatting>
  <conditionalFormatting sqref="C16:I18">
    <cfRule type="cellIs" dxfId="2" priority="2" operator="lessThan">
      <formula>0</formula>
    </cfRule>
  </conditionalFormatting>
  <conditionalFormatting sqref="C44:I44">
    <cfRule type="cellIs" dxfId="1" priority="3" operator="lessThan">
      <formula>0</formula>
    </cfRule>
  </conditionalFormatting>
  <conditionalFormatting sqref="C48:I48">
    <cfRule type="cellIs" dxfId="0" priority="4" operator="lessThan">
      <formula>0</formula>
    </cfRule>
  </conditionalFormatting>
  <hyperlinks>
    <hyperlink ref="B56" r:id="rId1" xr:uid="{00000000-0004-0000-1C00-000000000000}"/>
  </hyperlinks>
  <pageMargins left="0.7" right="0.7" top="0.75" bottom="0.75" header="0" footer="0"/>
  <pageSetup orientation="landscape"/>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C1000"/>
  <sheetViews>
    <sheetView workbookViewId="0"/>
  </sheetViews>
  <sheetFormatPr baseColWidth="10" defaultColWidth="14.44140625" defaultRowHeight="15" customHeight="1"/>
  <cols>
    <col min="1" max="1" width="35.88671875" customWidth="1"/>
    <col min="2" max="3" width="25.88671875" customWidth="1"/>
    <col min="4" max="4" width="26.6640625" customWidth="1"/>
    <col min="5" max="5" width="25.88671875" customWidth="1"/>
    <col min="6" max="6" width="21.88671875" customWidth="1"/>
    <col min="7" max="7" width="24.109375" customWidth="1"/>
    <col min="8" max="8" width="26.44140625" customWidth="1"/>
    <col min="9" max="9" width="22.88671875" customWidth="1"/>
    <col min="10" max="29" width="11.44140625" customWidth="1"/>
  </cols>
  <sheetData>
    <row r="1" spans="1:29" ht="12" customHeight="1">
      <c r="A1" s="1260" t="s">
        <v>779</v>
      </c>
      <c r="B1" s="1260"/>
      <c r="C1" s="1261"/>
      <c r="D1" s="1261"/>
      <c r="E1" s="1261"/>
      <c r="F1" s="1261"/>
      <c r="G1" s="1261"/>
      <c r="H1" s="1261"/>
      <c r="I1" s="1261"/>
      <c r="J1" s="1261"/>
      <c r="K1" s="1261"/>
      <c r="L1" s="1261"/>
      <c r="M1" s="1080"/>
      <c r="N1" s="1080"/>
      <c r="O1" s="1080"/>
      <c r="P1" s="1080"/>
      <c r="Q1" s="1080"/>
      <c r="R1" s="1080"/>
      <c r="S1" s="1080"/>
      <c r="T1" s="1080"/>
      <c r="U1" s="1080"/>
      <c r="V1" s="1080"/>
      <c r="W1" s="1080"/>
      <c r="X1" s="1080"/>
      <c r="Y1" s="1080"/>
      <c r="Z1" s="1080"/>
      <c r="AA1" s="1080"/>
      <c r="AB1" s="1080"/>
      <c r="AC1" s="1080"/>
    </row>
    <row r="2" spans="1:29" ht="12" customHeight="1">
      <c r="A2" s="1262" t="s">
        <v>780</v>
      </c>
      <c r="B2" s="1263">
        <v>42735</v>
      </c>
      <c r="C2" s="1261"/>
      <c r="D2" s="1261"/>
      <c r="E2" s="1261"/>
      <c r="F2" s="1261"/>
      <c r="G2" s="1261"/>
      <c r="H2" s="1261"/>
      <c r="I2" s="1261"/>
      <c r="J2" s="1261"/>
      <c r="K2" s="1261"/>
      <c r="L2" s="1261"/>
      <c r="M2" s="1080"/>
      <c r="N2" s="1080"/>
      <c r="O2" s="1080"/>
      <c r="P2" s="1080"/>
      <c r="Q2" s="1080"/>
      <c r="R2" s="1080"/>
      <c r="S2" s="1080"/>
      <c r="T2" s="1080"/>
      <c r="U2" s="1080"/>
      <c r="V2" s="1080"/>
      <c r="W2" s="1080"/>
      <c r="X2" s="1080"/>
      <c r="Y2" s="1080"/>
      <c r="Z2" s="1080"/>
      <c r="AA2" s="1080"/>
      <c r="AB2" s="1080"/>
      <c r="AC2" s="1080"/>
    </row>
    <row r="3" spans="1:29" ht="12" customHeight="1">
      <c r="A3" s="1264" t="s">
        <v>781</v>
      </c>
      <c r="B3" s="1264"/>
      <c r="C3" s="1080"/>
      <c r="D3" s="1080"/>
      <c r="E3" s="1265">
        <v>4.7199999999999999E-2</v>
      </c>
      <c r="F3" s="1093" t="s">
        <v>782</v>
      </c>
      <c r="G3" s="1080"/>
      <c r="H3" s="1080"/>
      <c r="I3" s="1080"/>
      <c r="J3" s="1080"/>
      <c r="K3" s="1080"/>
      <c r="L3" s="1080"/>
      <c r="M3" s="1080"/>
      <c r="N3" s="1080"/>
      <c r="O3" s="1080"/>
      <c r="P3" s="1080"/>
      <c r="Q3" s="1080"/>
      <c r="R3" s="1080"/>
      <c r="S3" s="1080"/>
      <c r="T3" s="1080"/>
      <c r="U3" s="1080"/>
      <c r="V3" s="1080"/>
      <c r="W3" s="1080"/>
      <c r="X3" s="1080"/>
      <c r="Y3" s="1080"/>
      <c r="Z3" s="1080"/>
      <c r="AA3" s="1080"/>
      <c r="AB3" s="1080"/>
      <c r="AC3" s="1080"/>
    </row>
    <row r="4" spans="1:29" ht="12" customHeight="1">
      <c r="A4" s="1264" t="s">
        <v>783</v>
      </c>
      <c r="B4" s="1264"/>
      <c r="C4" s="1080"/>
      <c r="D4" s="1080"/>
      <c r="E4" s="1082" t="s">
        <v>642</v>
      </c>
      <c r="F4" s="1266"/>
      <c r="G4" s="1266"/>
      <c r="H4" s="1080"/>
      <c r="I4" s="1080"/>
      <c r="J4" s="1080"/>
      <c r="K4" s="1080"/>
      <c r="L4" s="1080"/>
      <c r="M4" s="1080"/>
      <c r="N4" s="1080"/>
      <c r="O4" s="1080"/>
      <c r="P4" s="1080"/>
      <c r="Q4" s="1080"/>
      <c r="R4" s="1080"/>
      <c r="S4" s="1080"/>
      <c r="T4" s="1080"/>
      <c r="U4" s="1080"/>
      <c r="V4" s="1080"/>
      <c r="W4" s="1080"/>
      <c r="X4" s="1080"/>
      <c r="Y4" s="1080"/>
      <c r="Z4" s="1080"/>
      <c r="AA4" s="1080"/>
      <c r="AB4" s="1080"/>
      <c r="AC4" s="1080"/>
    </row>
    <row r="5" spans="1:29" ht="12" customHeight="1">
      <c r="A5" s="1264" t="s">
        <v>784</v>
      </c>
      <c r="B5" s="1264"/>
      <c r="C5" s="1080"/>
      <c r="D5" s="1080"/>
      <c r="E5" s="1267">
        <v>1.0959232881444163</v>
      </c>
      <c r="F5" s="1268" t="s">
        <v>782</v>
      </c>
      <c r="G5" s="1266"/>
      <c r="H5" s="1080"/>
      <c r="I5" s="1080"/>
      <c r="J5" s="1080"/>
      <c r="K5" s="1080"/>
      <c r="L5" s="1080"/>
      <c r="M5" s="1080"/>
      <c r="N5" s="1080"/>
      <c r="O5" s="1080"/>
      <c r="P5" s="1080"/>
      <c r="Q5" s="1080"/>
      <c r="R5" s="1080"/>
      <c r="S5" s="1080"/>
      <c r="T5" s="1080"/>
      <c r="U5" s="1080"/>
      <c r="V5" s="1080"/>
      <c r="W5" s="1080"/>
      <c r="X5" s="1080"/>
      <c r="Y5" s="1080"/>
      <c r="Z5" s="1080"/>
      <c r="AA5" s="1080"/>
      <c r="AB5" s="1080"/>
      <c r="AC5" s="1080"/>
    </row>
    <row r="6" spans="1:29" ht="12" customHeight="1">
      <c r="A6" s="1264"/>
      <c r="B6" s="1264"/>
      <c r="C6" s="1080"/>
      <c r="D6" s="1080"/>
      <c r="E6" s="1080"/>
      <c r="F6" s="1080"/>
      <c r="G6" s="1080"/>
      <c r="H6" s="1080"/>
      <c r="I6" s="1080"/>
      <c r="J6" s="1080"/>
      <c r="K6" s="1080"/>
      <c r="L6" s="1080"/>
      <c r="M6" s="1080"/>
      <c r="N6" s="1080"/>
      <c r="O6" s="1080"/>
      <c r="P6" s="1080"/>
      <c r="Q6" s="1080"/>
      <c r="R6" s="1080"/>
      <c r="S6" s="1080"/>
      <c r="T6" s="1080"/>
      <c r="U6" s="1080"/>
      <c r="V6" s="1080"/>
      <c r="W6" s="1080"/>
      <c r="X6" s="1080"/>
      <c r="Y6" s="1080"/>
      <c r="Z6" s="1080"/>
      <c r="AA6" s="1080"/>
      <c r="AB6" s="1080"/>
      <c r="AC6" s="1080"/>
    </row>
    <row r="7" spans="1:29" ht="12" customHeight="1">
      <c r="A7" s="1269" t="s">
        <v>785</v>
      </c>
      <c r="B7" s="1270" t="s">
        <v>786</v>
      </c>
      <c r="C7" s="1271" t="s">
        <v>787</v>
      </c>
      <c r="D7" s="1272" t="s">
        <v>788</v>
      </c>
      <c r="E7" s="1272" t="s">
        <v>789</v>
      </c>
      <c r="F7" s="1272" t="s">
        <v>790</v>
      </c>
      <c r="G7" s="1273" t="s">
        <v>791</v>
      </c>
      <c r="H7" s="1272" t="s">
        <v>792</v>
      </c>
      <c r="I7" s="1274" t="s">
        <v>793</v>
      </c>
      <c r="J7" s="1093" t="s">
        <v>794</v>
      </c>
      <c r="K7" s="1079"/>
      <c r="L7" s="1079"/>
      <c r="M7" s="1079"/>
      <c r="N7" s="1079"/>
      <c r="O7" s="1079"/>
      <c r="P7" s="1079"/>
      <c r="Q7" s="1079"/>
      <c r="R7" s="1079"/>
      <c r="S7" s="1079"/>
      <c r="T7" s="1079"/>
      <c r="U7" s="1079"/>
      <c r="V7" s="1079"/>
      <c r="W7" s="1079"/>
      <c r="X7" s="1079"/>
      <c r="Y7" s="1079"/>
      <c r="Z7" s="1079"/>
      <c r="AA7" s="1079"/>
      <c r="AB7" s="1079"/>
      <c r="AC7" s="1079"/>
    </row>
    <row r="8" spans="1:29" ht="12" hidden="1" customHeight="1">
      <c r="A8" s="1275" t="s">
        <v>795</v>
      </c>
      <c r="B8" s="1276" t="s">
        <v>796</v>
      </c>
      <c r="C8" s="1277" t="s">
        <v>797</v>
      </c>
      <c r="D8" s="1278">
        <f t="shared" ref="D8:D164" si="0">VLOOKUP(C8,$J$9:$K$31,2,FALSE)/10000</f>
        <v>4.3848898169671765E-3</v>
      </c>
      <c r="E8" s="1278">
        <f t="shared" ref="E8:E164" si="1">$E$3+F8</f>
        <v>5.2005502866361637E-2</v>
      </c>
      <c r="F8" s="1278">
        <f t="shared" ref="F8:F164" si="2">IF($E$4="Yes",D8*$E$5,D8)</f>
        <v>4.8055028663616358E-3</v>
      </c>
      <c r="G8" s="1278">
        <v>4.5999999999999999E-3</v>
      </c>
      <c r="H8" s="1278">
        <f t="shared" ref="H8:H164" si="3">IF(I8="NA","NA",$E$3+I8)</f>
        <v>5.224124712546431E-2</v>
      </c>
      <c r="I8" s="1279">
        <f t="shared" ref="I8:I164" si="4">IF(G8="NA","NA",G8*$E$5)</f>
        <v>5.0412471254643147E-3</v>
      </c>
      <c r="J8" s="1280" t="s">
        <v>798</v>
      </c>
      <c r="K8" s="1280" t="s">
        <v>799</v>
      </c>
      <c r="L8" s="1080"/>
      <c r="M8" s="1080"/>
      <c r="N8" s="1080"/>
      <c r="O8" s="1080"/>
      <c r="P8" s="1080"/>
      <c r="Q8" s="1080"/>
      <c r="R8" s="1080"/>
      <c r="S8" s="1080"/>
      <c r="T8" s="1080"/>
      <c r="U8" s="1080"/>
      <c r="V8" s="1080"/>
      <c r="W8" s="1080"/>
      <c r="X8" s="1080"/>
      <c r="Y8" s="1080"/>
      <c r="Z8" s="1080"/>
      <c r="AA8" s="1080"/>
      <c r="AB8" s="1080"/>
      <c r="AC8" s="1080"/>
    </row>
    <row r="9" spans="1:29" ht="12" hidden="1" customHeight="1">
      <c r="A9" s="1275" t="s">
        <v>800</v>
      </c>
      <c r="B9" s="1276" t="s">
        <v>801</v>
      </c>
      <c r="C9" s="1277" t="s">
        <v>802</v>
      </c>
      <c r="D9" s="1278">
        <f t="shared" si="0"/>
        <v>3.9782909430302202E-2</v>
      </c>
      <c r="E9" s="1278">
        <f t="shared" si="1"/>
        <v>9.0799016914808295E-2</v>
      </c>
      <c r="F9" s="1278">
        <f t="shared" si="2"/>
        <v>4.3599016914808296E-2</v>
      </c>
      <c r="G9" s="1278" t="s">
        <v>113</v>
      </c>
      <c r="H9" s="1278" t="str">
        <f t="shared" si="3"/>
        <v>NA</v>
      </c>
      <c r="I9" s="1279" t="str">
        <f t="shared" si="4"/>
        <v>NA</v>
      </c>
      <c r="J9" s="1082" t="s">
        <v>803</v>
      </c>
      <c r="K9" s="1281">
        <f t="shared" ref="K9:K26" si="5">C189</f>
        <v>62.185710131534506</v>
      </c>
      <c r="L9" s="1080"/>
      <c r="M9" s="1080"/>
      <c r="N9" s="1080"/>
      <c r="O9" s="1080"/>
      <c r="P9" s="1080"/>
      <c r="Q9" s="1080"/>
      <c r="R9" s="1080"/>
      <c r="S9" s="1080"/>
      <c r="T9" s="1080"/>
      <c r="U9" s="1080"/>
      <c r="V9" s="1080"/>
      <c r="W9" s="1080"/>
      <c r="X9" s="1080"/>
      <c r="Y9" s="1080"/>
      <c r="Z9" s="1080"/>
      <c r="AA9" s="1080"/>
      <c r="AB9" s="1080"/>
      <c r="AC9" s="1080"/>
    </row>
    <row r="10" spans="1:29" ht="12" hidden="1" customHeight="1">
      <c r="A10" s="1275" t="s">
        <v>804</v>
      </c>
      <c r="B10" s="1276" t="s">
        <v>805</v>
      </c>
      <c r="C10" s="1277" t="s">
        <v>806</v>
      </c>
      <c r="D10" s="1278">
        <f t="shared" si="0"/>
        <v>6.6251698870904069E-2</v>
      </c>
      <c r="E10" s="1278">
        <f t="shared" si="1"/>
        <v>0.1198067796717549</v>
      </c>
      <c r="F10" s="1278">
        <f t="shared" si="2"/>
        <v>7.2606779671754898E-2</v>
      </c>
      <c r="G10" s="1278" t="s">
        <v>113</v>
      </c>
      <c r="H10" s="1278" t="str">
        <f t="shared" si="3"/>
        <v>NA</v>
      </c>
      <c r="I10" s="1279" t="str">
        <f t="shared" si="4"/>
        <v>NA</v>
      </c>
      <c r="J10" s="1082" t="s">
        <v>807</v>
      </c>
      <c r="K10" s="1281">
        <f t="shared" si="5"/>
        <v>74.941753235439009</v>
      </c>
      <c r="L10" s="1080"/>
      <c r="M10" s="1080"/>
      <c r="N10" s="1080"/>
      <c r="O10" s="1080"/>
      <c r="P10" s="1080"/>
      <c r="Q10" s="1080"/>
      <c r="R10" s="1080"/>
      <c r="S10" s="1080"/>
      <c r="T10" s="1080"/>
      <c r="U10" s="1080"/>
      <c r="V10" s="1080"/>
      <c r="W10" s="1080"/>
      <c r="X10" s="1080"/>
      <c r="Y10" s="1080"/>
      <c r="Z10" s="1080"/>
      <c r="AA10" s="1080"/>
      <c r="AB10" s="1080"/>
      <c r="AC10" s="1080"/>
    </row>
    <row r="11" spans="1:29" ht="12" hidden="1" customHeight="1">
      <c r="A11" s="1275" t="s">
        <v>808</v>
      </c>
      <c r="B11" s="1276" t="s">
        <v>786</v>
      </c>
      <c r="C11" s="1277" t="s">
        <v>806</v>
      </c>
      <c r="D11" s="1278">
        <f t="shared" si="0"/>
        <v>6.6251698870904069E-2</v>
      </c>
      <c r="E11" s="1278">
        <f t="shared" si="1"/>
        <v>0.1198067796717549</v>
      </c>
      <c r="F11" s="1278">
        <f t="shared" si="2"/>
        <v>7.2606779671754898E-2</v>
      </c>
      <c r="G11" s="1278">
        <v>7.2700000000000001E-2</v>
      </c>
      <c r="H11" s="1278">
        <f t="shared" si="3"/>
        <v>0.12687362304809907</v>
      </c>
      <c r="I11" s="1279">
        <f t="shared" si="4"/>
        <v>7.9673623048099065E-2</v>
      </c>
      <c r="J11" s="1082" t="s">
        <v>809</v>
      </c>
      <c r="K11" s="1281">
        <f t="shared" si="5"/>
        <v>106.03460830120628</v>
      </c>
      <c r="L11" s="1080"/>
      <c r="M11" s="1080"/>
      <c r="N11" s="1080"/>
      <c r="O11" s="1080"/>
      <c r="P11" s="1080"/>
      <c r="Q11" s="1080"/>
      <c r="R11" s="1080"/>
      <c r="S11" s="1080"/>
      <c r="T11" s="1080"/>
      <c r="U11" s="1080"/>
      <c r="V11" s="1080"/>
      <c r="W11" s="1080"/>
      <c r="X11" s="1080"/>
      <c r="Y11" s="1080"/>
      <c r="Z11" s="1080"/>
      <c r="AA11" s="1080"/>
      <c r="AB11" s="1080"/>
      <c r="AC11" s="1080"/>
    </row>
    <row r="12" spans="1:29" ht="12" hidden="1" customHeight="1">
      <c r="A12" s="1275" t="s">
        <v>810</v>
      </c>
      <c r="B12" s="1276" t="s">
        <v>811</v>
      </c>
      <c r="C12" s="1277" t="s">
        <v>812</v>
      </c>
      <c r="D12" s="1278">
        <f t="shared" si="0"/>
        <v>0.10603460830120626</v>
      </c>
      <c r="E12" s="1278">
        <f t="shared" si="1"/>
        <v>0.16340579658656318</v>
      </c>
      <c r="F12" s="1278">
        <f t="shared" si="2"/>
        <v>0.11620579658656319</v>
      </c>
      <c r="G12" s="1278" t="s">
        <v>113</v>
      </c>
      <c r="H12" s="1278" t="str">
        <f t="shared" si="3"/>
        <v>NA</v>
      </c>
      <c r="I12" s="1279" t="str">
        <f t="shared" si="4"/>
        <v>NA</v>
      </c>
      <c r="J12" s="1082" t="s">
        <v>813</v>
      </c>
      <c r="K12" s="1281">
        <f t="shared" si="5"/>
        <v>35.079118535737408</v>
      </c>
      <c r="L12" s="1080"/>
      <c r="M12" s="1080"/>
      <c r="N12" s="1080"/>
      <c r="O12" s="1080"/>
      <c r="P12" s="1080"/>
      <c r="Q12" s="1080"/>
      <c r="R12" s="1080"/>
      <c r="S12" s="1080"/>
      <c r="T12" s="1080"/>
      <c r="U12" s="1080"/>
      <c r="V12" s="1080"/>
      <c r="W12" s="1080"/>
      <c r="X12" s="1080"/>
      <c r="Y12" s="1080"/>
      <c r="Z12" s="1080"/>
      <c r="AA12" s="1080"/>
      <c r="AB12" s="1080"/>
      <c r="AC12" s="1080"/>
    </row>
    <row r="13" spans="1:29" ht="12" hidden="1" customHeight="1">
      <c r="A13" s="1275" t="s">
        <v>814</v>
      </c>
      <c r="B13" s="1276" t="s">
        <v>801</v>
      </c>
      <c r="C13" s="1277" t="s">
        <v>815</v>
      </c>
      <c r="D13" s="1278">
        <f t="shared" si="0"/>
        <v>3.1810382490361881E-2</v>
      </c>
      <c r="E13" s="1278">
        <f t="shared" si="1"/>
        <v>8.2061738975968967E-2</v>
      </c>
      <c r="F13" s="1278">
        <f t="shared" si="2"/>
        <v>3.4861738975968962E-2</v>
      </c>
      <c r="G13" s="1278" t="s">
        <v>113</v>
      </c>
      <c r="H13" s="1278" t="str">
        <f t="shared" si="3"/>
        <v>NA</v>
      </c>
      <c r="I13" s="1279" t="str">
        <f t="shared" si="4"/>
        <v>NA</v>
      </c>
      <c r="J13" s="1082" t="s">
        <v>797</v>
      </c>
      <c r="K13" s="1281">
        <f t="shared" si="5"/>
        <v>43.848898169671763</v>
      </c>
      <c r="L13" s="1080"/>
      <c r="M13" s="1080"/>
      <c r="N13" s="1080"/>
      <c r="O13" s="1080"/>
      <c r="P13" s="1080"/>
      <c r="Q13" s="1080"/>
      <c r="R13" s="1080"/>
      <c r="S13" s="1080"/>
      <c r="T13" s="1080"/>
      <c r="U13" s="1080"/>
      <c r="V13" s="1080"/>
      <c r="W13" s="1080"/>
      <c r="X13" s="1080"/>
      <c r="Y13" s="1080"/>
      <c r="Z13" s="1080"/>
      <c r="AA13" s="1080"/>
      <c r="AB13" s="1080"/>
      <c r="AC13" s="1080"/>
    </row>
    <row r="14" spans="1:29" ht="12" hidden="1" customHeight="1">
      <c r="A14" s="1275" t="s">
        <v>816</v>
      </c>
      <c r="B14" s="1276" t="s">
        <v>817</v>
      </c>
      <c r="C14" s="1277" t="s">
        <v>818</v>
      </c>
      <c r="D14" s="1278">
        <f t="shared" si="0"/>
        <v>1.4111372683694367E-2</v>
      </c>
      <c r="E14" s="1278">
        <f t="shared" si="1"/>
        <v>6.2664981951745621E-2</v>
      </c>
      <c r="F14" s="1278">
        <f t="shared" si="2"/>
        <v>1.5464981951745628E-2</v>
      </c>
      <c r="G14" s="1278" t="s">
        <v>113</v>
      </c>
      <c r="H14" s="1278" t="str">
        <f t="shared" si="3"/>
        <v>NA</v>
      </c>
      <c r="I14" s="1279" t="str">
        <f t="shared" si="4"/>
        <v>NA</v>
      </c>
      <c r="J14" s="1082" t="s">
        <v>819</v>
      </c>
      <c r="K14" s="1281">
        <f t="shared" si="5"/>
        <v>53.415930497600151</v>
      </c>
      <c r="L14" s="1080"/>
      <c r="M14" s="1080"/>
      <c r="N14" s="1080"/>
      <c r="O14" s="1080"/>
      <c r="P14" s="1080"/>
      <c r="Q14" s="1080"/>
      <c r="R14" s="1080"/>
      <c r="S14" s="1080"/>
      <c r="T14" s="1080"/>
      <c r="U14" s="1080"/>
      <c r="V14" s="1080"/>
      <c r="W14" s="1080"/>
      <c r="X14" s="1080"/>
      <c r="Y14" s="1080"/>
      <c r="Z14" s="1080"/>
      <c r="AA14" s="1080"/>
      <c r="AB14" s="1080"/>
      <c r="AC14" s="1080"/>
    </row>
    <row r="15" spans="1:29" ht="12" hidden="1" customHeight="1">
      <c r="A15" s="1275" t="s">
        <v>820</v>
      </c>
      <c r="B15" s="1276" t="s">
        <v>821</v>
      </c>
      <c r="C15" s="1277" t="s">
        <v>822</v>
      </c>
      <c r="D15" s="1278">
        <f t="shared" si="0"/>
        <v>0</v>
      </c>
      <c r="E15" s="1278">
        <f t="shared" si="1"/>
        <v>4.7199999999999999E-2</v>
      </c>
      <c r="F15" s="1278">
        <f t="shared" si="2"/>
        <v>0</v>
      </c>
      <c r="G15" s="1278">
        <v>0</v>
      </c>
      <c r="H15" s="1278">
        <f t="shared" si="3"/>
        <v>4.7199999999999999E-2</v>
      </c>
      <c r="I15" s="1279">
        <f t="shared" si="4"/>
        <v>0</v>
      </c>
      <c r="J15" s="1082" t="s">
        <v>822</v>
      </c>
      <c r="K15" s="1281">
        <f t="shared" si="5"/>
        <v>0</v>
      </c>
      <c r="L15" s="1080"/>
      <c r="M15" s="1080"/>
      <c r="N15" s="1080"/>
      <c r="O15" s="1080"/>
      <c r="P15" s="1080"/>
      <c r="Q15" s="1080"/>
      <c r="R15" s="1080"/>
      <c r="S15" s="1080"/>
      <c r="T15" s="1080"/>
      <c r="U15" s="1080"/>
      <c r="V15" s="1080"/>
      <c r="W15" s="1080"/>
      <c r="X15" s="1080"/>
      <c r="Y15" s="1080"/>
      <c r="Z15" s="1080"/>
      <c r="AA15" s="1080"/>
      <c r="AB15" s="1080"/>
      <c r="AC15" s="1080"/>
    </row>
    <row r="16" spans="1:29" ht="12" hidden="1" customHeight="1">
      <c r="A16" s="1275" t="s">
        <v>823</v>
      </c>
      <c r="B16" s="1276" t="s">
        <v>805</v>
      </c>
      <c r="C16" s="1277" t="s">
        <v>813</v>
      </c>
      <c r="D16" s="1278">
        <f t="shared" si="0"/>
        <v>3.5079118535737406E-3</v>
      </c>
      <c r="E16" s="1278">
        <f t="shared" si="1"/>
        <v>5.1044402293089305E-2</v>
      </c>
      <c r="F16" s="1278">
        <f t="shared" si="2"/>
        <v>3.8444022930893078E-3</v>
      </c>
      <c r="G16" s="1278">
        <v>0</v>
      </c>
      <c r="H16" s="1278">
        <f t="shared" si="3"/>
        <v>4.7199999999999999E-2</v>
      </c>
      <c r="I16" s="1279">
        <f t="shared" si="4"/>
        <v>0</v>
      </c>
      <c r="J16" s="1082" t="s">
        <v>802</v>
      </c>
      <c r="K16" s="1281">
        <f t="shared" si="5"/>
        <v>397.82909430302203</v>
      </c>
      <c r="L16" s="1080"/>
      <c r="M16" s="1080"/>
      <c r="N16" s="1080"/>
      <c r="O16" s="1080"/>
      <c r="P16" s="1080"/>
      <c r="Q16" s="1080"/>
      <c r="R16" s="1080"/>
      <c r="S16" s="1080"/>
      <c r="T16" s="1080"/>
      <c r="U16" s="1080"/>
      <c r="V16" s="1080"/>
      <c r="W16" s="1080"/>
      <c r="X16" s="1080"/>
      <c r="Y16" s="1080"/>
      <c r="Z16" s="1080"/>
      <c r="AA16" s="1080"/>
      <c r="AB16" s="1080"/>
      <c r="AC16" s="1080"/>
    </row>
    <row r="17" spans="1:29" ht="12" hidden="1" customHeight="1">
      <c r="A17" s="1275" t="s">
        <v>824</v>
      </c>
      <c r="B17" s="1276" t="s">
        <v>801</v>
      </c>
      <c r="C17" s="1277" t="s">
        <v>825</v>
      </c>
      <c r="D17" s="1278">
        <f t="shared" si="0"/>
        <v>2.6548514710001261E-2</v>
      </c>
      <c r="E17" s="1278">
        <f t="shared" si="1"/>
        <v>7.629513553633499E-2</v>
      </c>
      <c r="F17" s="1278">
        <f t="shared" si="2"/>
        <v>2.9095135536334988E-2</v>
      </c>
      <c r="G17" s="1278" t="s">
        <v>113</v>
      </c>
      <c r="H17" s="1278" t="str">
        <f t="shared" si="3"/>
        <v>NA</v>
      </c>
      <c r="I17" s="1279" t="str">
        <f t="shared" si="4"/>
        <v>NA</v>
      </c>
      <c r="J17" s="1082" t="s">
        <v>826</v>
      </c>
      <c r="K17" s="1281">
        <f t="shared" si="5"/>
        <v>486.3241433363595</v>
      </c>
      <c r="L17" s="1080"/>
      <c r="M17" s="1080"/>
      <c r="N17" s="1080"/>
      <c r="O17" s="1080"/>
      <c r="P17" s="1080"/>
      <c r="Q17" s="1080"/>
      <c r="R17" s="1080"/>
      <c r="S17" s="1080"/>
      <c r="T17" s="1080"/>
      <c r="U17" s="1080"/>
      <c r="V17" s="1080"/>
      <c r="W17" s="1080"/>
      <c r="X17" s="1080"/>
      <c r="Y17" s="1080"/>
      <c r="Z17" s="1080"/>
      <c r="AA17" s="1080"/>
      <c r="AB17" s="1080"/>
      <c r="AC17" s="1080"/>
    </row>
    <row r="18" spans="1:29" ht="12" hidden="1" customHeight="1">
      <c r="A18" s="1275" t="s">
        <v>827</v>
      </c>
      <c r="B18" s="1276" t="s">
        <v>817</v>
      </c>
      <c r="C18" s="1277" t="s">
        <v>825</v>
      </c>
      <c r="D18" s="1278">
        <f t="shared" si="0"/>
        <v>2.6548514710001261E-2</v>
      </c>
      <c r="E18" s="1278">
        <f t="shared" si="1"/>
        <v>7.629513553633499E-2</v>
      </c>
      <c r="F18" s="1278">
        <f t="shared" si="2"/>
        <v>2.9095135536334988E-2</v>
      </c>
      <c r="G18" s="1278" t="s">
        <v>113</v>
      </c>
      <c r="H18" s="1278" t="str">
        <f t="shared" si="3"/>
        <v>NA</v>
      </c>
      <c r="I18" s="1279" t="str">
        <f t="shared" si="4"/>
        <v>NA</v>
      </c>
      <c r="J18" s="1082" t="s">
        <v>828</v>
      </c>
      <c r="K18" s="1281">
        <f t="shared" si="5"/>
        <v>574.81919236969702</v>
      </c>
      <c r="L18" s="1080"/>
      <c r="M18" s="1080"/>
      <c r="N18" s="1080"/>
      <c r="O18" s="1080"/>
      <c r="P18" s="1080"/>
      <c r="Q18" s="1080"/>
      <c r="R18" s="1080"/>
      <c r="S18" s="1080"/>
      <c r="T18" s="1080"/>
      <c r="U18" s="1080"/>
      <c r="V18" s="1080"/>
      <c r="W18" s="1080"/>
      <c r="X18" s="1080"/>
      <c r="Y18" s="1080"/>
      <c r="Z18" s="1080"/>
      <c r="AA18" s="1080"/>
      <c r="AB18" s="1080"/>
      <c r="AC18" s="1080"/>
    </row>
    <row r="19" spans="1:29" ht="12" hidden="1" customHeight="1">
      <c r="A19" s="1275" t="s">
        <v>829</v>
      </c>
      <c r="B19" s="1276" t="s">
        <v>796</v>
      </c>
      <c r="C19" s="1277" t="s">
        <v>826</v>
      </c>
      <c r="D19" s="1278">
        <f t="shared" si="0"/>
        <v>4.8632414333635951E-2</v>
      </c>
      <c r="E19" s="1278">
        <f t="shared" si="1"/>
        <v>0.10049739542691996</v>
      </c>
      <c r="F19" s="1278">
        <f t="shared" si="2"/>
        <v>5.3297395426919955E-2</v>
      </c>
      <c r="G19" s="1278">
        <v>2.9500000000000002E-2</v>
      </c>
      <c r="H19" s="1278">
        <f t="shared" si="3"/>
        <v>7.9529737000260281E-2</v>
      </c>
      <c r="I19" s="1279">
        <f t="shared" si="4"/>
        <v>3.2329737000260282E-2</v>
      </c>
      <c r="J19" s="1082" t="s">
        <v>830</v>
      </c>
      <c r="K19" s="1281">
        <f t="shared" si="5"/>
        <v>220.8389962363469</v>
      </c>
      <c r="L19" s="1080"/>
      <c r="M19" s="1080"/>
      <c r="N19" s="1080"/>
      <c r="O19" s="1080"/>
      <c r="P19" s="1080"/>
      <c r="Q19" s="1080"/>
      <c r="R19" s="1080"/>
      <c r="S19" s="1080"/>
      <c r="T19" s="1080"/>
      <c r="U19" s="1080"/>
      <c r="V19" s="1080"/>
      <c r="W19" s="1080"/>
      <c r="X19" s="1080"/>
      <c r="Y19" s="1080"/>
      <c r="Z19" s="1080"/>
      <c r="AA19" s="1080"/>
      <c r="AB19" s="1080"/>
      <c r="AC19" s="1080"/>
    </row>
    <row r="20" spans="1:29" ht="12" hidden="1" customHeight="1">
      <c r="A20" s="1275" t="s">
        <v>831</v>
      </c>
      <c r="B20" s="1276" t="s">
        <v>832</v>
      </c>
      <c r="C20" s="1277" t="s">
        <v>815</v>
      </c>
      <c r="D20" s="1278">
        <f t="shared" si="0"/>
        <v>3.1810382490361881E-2</v>
      </c>
      <c r="E20" s="1278">
        <f t="shared" si="1"/>
        <v>8.2061738975968967E-2</v>
      </c>
      <c r="F20" s="1278">
        <f t="shared" si="2"/>
        <v>3.4861738975968962E-2</v>
      </c>
      <c r="G20" s="1278" t="s">
        <v>113</v>
      </c>
      <c r="H20" s="1278" t="str">
        <f t="shared" si="3"/>
        <v>NA</v>
      </c>
      <c r="I20" s="1279" t="str">
        <f t="shared" si="4"/>
        <v>NA</v>
      </c>
      <c r="J20" s="1082" t="s">
        <v>825</v>
      </c>
      <c r="K20" s="1281">
        <f t="shared" si="5"/>
        <v>265.48514710001263</v>
      </c>
      <c r="L20" s="1080"/>
      <c r="M20" s="1080"/>
      <c r="N20" s="1080"/>
      <c r="O20" s="1080"/>
      <c r="P20" s="1080"/>
      <c r="Q20" s="1080"/>
      <c r="R20" s="1080"/>
      <c r="S20" s="1080"/>
      <c r="T20" s="1080"/>
      <c r="U20" s="1080"/>
      <c r="V20" s="1080"/>
      <c r="W20" s="1080"/>
      <c r="X20" s="1080"/>
      <c r="Y20" s="1080"/>
      <c r="Z20" s="1080"/>
      <c r="AA20" s="1080"/>
      <c r="AB20" s="1080"/>
      <c r="AC20" s="1080"/>
    </row>
    <row r="21" spans="1:29" ht="12" hidden="1" customHeight="1">
      <c r="A21" s="1275" t="s">
        <v>833</v>
      </c>
      <c r="B21" s="1276" t="s">
        <v>817</v>
      </c>
      <c r="C21" s="1277" t="s">
        <v>806</v>
      </c>
      <c r="D21" s="1278">
        <f t="shared" si="0"/>
        <v>6.6251698870904069E-2</v>
      </c>
      <c r="E21" s="1278">
        <f t="shared" si="1"/>
        <v>0.1198067796717549</v>
      </c>
      <c r="F21" s="1278">
        <f t="shared" si="2"/>
        <v>7.2606779671754898E-2</v>
      </c>
      <c r="G21" s="1278" t="s">
        <v>113</v>
      </c>
      <c r="H21" s="1278" t="str">
        <f t="shared" si="3"/>
        <v>NA</v>
      </c>
      <c r="I21" s="1279" t="str">
        <f t="shared" si="4"/>
        <v>NA</v>
      </c>
      <c r="J21" s="1082" t="s">
        <v>815</v>
      </c>
      <c r="K21" s="1281">
        <f t="shared" si="5"/>
        <v>318.10382490361883</v>
      </c>
      <c r="L21" s="1080"/>
      <c r="M21" s="1080"/>
      <c r="N21" s="1080"/>
      <c r="O21" s="1080"/>
      <c r="P21" s="1080"/>
      <c r="Q21" s="1080"/>
      <c r="R21" s="1080"/>
      <c r="S21" s="1080"/>
      <c r="T21" s="1080"/>
      <c r="U21" s="1080"/>
      <c r="V21" s="1080"/>
      <c r="W21" s="1080"/>
      <c r="X21" s="1080"/>
      <c r="Y21" s="1080"/>
      <c r="Z21" s="1080"/>
      <c r="AA21" s="1080"/>
      <c r="AB21" s="1080"/>
      <c r="AC21" s="1080"/>
    </row>
    <row r="22" spans="1:29" ht="12" hidden="1" customHeight="1">
      <c r="A22" s="1275" t="s">
        <v>834</v>
      </c>
      <c r="B22" s="1276" t="s">
        <v>801</v>
      </c>
      <c r="C22" s="1277" t="s">
        <v>828</v>
      </c>
      <c r="D22" s="1278">
        <f t="shared" si="0"/>
        <v>5.74819192369697E-2</v>
      </c>
      <c r="E22" s="1278">
        <f t="shared" si="1"/>
        <v>0.1101957739390316</v>
      </c>
      <c r="F22" s="1278">
        <f t="shared" si="2"/>
        <v>6.2995773939031607E-2</v>
      </c>
      <c r="G22" s="1278" t="s">
        <v>113</v>
      </c>
      <c r="H22" s="1278" t="str">
        <f t="shared" si="3"/>
        <v>NA</v>
      </c>
      <c r="I22" s="1279" t="str">
        <f t="shared" si="4"/>
        <v>NA</v>
      </c>
      <c r="J22" s="1082" t="s">
        <v>818</v>
      </c>
      <c r="K22" s="1281">
        <f t="shared" si="5"/>
        <v>141.11372683694367</v>
      </c>
      <c r="L22" s="1080"/>
      <c r="M22" s="1080"/>
      <c r="N22" s="1080"/>
      <c r="O22" s="1080"/>
      <c r="P22" s="1080"/>
      <c r="Q22" s="1080"/>
      <c r="R22" s="1080"/>
      <c r="S22" s="1080"/>
      <c r="T22" s="1080"/>
      <c r="U22" s="1080"/>
      <c r="V22" s="1080"/>
      <c r="W22" s="1080"/>
      <c r="X22" s="1080"/>
      <c r="Y22" s="1080"/>
      <c r="Z22" s="1080"/>
      <c r="AA22" s="1080"/>
      <c r="AB22" s="1080"/>
      <c r="AC22" s="1080"/>
    </row>
    <row r="23" spans="1:29" ht="12" hidden="1" customHeight="1">
      <c r="A23" s="1275" t="s">
        <v>835</v>
      </c>
      <c r="B23" s="1276" t="s">
        <v>805</v>
      </c>
      <c r="C23" s="1277" t="s">
        <v>819</v>
      </c>
      <c r="D23" s="1278">
        <f t="shared" si="0"/>
        <v>5.3415930497600151E-3</v>
      </c>
      <c r="E23" s="1278">
        <f t="shared" si="1"/>
        <v>5.3053976219022358E-2</v>
      </c>
      <c r="F23" s="1278">
        <f t="shared" si="2"/>
        <v>5.8539762190223561E-3</v>
      </c>
      <c r="G23" s="1278">
        <v>4.0000000000000018E-4</v>
      </c>
      <c r="H23" s="1278">
        <f t="shared" si="3"/>
        <v>4.7638369315257764E-2</v>
      </c>
      <c r="I23" s="1279">
        <f t="shared" si="4"/>
        <v>4.383693152577667E-4</v>
      </c>
      <c r="J23" s="1082" t="s">
        <v>836</v>
      </c>
      <c r="K23" s="1281">
        <f t="shared" si="5"/>
        <v>168.22031843274075</v>
      </c>
      <c r="L23" s="1080"/>
      <c r="M23" s="1080"/>
      <c r="N23" s="1080"/>
      <c r="O23" s="1080"/>
      <c r="P23" s="1080"/>
      <c r="Q23" s="1080"/>
      <c r="R23" s="1080"/>
      <c r="S23" s="1080"/>
      <c r="T23" s="1080"/>
      <c r="U23" s="1080"/>
      <c r="V23" s="1080"/>
      <c r="W23" s="1080"/>
      <c r="X23" s="1080"/>
      <c r="Y23" s="1080"/>
      <c r="Z23" s="1080"/>
      <c r="AA23" s="1080"/>
      <c r="AB23" s="1080"/>
      <c r="AC23" s="1080"/>
    </row>
    <row r="24" spans="1:29" ht="12" hidden="1" customHeight="1">
      <c r="A24" s="1275" t="s">
        <v>837</v>
      </c>
      <c r="B24" s="1276" t="s">
        <v>811</v>
      </c>
      <c r="C24" s="1277" t="s">
        <v>838</v>
      </c>
      <c r="D24" s="1278">
        <f t="shared" si="0"/>
        <v>8.8335598494538758E-2</v>
      </c>
      <c r="E24" s="1278">
        <f t="shared" si="1"/>
        <v>0.14400903956233987</v>
      </c>
      <c r="F24" s="1278">
        <f t="shared" si="2"/>
        <v>9.6809039562339869E-2</v>
      </c>
      <c r="G24" s="1278" t="s">
        <v>113</v>
      </c>
      <c r="H24" s="1278" t="str">
        <f t="shared" si="3"/>
        <v>NA</v>
      </c>
      <c r="I24" s="1279" t="str">
        <f t="shared" si="4"/>
        <v>NA</v>
      </c>
      <c r="J24" s="1082" t="s">
        <v>839</v>
      </c>
      <c r="K24" s="1281">
        <f t="shared" si="5"/>
        <v>194.52965733454383</v>
      </c>
      <c r="L24" s="1080"/>
      <c r="M24" s="1080"/>
      <c r="N24" s="1080"/>
      <c r="O24" s="1080"/>
      <c r="P24" s="1080"/>
      <c r="Q24" s="1080"/>
      <c r="R24" s="1080"/>
      <c r="S24" s="1080"/>
      <c r="T24" s="1080"/>
      <c r="U24" s="1080"/>
      <c r="V24" s="1080"/>
      <c r="W24" s="1080"/>
      <c r="X24" s="1080"/>
      <c r="Y24" s="1080"/>
      <c r="Z24" s="1080"/>
      <c r="AA24" s="1080"/>
      <c r="AB24" s="1080"/>
      <c r="AC24" s="1080"/>
    </row>
    <row r="25" spans="1:29" ht="12" hidden="1" customHeight="1">
      <c r="A25" s="1275" t="s">
        <v>840</v>
      </c>
      <c r="B25" s="1276" t="s">
        <v>786</v>
      </c>
      <c r="C25" s="1277" t="s">
        <v>826</v>
      </c>
      <c r="D25" s="1278">
        <f t="shared" si="0"/>
        <v>4.8632414333635951E-2</v>
      </c>
      <c r="E25" s="1278">
        <f t="shared" si="1"/>
        <v>0.10049739542691996</v>
      </c>
      <c r="F25" s="1278">
        <f t="shared" si="2"/>
        <v>5.3297395426919955E-2</v>
      </c>
      <c r="G25" s="1278" t="s">
        <v>113</v>
      </c>
      <c r="H25" s="1278" t="str">
        <f t="shared" si="3"/>
        <v>NA</v>
      </c>
      <c r="I25" s="1279" t="str">
        <f t="shared" si="4"/>
        <v>NA</v>
      </c>
      <c r="J25" s="1082" t="s">
        <v>38</v>
      </c>
      <c r="K25" s="1281">
        <f t="shared" si="5"/>
        <v>1750</v>
      </c>
      <c r="L25" s="1080"/>
      <c r="M25" s="1080"/>
      <c r="N25" s="1080"/>
      <c r="O25" s="1080"/>
      <c r="P25" s="1080"/>
      <c r="Q25" s="1080"/>
      <c r="R25" s="1080"/>
      <c r="S25" s="1080"/>
      <c r="T25" s="1080"/>
      <c r="U25" s="1080"/>
      <c r="V25" s="1080"/>
      <c r="W25" s="1080"/>
      <c r="X25" s="1080"/>
      <c r="Y25" s="1080"/>
      <c r="Z25" s="1080"/>
      <c r="AA25" s="1080"/>
      <c r="AB25" s="1080"/>
      <c r="AC25" s="1080"/>
    </row>
    <row r="26" spans="1:29" ht="12" hidden="1" customHeight="1">
      <c r="A26" s="1275" t="s">
        <v>841</v>
      </c>
      <c r="B26" s="1276" t="s">
        <v>817</v>
      </c>
      <c r="C26" s="1277" t="s">
        <v>807</v>
      </c>
      <c r="D26" s="1278">
        <f t="shared" si="0"/>
        <v>7.4941753235439005E-3</v>
      </c>
      <c r="E26" s="1278">
        <f t="shared" si="1"/>
        <v>5.5413041262508976E-2</v>
      </c>
      <c r="F26" s="1278">
        <f t="shared" si="2"/>
        <v>8.2130412625089771E-3</v>
      </c>
      <c r="G26" s="1278" t="s">
        <v>113</v>
      </c>
      <c r="H26" s="1278" t="str">
        <f t="shared" si="3"/>
        <v>NA</v>
      </c>
      <c r="I26" s="1279" t="str">
        <f t="shared" si="4"/>
        <v>NA</v>
      </c>
      <c r="J26" s="1082" t="s">
        <v>812</v>
      </c>
      <c r="K26" s="1281">
        <f t="shared" si="5"/>
        <v>1060.3460830120625</v>
      </c>
      <c r="L26" s="1080"/>
      <c r="M26" s="1080"/>
      <c r="N26" s="1080"/>
      <c r="O26" s="1080"/>
      <c r="P26" s="1080"/>
      <c r="Q26" s="1080"/>
      <c r="R26" s="1080"/>
      <c r="S26" s="1080"/>
      <c r="T26" s="1080"/>
      <c r="U26" s="1080"/>
      <c r="V26" s="1080"/>
      <c r="W26" s="1080"/>
      <c r="X26" s="1080"/>
      <c r="Y26" s="1080"/>
      <c r="Z26" s="1080"/>
      <c r="AA26" s="1080"/>
      <c r="AB26" s="1080"/>
      <c r="AC26" s="1080"/>
    </row>
    <row r="27" spans="1:29" ht="12" hidden="1" customHeight="1">
      <c r="A27" s="1275" t="s">
        <v>842</v>
      </c>
      <c r="B27" s="1276" t="s">
        <v>811</v>
      </c>
      <c r="C27" s="1277" t="s">
        <v>826</v>
      </c>
      <c r="D27" s="1278">
        <f t="shared" si="0"/>
        <v>4.8632414333635951E-2</v>
      </c>
      <c r="E27" s="1278">
        <f t="shared" si="1"/>
        <v>0.10049739542691996</v>
      </c>
      <c r="F27" s="1278">
        <f t="shared" si="2"/>
        <v>5.3297395426919955E-2</v>
      </c>
      <c r="G27" s="1278" t="s">
        <v>113</v>
      </c>
      <c r="H27" s="1278" t="str">
        <f t="shared" si="3"/>
        <v>NA</v>
      </c>
      <c r="I27" s="1279" t="str">
        <f t="shared" si="4"/>
        <v>NA</v>
      </c>
      <c r="J27" s="1082" t="str">
        <f t="shared" ref="J27:K27" si="6">B207</f>
        <v>Caa1</v>
      </c>
      <c r="K27" s="1281">
        <f t="shared" si="6"/>
        <v>662.51698870904067</v>
      </c>
      <c r="L27" s="1080"/>
      <c r="M27" s="1080"/>
      <c r="N27" s="1080"/>
      <c r="O27" s="1080"/>
      <c r="P27" s="1080"/>
      <c r="Q27" s="1080"/>
      <c r="R27" s="1080"/>
      <c r="S27" s="1080"/>
      <c r="T27" s="1080"/>
      <c r="U27" s="1080"/>
      <c r="V27" s="1080"/>
      <c r="W27" s="1080"/>
      <c r="X27" s="1080"/>
      <c r="Y27" s="1080"/>
      <c r="Z27" s="1080"/>
      <c r="AA27" s="1080"/>
      <c r="AB27" s="1080"/>
      <c r="AC27" s="1080"/>
    </row>
    <row r="28" spans="1:29" ht="12" hidden="1" customHeight="1">
      <c r="A28" s="1275" t="s">
        <v>843</v>
      </c>
      <c r="B28" s="1276" t="s">
        <v>801</v>
      </c>
      <c r="C28" s="1277" t="s">
        <v>828</v>
      </c>
      <c r="D28" s="1278">
        <f t="shared" si="0"/>
        <v>5.74819192369697E-2</v>
      </c>
      <c r="E28" s="1278">
        <f t="shared" si="1"/>
        <v>0.1101957739390316</v>
      </c>
      <c r="F28" s="1278">
        <f t="shared" si="2"/>
        <v>6.2995773939031607E-2</v>
      </c>
      <c r="G28" s="1278" t="s">
        <v>113</v>
      </c>
      <c r="H28" s="1278" t="str">
        <f t="shared" si="3"/>
        <v>NA</v>
      </c>
      <c r="I28" s="1279" t="str">
        <f t="shared" si="4"/>
        <v>NA</v>
      </c>
      <c r="J28" s="1082" t="str">
        <f t="shared" ref="J28:K28" si="7">B208</f>
        <v>Caa2</v>
      </c>
      <c r="K28" s="1281">
        <f t="shared" si="7"/>
        <v>795.65818860604406</v>
      </c>
      <c r="L28" s="1080"/>
      <c r="M28" s="1080"/>
      <c r="N28" s="1080"/>
      <c r="O28" s="1080"/>
      <c r="P28" s="1080"/>
      <c r="Q28" s="1080"/>
      <c r="R28" s="1080"/>
      <c r="S28" s="1080"/>
      <c r="T28" s="1080"/>
      <c r="U28" s="1080"/>
      <c r="V28" s="1080"/>
      <c r="W28" s="1080"/>
      <c r="X28" s="1080"/>
      <c r="Y28" s="1080"/>
      <c r="Z28" s="1080"/>
      <c r="AA28" s="1080"/>
      <c r="AB28" s="1080"/>
      <c r="AC28" s="1080"/>
    </row>
    <row r="29" spans="1:29" ht="12" hidden="1" customHeight="1">
      <c r="A29" s="1275" t="s">
        <v>844</v>
      </c>
      <c r="B29" s="1276" t="s">
        <v>786</v>
      </c>
      <c r="C29" s="1277" t="s">
        <v>807</v>
      </c>
      <c r="D29" s="1278">
        <f t="shared" si="0"/>
        <v>7.4941753235439005E-3</v>
      </c>
      <c r="E29" s="1278">
        <f t="shared" si="1"/>
        <v>5.5413041262508976E-2</v>
      </c>
      <c r="F29" s="1278">
        <f t="shared" si="2"/>
        <v>8.2130412625089771E-3</v>
      </c>
      <c r="G29" s="1278" t="s">
        <v>113</v>
      </c>
      <c r="H29" s="1278" t="str">
        <f t="shared" si="3"/>
        <v>NA</v>
      </c>
      <c r="I29" s="1279" t="str">
        <f t="shared" si="4"/>
        <v>NA</v>
      </c>
      <c r="J29" s="1082" t="str">
        <f t="shared" ref="J29:K29" si="8">B209</f>
        <v>Caa3</v>
      </c>
      <c r="K29" s="1281">
        <f t="shared" si="8"/>
        <v>883.3559849453876</v>
      </c>
      <c r="L29" s="1080"/>
      <c r="M29" s="1080"/>
      <c r="N29" s="1080"/>
      <c r="O29" s="1080"/>
      <c r="P29" s="1080"/>
      <c r="Q29" s="1080"/>
      <c r="R29" s="1080"/>
      <c r="S29" s="1080"/>
      <c r="T29" s="1080"/>
      <c r="U29" s="1080"/>
      <c r="V29" s="1080"/>
      <c r="W29" s="1080"/>
      <c r="X29" s="1080"/>
      <c r="Y29" s="1080"/>
      <c r="Z29" s="1080"/>
      <c r="AA29" s="1080"/>
      <c r="AB29" s="1080"/>
      <c r="AC29" s="1080"/>
    </row>
    <row r="30" spans="1:29" ht="12" hidden="1" customHeight="1">
      <c r="A30" s="1275" t="s">
        <v>845</v>
      </c>
      <c r="B30" s="1276" t="s">
        <v>811</v>
      </c>
      <c r="C30" s="1277" t="s">
        <v>825</v>
      </c>
      <c r="D30" s="1278">
        <f t="shared" si="0"/>
        <v>2.6548514710001261E-2</v>
      </c>
      <c r="E30" s="1278">
        <f t="shared" si="1"/>
        <v>7.629513553633499E-2</v>
      </c>
      <c r="F30" s="1278">
        <f t="shared" si="2"/>
        <v>2.9095135536334988E-2</v>
      </c>
      <c r="G30" s="1278">
        <v>1.9199999999999998E-2</v>
      </c>
      <c r="H30" s="1278">
        <f t="shared" si="3"/>
        <v>6.8241727132372795E-2</v>
      </c>
      <c r="I30" s="1279">
        <f t="shared" si="4"/>
        <v>2.1041727132372793E-2</v>
      </c>
      <c r="J30" s="1082" t="s">
        <v>846</v>
      </c>
      <c r="K30" s="1282" t="str">
        <f>C210</f>
        <v>NA</v>
      </c>
      <c r="L30" s="1080"/>
      <c r="M30" s="1080"/>
      <c r="N30" s="1080"/>
      <c r="O30" s="1080"/>
      <c r="P30" s="1080"/>
      <c r="Q30" s="1080"/>
      <c r="R30" s="1080"/>
      <c r="S30" s="1080"/>
      <c r="T30" s="1080"/>
      <c r="U30" s="1080"/>
      <c r="V30" s="1080"/>
      <c r="W30" s="1080"/>
      <c r="X30" s="1080"/>
      <c r="Y30" s="1080"/>
      <c r="Z30" s="1080"/>
      <c r="AA30" s="1080"/>
      <c r="AB30" s="1080"/>
      <c r="AC30" s="1080"/>
    </row>
    <row r="31" spans="1:29" ht="12" hidden="1" customHeight="1">
      <c r="A31" s="1275" t="s">
        <v>847</v>
      </c>
      <c r="B31" s="1276" t="s">
        <v>801</v>
      </c>
      <c r="C31" s="1277" t="s">
        <v>818</v>
      </c>
      <c r="D31" s="1278">
        <f t="shared" si="0"/>
        <v>1.4111372683694367E-2</v>
      </c>
      <c r="E31" s="1278">
        <f t="shared" si="1"/>
        <v>6.2664981951745621E-2</v>
      </c>
      <c r="F31" s="1278">
        <f t="shared" si="2"/>
        <v>1.5464981951745628E-2</v>
      </c>
      <c r="G31" s="1278">
        <v>4.7000000000000002E-3</v>
      </c>
      <c r="H31" s="1278">
        <f t="shared" si="3"/>
        <v>5.2350839454278757E-2</v>
      </c>
      <c r="I31" s="1279">
        <f t="shared" si="4"/>
        <v>5.1508394542787569E-3</v>
      </c>
      <c r="J31" s="1080"/>
      <c r="K31" s="1080"/>
      <c r="L31" s="1080"/>
      <c r="M31" s="1080"/>
      <c r="N31" s="1080"/>
      <c r="O31" s="1080"/>
      <c r="P31" s="1080"/>
      <c r="Q31" s="1080"/>
      <c r="R31" s="1080"/>
      <c r="S31" s="1080"/>
      <c r="T31" s="1080"/>
      <c r="U31" s="1080"/>
      <c r="V31" s="1080"/>
      <c r="W31" s="1080"/>
      <c r="X31" s="1080"/>
      <c r="Y31" s="1080"/>
      <c r="Z31" s="1080"/>
      <c r="AA31" s="1080"/>
      <c r="AB31" s="1080"/>
      <c r="AC31" s="1080"/>
    </row>
    <row r="32" spans="1:29" ht="12" hidden="1" customHeight="1">
      <c r="A32" s="1275" t="s">
        <v>848</v>
      </c>
      <c r="B32" s="1276" t="s">
        <v>786</v>
      </c>
      <c r="C32" s="1277" t="s">
        <v>826</v>
      </c>
      <c r="D32" s="1278">
        <f t="shared" si="0"/>
        <v>4.8632414333635951E-2</v>
      </c>
      <c r="E32" s="1278">
        <f t="shared" si="1"/>
        <v>0.10049739542691996</v>
      </c>
      <c r="F32" s="1278">
        <f t="shared" si="2"/>
        <v>5.3297395426919955E-2</v>
      </c>
      <c r="G32" s="1278" t="s">
        <v>113</v>
      </c>
      <c r="H32" s="1278" t="str">
        <f t="shared" si="3"/>
        <v>NA</v>
      </c>
      <c r="I32" s="1279" t="str">
        <f t="shared" si="4"/>
        <v>NA</v>
      </c>
      <c r="J32" s="1080"/>
      <c r="K32" s="1080"/>
      <c r="L32" s="1080"/>
      <c r="M32" s="1080"/>
      <c r="N32" s="1080"/>
      <c r="O32" s="1080"/>
      <c r="P32" s="1080"/>
      <c r="Q32" s="1080"/>
      <c r="R32" s="1080"/>
      <c r="S32" s="1080"/>
      <c r="T32" s="1080"/>
      <c r="U32" s="1080"/>
      <c r="V32" s="1080"/>
      <c r="W32" s="1080"/>
      <c r="X32" s="1080"/>
      <c r="Y32" s="1080"/>
      <c r="Z32" s="1080"/>
      <c r="AA32" s="1080"/>
      <c r="AB32" s="1080"/>
      <c r="AC32" s="1080"/>
    </row>
    <row r="33" spans="1:29" ht="12" hidden="1" customHeight="1">
      <c r="A33" s="1275" t="s">
        <v>849</v>
      </c>
      <c r="B33" s="1276" t="s">
        <v>832</v>
      </c>
      <c r="C33" s="1277" t="s">
        <v>826</v>
      </c>
      <c r="D33" s="1278">
        <f t="shared" si="0"/>
        <v>4.8632414333635951E-2</v>
      </c>
      <c r="E33" s="1278">
        <f t="shared" si="1"/>
        <v>0.10049739542691996</v>
      </c>
      <c r="F33" s="1278">
        <f t="shared" si="2"/>
        <v>5.3297395426919955E-2</v>
      </c>
      <c r="G33" s="1278" t="s">
        <v>113</v>
      </c>
      <c r="H33" s="1278" t="str">
        <f t="shared" si="3"/>
        <v>NA</v>
      </c>
      <c r="I33" s="1279" t="str">
        <f t="shared" si="4"/>
        <v>NA</v>
      </c>
      <c r="J33" s="1080"/>
      <c r="K33" s="1080"/>
      <c r="L33" s="1080"/>
      <c r="M33" s="1080"/>
      <c r="N33" s="1080"/>
      <c r="O33" s="1080"/>
      <c r="P33" s="1080"/>
      <c r="Q33" s="1080"/>
      <c r="R33" s="1080"/>
      <c r="S33" s="1080"/>
      <c r="T33" s="1080"/>
      <c r="U33" s="1080"/>
      <c r="V33" s="1080"/>
      <c r="W33" s="1080"/>
      <c r="X33" s="1080"/>
      <c r="Y33" s="1080"/>
      <c r="Z33" s="1080"/>
      <c r="AA33" s="1080"/>
      <c r="AB33" s="1080"/>
      <c r="AC33" s="1080"/>
    </row>
    <row r="34" spans="1:29" ht="12" hidden="1" customHeight="1">
      <c r="A34" s="1275" t="s">
        <v>850</v>
      </c>
      <c r="B34" s="1276" t="s">
        <v>786</v>
      </c>
      <c r="C34" s="1277" t="s">
        <v>826</v>
      </c>
      <c r="D34" s="1278">
        <f t="shared" si="0"/>
        <v>4.8632414333635951E-2</v>
      </c>
      <c r="E34" s="1278">
        <f t="shared" si="1"/>
        <v>0.10049739542691996</v>
      </c>
      <c r="F34" s="1278">
        <f t="shared" si="2"/>
        <v>5.3297395426919955E-2</v>
      </c>
      <c r="G34" s="1278">
        <v>5.6400000000000006E-2</v>
      </c>
      <c r="H34" s="1278">
        <f t="shared" si="3"/>
        <v>0.10901007345134509</v>
      </c>
      <c r="I34" s="1279">
        <f t="shared" si="4"/>
        <v>6.1810073451345086E-2</v>
      </c>
      <c r="J34" s="1080"/>
      <c r="K34" s="1080"/>
      <c r="L34" s="1080"/>
      <c r="M34" s="1080"/>
      <c r="N34" s="1080"/>
      <c r="O34" s="1080"/>
      <c r="P34" s="1080"/>
      <c r="Q34" s="1080"/>
      <c r="R34" s="1080"/>
      <c r="S34" s="1080"/>
      <c r="T34" s="1080"/>
      <c r="U34" s="1080"/>
      <c r="V34" s="1080"/>
      <c r="W34" s="1080"/>
      <c r="X34" s="1080"/>
      <c r="Y34" s="1080"/>
      <c r="Z34" s="1080"/>
      <c r="AA34" s="1080"/>
      <c r="AB34" s="1080"/>
      <c r="AC34" s="1080"/>
    </row>
    <row r="35" spans="1:29" ht="12" hidden="1" customHeight="1">
      <c r="A35" s="1275" t="s">
        <v>851</v>
      </c>
      <c r="B35" s="1276" t="s">
        <v>852</v>
      </c>
      <c r="C35" s="1277" t="s">
        <v>822</v>
      </c>
      <c r="D35" s="1278">
        <f t="shared" si="0"/>
        <v>0</v>
      </c>
      <c r="E35" s="1278">
        <f t="shared" si="1"/>
        <v>4.7199999999999999E-2</v>
      </c>
      <c r="F35" s="1278">
        <f t="shared" si="2"/>
        <v>0</v>
      </c>
      <c r="G35" s="1278">
        <v>1.8999999999999998E-3</v>
      </c>
      <c r="H35" s="1278">
        <f t="shared" si="3"/>
        <v>4.9282254247474393E-2</v>
      </c>
      <c r="I35" s="1279">
        <f t="shared" si="4"/>
        <v>2.0822542474743908E-3</v>
      </c>
      <c r="J35" s="1080"/>
      <c r="K35" s="1080"/>
      <c r="L35" s="1080"/>
      <c r="M35" s="1080"/>
      <c r="N35" s="1080"/>
      <c r="O35" s="1080"/>
      <c r="P35" s="1080"/>
      <c r="Q35" s="1080"/>
      <c r="R35" s="1080"/>
      <c r="S35" s="1080"/>
      <c r="T35" s="1080"/>
      <c r="U35" s="1080"/>
      <c r="V35" s="1080"/>
      <c r="W35" s="1080"/>
      <c r="X35" s="1080"/>
      <c r="Y35" s="1080"/>
      <c r="Z35" s="1080"/>
      <c r="AA35" s="1080"/>
      <c r="AB35" s="1080"/>
      <c r="AC35" s="1080"/>
    </row>
    <row r="36" spans="1:29" ht="12" hidden="1" customHeight="1">
      <c r="A36" s="1275" t="s">
        <v>853</v>
      </c>
      <c r="B36" s="1276" t="s">
        <v>786</v>
      </c>
      <c r="C36" s="1277" t="s">
        <v>826</v>
      </c>
      <c r="D36" s="1278">
        <f t="shared" si="0"/>
        <v>4.8632414333635951E-2</v>
      </c>
      <c r="E36" s="1278">
        <f t="shared" si="1"/>
        <v>0.10049739542691996</v>
      </c>
      <c r="F36" s="1278">
        <f t="shared" si="2"/>
        <v>5.3297395426919955E-2</v>
      </c>
      <c r="G36" s="1278" t="s">
        <v>113</v>
      </c>
      <c r="H36" s="1278" t="str">
        <f t="shared" si="3"/>
        <v>NA</v>
      </c>
      <c r="I36" s="1279" t="str">
        <f t="shared" si="4"/>
        <v>NA</v>
      </c>
      <c r="J36" s="1080"/>
      <c r="K36" s="1080"/>
      <c r="L36" s="1080"/>
      <c r="M36" s="1080"/>
      <c r="N36" s="1080"/>
      <c r="O36" s="1080"/>
      <c r="P36" s="1080"/>
      <c r="Q36" s="1080"/>
      <c r="R36" s="1080"/>
      <c r="S36" s="1080"/>
      <c r="T36" s="1080"/>
      <c r="U36" s="1080"/>
      <c r="V36" s="1080"/>
      <c r="W36" s="1080"/>
      <c r="X36" s="1080"/>
      <c r="Y36" s="1080"/>
      <c r="Z36" s="1080"/>
      <c r="AA36" s="1080"/>
      <c r="AB36" s="1080"/>
      <c r="AC36" s="1080"/>
    </row>
    <row r="37" spans="1:29" ht="12" hidden="1" customHeight="1">
      <c r="A37" s="1275" t="s">
        <v>854</v>
      </c>
      <c r="B37" s="1276" t="s">
        <v>817</v>
      </c>
      <c r="C37" s="1277" t="s">
        <v>819</v>
      </c>
      <c r="D37" s="1278">
        <f t="shared" si="0"/>
        <v>5.3415930497600151E-3</v>
      </c>
      <c r="E37" s="1278">
        <f t="shared" si="1"/>
        <v>5.3053976219022358E-2</v>
      </c>
      <c r="F37" s="1278">
        <f t="shared" si="2"/>
        <v>5.8539762190223561E-3</v>
      </c>
      <c r="G37" s="1278" t="s">
        <v>113</v>
      </c>
      <c r="H37" s="1278" t="str">
        <f t="shared" si="3"/>
        <v>NA</v>
      </c>
      <c r="I37" s="1279" t="str">
        <f t="shared" si="4"/>
        <v>NA</v>
      </c>
      <c r="J37" s="1080"/>
      <c r="K37" s="1080"/>
      <c r="L37" s="1080"/>
      <c r="M37" s="1080"/>
      <c r="N37" s="1080"/>
      <c r="O37" s="1080"/>
      <c r="P37" s="1080"/>
      <c r="Q37" s="1080"/>
      <c r="R37" s="1080"/>
      <c r="S37" s="1080"/>
      <c r="T37" s="1080"/>
      <c r="U37" s="1080"/>
      <c r="V37" s="1080"/>
      <c r="W37" s="1080"/>
      <c r="X37" s="1080"/>
      <c r="Y37" s="1080"/>
      <c r="Z37" s="1080"/>
      <c r="AA37" s="1080"/>
      <c r="AB37" s="1080"/>
      <c r="AC37" s="1080"/>
    </row>
    <row r="38" spans="1:29" ht="12" hidden="1" customHeight="1">
      <c r="A38" s="1275" t="s">
        <v>855</v>
      </c>
      <c r="B38" s="1276" t="s">
        <v>811</v>
      </c>
      <c r="C38" s="1277" t="s">
        <v>803</v>
      </c>
      <c r="D38" s="1278">
        <f t="shared" si="0"/>
        <v>6.2185710131534505E-3</v>
      </c>
      <c r="E38" s="1278">
        <f t="shared" si="1"/>
        <v>5.4015076792294683E-2</v>
      </c>
      <c r="F38" s="1278">
        <f t="shared" si="2"/>
        <v>6.8150767922946836E-3</v>
      </c>
      <c r="G38" s="1278">
        <v>6.6999999999999994E-3</v>
      </c>
      <c r="H38" s="1278">
        <f t="shared" si="3"/>
        <v>5.454268603056759E-2</v>
      </c>
      <c r="I38" s="1279">
        <f t="shared" si="4"/>
        <v>7.3426860305675886E-3</v>
      </c>
      <c r="J38" s="1080"/>
      <c r="K38" s="1080"/>
      <c r="L38" s="1080"/>
      <c r="M38" s="1080"/>
      <c r="N38" s="1080"/>
      <c r="O38" s="1080"/>
      <c r="P38" s="1080"/>
      <c r="Q38" s="1080"/>
      <c r="R38" s="1080"/>
      <c r="S38" s="1080"/>
      <c r="T38" s="1080"/>
      <c r="U38" s="1080"/>
      <c r="V38" s="1080"/>
      <c r="W38" s="1080"/>
      <c r="X38" s="1080"/>
      <c r="Y38" s="1080"/>
      <c r="Z38" s="1080"/>
      <c r="AA38" s="1080"/>
      <c r="AB38" s="1080"/>
      <c r="AC38" s="1080"/>
    </row>
    <row r="39" spans="1:29" ht="12" hidden="1" customHeight="1">
      <c r="A39" s="1275" t="s">
        <v>856</v>
      </c>
      <c r="B39" s="1276" t="s">
        <v>832</v>
      </c>
      <c r="C39" s="1277" t="s">
        <v>803</v>
      </c>
      <c r="D39" s="1278">
        <f t="shared" si="0"/>
        <v>6.2185710131534505E-3</v>
      </c>
      <c r="E39" s="1278">
        <f t="shared" si="1"/>
        <v>5.4015076792294683E-2</v>
      </c>
      <c r="F39" s="1278">
        <f t="shared" si="2"/>
        <v>6.8150767922946836E-3</v>
      </c>
      <c r="G39" s="1278">
        <v>3.3E-3</v>
      </c>
      <c r="H39" s="1278">
        <f t="shared" si="3"/>
        <v>5.0816546850876575E-2</v>
      </c>
      <c r="I39" s="1279">
        <f t="shared" si="4"/>
        <v>3.6165468508765736E-3</v>
      </c>
      <c r="J39" s="1080"/>
      <c r="K39" s="1080"/>
      <c r="L39" s="1080"/>
      <c r="M39" s="1080"/>
      <c r="N39" s="1080"/>
      <c r="O39" s="1080"/>
      <c r="P39" s="1080"/>
      <c r="Q39" s="1080"/>
      <c r="R39" s="1080"/>
      <c r="S39" s="1080"/>
      <c r="T39" s="1080"/>
      <c r="U39" s="1080"/>
      <c r="V39" s="1080"/>
      <c r="W39" s="1080"/>
      <c r="X39" s="1080"/>
      <c r="Y39" s="1080"/>
      <c r="Z39" s="1080"/>
      <c r="AA39" s="1080"/>
      <c r="AB39" s="1080"/>
      <c r="AC39" s="1080"/>
    </row>
    <row r="40" spans="1:29" ht="12" hidden="1" customHeight="1">
      <c r="A40" s="1275" t="s">
        <v>857</v>
      </c>
      <c r="B40" s="1276" t="s">
        <v>811</v>
      </c>
      <c r="C40" s="1277" t="s">
        <v>836</v>
      </c>
      <c r="D40" s="1278">
        <f t="shared" si="0"/>
        <v>1.6822031843274077E-2</v>
      </c>
      <c r="E40" s="1278">
        <f t="shared" si="1"/>
        <v>6.5635656450950999E-2</v>
      </c>
      <c r="F40" s="1278">
        <f t="shared" si="2"/>
        <v>1.8435656450951004E-2</v>
      </c>
      <c r="G40" s="1278">
        <v>1.29E-2</v>
      </c>
      <c r="H40" s="1278">
        <f t="shared" si="3"/>
        <v>6.1337410417062969E-2</v>
      </c>
      <c r="I40" s="1279">
        <f t="shared" si="4"/>
        <v>1.4137410417062971E-2</v>
      </c>
      <c r="J40" s="1080"/>
      <c r="K40" s="1080"/>
      <c r="L40" s="1080"/>
      <c r="M40" s="1080"/>
      <c r="N40" s="1080"/>
      <c r="O40" s="1080"/>
      <c r="P40" s="1080"/>
      <c r="Q40" s="1080"/>
      <c r="R40" s="1080"/>
      <c r="S40" s="1080"/>
      <c r="T40" s="1080"/>
      <c r="U40" s="1080"/>
      <c r="V40" s="1080"/>
      <c r="W40" s="1080"/>
      <c r="X40" s="1080"/>
      <c r="Y40" s="1080"/>
      <c r="Z40" s="1080"/>
      <c r="AA40" s="1080"/>
      <c r="AB40" s="1080"/>
      <c r="AC40" s="1080"/>
    </row>
    <row r="41" spans="1:29" ht="12" hidden="1" customHeight="1">
      <c r="A41" s="1275" t="s">
        <v>858</v>
      </c>
      <c r="B41" s="1276" t="s">
        <v>786</v>
      </c>
      <c r="C41" s="1277" t="s">
        <v>806</v>
      </c>
      <c r="D41" s="1278">
        <f t="shared" si="0"/>
        <v>6.6251698870904069E-2</v>
      </c>
      <c r="E41" s="1278">
        <f t="shared" si="1"/>
        <v>0.1198067796717549</v>
      </c>
      <c r="F41" s="1278">
        <f t="shared" si="2"/>
        <v>7.2606779671754898E-2</v>
      </c>
      <c r="G41" s="1278" t="s">
        <v>113</v>
      </c>
      <c r="H41" s="1278" t="str">
        <f t="shared" si="3"/>
        <v>NA</v>
      </c>
      <c r="I41" s="1279" t="str">
        <f t="shared" si="4"/>
        <v>NA</v>
      </c>
      <c r="J41" s="1080"/>
      <c r="K41" s="1080"/>
      <c r="L41" s="1080"/>
      <c r="M41" s="1080"/>
      <c r="N41" s="1080"/>
      <c r="O41" s="1080"/>
      <c r="P41" s="1080"/>
      <c r="Q41" s="1080"/>
      <c r="R41" s="1080"/>
      <c r="S41" s="1080"/>
      <c r="T41" s="1080"/>
      <c r="U41" s="1080"/>
      <c r="V41" s="1080"/>
      <c r="W41" s="1080"/>
      <c r="X41" s="1080"/>
      <c r="Y41" s="1080"/>
      <c r="Z41" s="1080"/>
      <c r="AA41" s="1080"/>
      <c r="AB41" s="1080"/>
      <c r="AC41" s="1080"/>
    </row>
    <row r="42" spans="1:29" ht="12" hidden="1" customHeight="1">
      <c r="A42" s="1275" t="s">
        <v>859</v>
      </c>
      <c r="B42" s="1276" t="s">
        <v>786</v>
      </c>
      <c r="C42" s="1277" t="s">
        <v>860</v>
      </c>
      <c r="D42" s="1278">
        <f t="shared" si="0"/>
        <v>7.9565818860604404E-2</v>
      </c>
      <c r="E42" s="1278">
        <f t="shared" si="1"/>
        <v>0.1343980338296166</v>
      </c>
      <c r="F42" s="1278">
        <f t="shared" si="2"/>
        <v>8.7198033829616592E-2</v>
      </c>
      <c r="G42" s="1278" t="s">
        <v>113</v>
      </c>
      <c r="H42" s="1278" t="str">
        <f t="shared" si="3"/>
        <v>NA</v>
      </c>
      <c r="I42" s="1279" t="str">
        <f t="shared" si="4"/>
        <v>NA</v>
      </c>
      <c r="J42" s="1080"/>
      <c r="K42" s="1080"/>
      <c r="L42" s="1080"/>
      <c r="M42" s="1080"/>
      <c r="N42" s="1080"/>
      <c r="O42" s="1080"/>
      <c r="P42" s="1080"/>
      <c r="Q42" s="1080"/>
      <c r="R42" s="1080"/>
      <c r="S42" s="1080"/>
      <c r="T42" s="1080"/>
      <c r="U42" s="1080"/>
      <c r="V42" s="1080"/>
      <c r="W42" s="1080"/>
      <c r="X42" s="1080"/>
      <c r="Y42" s="1080"/>
      <c r="Z42" s="1080"/>
      <c r="AA42" s="1080"/>
      <c r="AB42" s="1080"/>
      <c r="AC42" s="1080"/>
    </row>
    <row r="43" spans="1:29" ht="12" hidden="1" customHeight="1">
      <c r="A43" s="1275" t="s">
        <v>861</v>
      </c>
      <c r="B43" s="1276" t="s">
        <v>821</v>
      </c>
      <c r="C43" s="1277" t="s">
        <v>802</v>
      </c>
      <c r="D43" s="1278">
        <f t="shared" si="0"/>
        <v>3.9782909430302202E-2</v>
      </c>
      <c r="E43" s="1278">
        <f t="shared" si="1"/>
        <v>9.0799016914808295E-2</v>
      </c>
      <c r="F43" s="1278">
        <f t="shared" si="2"/>
        <v>4.3599016914808296E-2</v>
      </c>
      <c r="G43" s="1278" t="s">
        <v>113</v>
      </c>
      <c r="H43" s="1278" t="str">
        <f t="shared" si="3"/>
        <v>NA</v>
      </c>
      <c r="I43" s="1279" t="str">
        <f t="shared" si="4"/>
        <v>NA</v>
      </c>
      <c r="J43" s="1080"/>
      <c r="K43" s="1080"/>
      <c r="L43" s="1080"/>
      <c r="M43" s="1080"/>
      <c r="N43" s="1080"/>
      <c r="O43" s="1080"/>
      <c r="P43" s="1080"/>
      <c r="Q43" s="1080"/>
      <c r="R43" s="1080"/>
      <c r="S43" s="1080"/>
      <c r="T43" s="1080"/>
      <c r="U43" s="1080"/>
      <c r="V43" s="1080"/>
      <c r="W43" s="1080"/>
      <c r="X43" s="1080"/>
      <c r="Y43" s="1080"/>
      <c r="Z43" s="1080"/>
      <c r="AA43" s="1080"/>
      <c r="AB43" s="1080"/>
      <c r="AC43" s="1080"/>
    </row>
    <row r="44" spans="1:29" ht="12" hidden="1" customHeight="1">
      <c r="A44" s="1275" t="s">
        <v>862</v>
      </c>
      <c r="B44" s="1276" t="s">
        <v>811</v>
      </c>
      <c r="C44" s="1277" t="s">
        <v>826</v>
      </c>
      <c r="D44" s="1278">
        <f t="shared" si="0"/>
        <v>4.8632414333635951E-2</v>
      </c>
      <c r="E44" s="1278">
        <f t="shared" si="1"/>
        <v>0.10049739542691996</v>
      </c>
      <c r="F44" s="1278">
        <f t="shared" si="2"/>
        <v>5.3297395426919955E-2</v>
      </c>
      <c r="G44" s="1278">
        <v>5.8999999999999997E-2</v>
      </c>
      <c r="H44" s="1278">
        <f t="shared" si="3"/>
        <v>0.11185947400052057</v>
      </c>
      <c r="I44" s="1279">
        <f t="shared" si="4"/>
        <v>6.4659474000520564E-2</v>
      </c>
      <c r="J44" s="1080"/>
      <c r="K44" s="1080"/>
      <c r="L44" s="1080"/>
      <c r="M44" s="1080"/>
      <c r="N44" s="1080"/>
      <c r="O44" s="1080"/>
      <c r="P44" s="1080"/>
      <c r="Q44" s="1080"/>
      <c r="R44" s="1080"/>
      <c r="S44" s="1080"/>
      <c r="T44" s="1080"/>
      <c r="U44" s="1080"/>
      <c r="V44" s="1080"/>
      <c r="W44" s="1080"/>
      <c r="X44" s="1080"/>
      <c r="Y44" s="1080"/>
      <c r="Z44" s="1080"/>
      <c r="AA44" s="1080"/>
      <c r="AB44" s="1080"/>
      <c r="AC44" s="1080"/>
    </row>
    <row r="45" spans="1:29" ht="12" hidden="1" customHeight="1">
      <c r="A45" s="1275" t="s">
        <v>863</v>
      </c>
      <c r="B45" s="1276" t="s">
        <v>786</v>
      </c>
      <c r="C45" s="1277" t="s">
        <v>815</v>
      </c>
      <c r="D45" s="1278">
        <f t="shared" si="0"/>
        <v>3.1810382490361881E-2</v>
      </c>
      <c r="E45" s="1278">
        <f t="shared" si="1"/>
        <v>8.2061738975968967E-2</v>
      </c>
      <c r="F45" s="1278">
        <f t="shared" si="2"/>
        <v>3.4861738975968962E-2</v>
      </c>
      <c r="G45" s="1278" t="s">
        <v>113</v>
      </c>
      <c r="H45" s="1278" t="str">
        <f t="shared" si="3"/>
        <v>NA</v>
      </c>
      <c r="I45" s="1279" t="str">
        <f t="shared" si="4"/>
        <v>NA</v>
      </c>
      <c r="J45" s="1080"/>
      <c r="K45" s="1080"/>
      <c r="L45" s="1080"/>
      <c r="M45" s="1080"/>
      <c r="N45" s="1080"/>
      <c r="O45" s="1080"/>
      <c r="P45" s="1080"/>
      <c r="Q45" s="1080"/>
      <c r="R45" s="1080"/>
      <c r="S45" s="1080"/>
      <c r="T45" s="1080"/>
      <c r="U45" s="1080"/>
      <c r="V45" s="1080"/>
      <c r="W45" s="1080"/>
      <c r="X45" s="1080"/>
      <c r="Y45" s="1080"/>
      <c r="Z45" s="1080"/>
      <c r="AA45" s="1080"/>
      <c r="AB45" s="1080"/>
      <c r="AC45" s="1080"/>
    </row>
    <row r="46" spans="1:29" ht="12" hidden="1" customHeight="1">
      <c r="A46" s="1275" t="s">
        <v>864</v>
      </c>
      <c r="B46" s="1276" t="s">
        <v>801</v>
      </c>
      <c r="C46" s="1277" t="s">
        <v>830</v>
      </c>
      <c r="D46" s="1278">
        <f t="shared" si="0"/>
        <v>2.208389962363469E-2</v>
      </c>
      <c r="E46" s="1278">
        <f t="shared" si="1"/>
        <v>7.1402259890584963E-2</v>
      </c>
      <c r="F46" s="1278">
        <f t="shared" si="2"/>
        <v>2.4202259890584967E-2</v>
      </c>
      <c r="G46" s="1278">
        <v>1.0500000000000001E-2</v>
      </c>
      <c r="H46" s="1278">
        <f t="shared" si="3"/>
        <v>5.8707194525516371E-2</v>
      </c>
      <c r="I46" s="1279">
        <f t="shared" si="4"/>
        <v>1.1507194525516372E-2</v>
      </c>
      <c r="J46" s="1080"/>
      <c r="K46" s="1080"/>
      <c r="L46" s="1080"/>
      <c r="M46" s="1080"/>
      <c r="N46" s="1080"/>
      <c r="O46" s="1080"/>
      <c r="P46" s="1080"/>
      <c r="Q46" s="1080"/>
      <c r="R46" s="1080"/>
      <c r="S46" s="1080"/>
      <c r="T46" s="1080"/>
      <c r="U46" s="1080"/>
      <c r="V46" s="1080"/>
      <c r="W46" s="1080"/>
      <c r="X46" s="1080"/>
      <c r="Y46" s="1080"/>
      <c r="Z46" s="1080"/>
      <c r="AA46" s="1080"/>
      <c r="AB46" s="1080"/>
      <c r="AC46" s="1080"/>
    </row>
    <row r="47" spans="1:29" ht="12" hidden="1" customHeight="1">
      <c r="A47" s="1275" t="s">
        <v>865</v>
      </c>
      <c r="B47" s="1276" t="s">
        <v>817</v>
      </c>
      <c r="C47" s="1277" t="s">
        <v>860</v>
      </c>
      <c r="D47" s="1278">
        <f t="shared" si="0"/>
        <v>7.9565818860604404E-2</v>
      </c>
      <c r="E47" s="1278">
        <f t="shared" si="1"/>
        <v>0.1343980338296166</v>
      </c>
      <c r="F47" s="1278">
        <f t="shared" si="2"/>
        <v>8.7198033829616592E-2</v>
      </c>
      <c r="G47" s="1278" t="s">
        <v>113</v>
      </c>
      <c r="H47" s="1278" t="str">
        <f t="shared" si="3"/>
        <v>NA</v>
      </c>
      <c r="I47" s="1279" t="str">
        <f t="shared" si="4"/>
        <v>NA</v>
      </c>
      <c r="J47" s="1080"/>
      <c r="K47" s="1080"/>
      <c r="L47" s="1080"/>
      <c r="M47" s="1080"/>
      <c r="N47" s="1080"/>
      <c r="O47" s="1080"/>
      <c r="P47" s="1080"/>
      <c r="Q47" s="1080"/>
      <c r="R47" s="1080"/>
      <c r="S47" s="1080"/>
      <c r="T47" s="1080"/>
      <c r="U47" s="1080"/>
      <c r="V47" s="1080"/>
      <c r="W47" s="1080"/>
      <c r="X47" s="1080"/>
      <c r="Y47" s="1080"/>
      <c r="Z47" s="1080"/>
      <c r="AA47" s="1080"/>
      <c r="AB47" s="1080"/>
      <c r="AC47" s="1080"/>
    </row>
    <row r="48" spans="1:29" ht="12" hidden="1" customHeight="1">
      <c r="A48" s="1275" t="s">
        <v>866</v>
      </c>
      <c r="B48" s="1276" t="s">
        <v>817</v>
      </c>
      <c r="C48" s="1277" t="s">
        <v>809</v>
      </c>
      <c r="D48" s="1278">
        <f t="shared" si="0"/>
        <v>1.0603460830120627E-2</v>
      </c>
      <c r="E48" s="1278">
        <f t="shared" si="1"/>
        <v>5.8820579658656322E-2</v>
      </c>
      <c r="F48" s="1278">
        <f t="shared" si="2"/>
        <v>1.1620579658656319E-2</v>
      </c>
      <c r="G48" s="1278" t="s">
        <v>113</v>
      </c>
      <c r="H48" s="1278" t="str">
        <f t="shared" si="3"/>
        <v>NA</v>
      </c>
      <c r="I48" s="1279" t="str">
        <f t="shared" si="4"/>
        <v>NA</v>
      </c>
      <c r="J48" s="1080"/>
      <c r="K48" s="1080"/>
      <c r="L48" s="1080"/>
      <c r="M48" s="1080"/>
      <c r="N48" s="1080"/>
      <c r="O48" s="1080"/>
      <c r="P48" s="1080"/>
      <c r="Q48" s="1080"/>
      <c r="R48" s="1080"/>
      <c r="S48" s="1080"/>
      <c r="T48" s="1080"/>
      <c r="U48" s="1080"/>
      <c r="V48" s="1080"/>
      <c r="W48" s="1080"/>
      <c r="X48" s="1080"/>
      <c r="Y48" s="1080"/>
      <c r="Z48" s="1080"/>
      <c r="AA48" s="1080"/>
      <c r="AB48" s="1080"/>
      <c r="AC48" s="1080"/>
    </row>
    <row r="49" spans="1:29" ht="12" hidden="1" customHeight="1">
      <c r="A49" s="1275" t="s">
        <v>867</v>
      </c>
      <c r="B49" s="1276" t="s">
        <v>805</v>
      </c>
      <c r="C49" s="1277" t="s">
        <v>825</v>
      </c>
      <c r="D49" s="1278">
        <f t="shared" si="0"/>
        <v>2.6548514710001261E-2</v>
      </c>
      <c r="E49" s="1278">
        <f t="shared" si="1"/>
        <v>7.629513553633499E-2</v>
      </c>
      <c r="F49" s="1278">
        <f t="shared" si="2"/>
        <v>2.9095135536334988E-2</v>
      </c>
      <c r="G49" s="1278">
        <v>9.6000000000000009E-3</v>
      </c>
      <c r="H49" s="1278">
        <f t="shared" si="3"/>
        <v>5.7720863566186401E-2</v>
      </c>
      <c r="I49" s="1279">
        <f t="shared" si="4"/>
        <v>1.0520863566186398E-2</v>
      </c>
      <c r="J49" s="1080"/>
      <c r="K49" s="1080"/>
      <c r="L49" s="1080"/>
      <c r="M49" s="1080"/>
      <c r="N49" s="1080"/>
      <c r="O49" s="1080"/>
      <c r="P49" s="1080"/>
      <c r="Q49" s="1080"/>
      <c r="R49" s="1080"/>
      <c r="S49" s="1080"/>
      <c r="T49" s="1080"/>
      <c r="U49" s="1080"/>
      <c r="V49" s="1080"/>
      <c r="W49" s="1080"/>
      <c r="X49" s="1080"/>
      <c r="Y49" s="1080"/>
      <c r="Z49" s="1080"/>
      <c r="AA49" s="1080"/>
      <c r="AB49" s="1080"/>
      <c r="AC49" s="1080"/>
    </row>
    <row r="50" spans="1:29" ht="12" hidden="1" customHeight="1">
      <c r="A50" s="1275" t="s">
        <v>868</v>
      </c>
      <c r="B50" s="1276" t="s">
        <v>801</v>
      </c>
      <c r="C50" s="1277" t="s">
        <v>819</v>
      </c>
      <c r="D50" s="1278">
        <f t="shared" si="0"/>
        <v>5.3415930497600151E-3</v>
      </c>
      <c r="E50" s="1278">
        <f t="shared" si="1"/>
        <v>5.3053976219022358E-2</v>
      </c>
      <c r="F50" s="1278">
        <f t="shared" si="2"/>
        <v>5.8539762190223561E-3</v>
      </c>
      <c r="G50" s="1278">
        <v>2.8000000000000004E-3</v>
      </c>
      <c r="H50" s="1278">
        <f t="shared" si="3"/>
        <v>5.0268585206804363E-2</v>
      </c>
      <c r="I50" s="1279">
        <f t="shared" si="4"/>
        <v>3.0685852068043661E-3</v>
      </c>
      <c r="J50" s="1080"/>
      <c r="K50" s="1080"/>
      <c r="L50" s="1080"/>
      <c r="M50" s="1080"/>
      <c r="N50" s="1080"/>
      <c r="O50" s="1080"/>
      <c r="P50" s="1080"/>
      <c r="Q50" s="1080"/>
      <c r="R50" s="1080"/>
      <c r="S50" s="1080"/>
      <c r="T50" s="1080"/>
      <c r="U50" s="1080"/>
      <c r="V50" s="1080"/>
      <c r="W50" s="1080"/>
      <c r="X50" s="1080"/>
      <c r="Y50" s="1080"/>
      <c r="Z50" s="1080"/>
      <c r="AA50" s="1080"/>
      <c r="AB50" s="1080"/>
      <c r="AC50" s="1080"/>
    </row>
    <row r="51" spans="1:29" ht="12" hidden="1" customHeight="1">
      <c r="A51" s="1275" t="s">
        <v>869</v>
      </c>
      <c r="B51" s="1276" t="s">
        <v>805</v>
      </c>
      <c r="C51" s="1277" t="s">
        <v>822</v>
      </c>
      <c r="D51" s="1278">
        <f t="shared" si="0"/>
        <v>0</v>
      </c>
      <c r="E51" s="1278">
        <f t="shared" si="1"/>
        <v>4.7199999999999999E-2</v>
      </c>
      <c r="F51" s="1278">
        <f t="shared" si="2"/>
        <v>0</v>
      </c>
      <c r="G51" s="1278">
        <v>0</v>
      </c>
      <c r="H51" s="1278">
        <f t="shared" si="3"/>
        <v>4.7199999999999999E-2</v>
      </c>
      <c r="I51" s="1279">
        <f t="shared" si="4"/>
        <v>0</v>
      </c>
      <c r="J51" s="1080"/>
      <c r="K51" s="1080"/>
      <c r="L51" s="1080"/>
      <c r="M51" s="1080"/>
      <c r="N51" s="1080"/>
      <c r="O51" s="1080"/>
      <c r="P51" s="1080"/>
      <c r="Q51" s="1080"/>
      <c r="R51" s="1080"/>
      <c r="S51" s="1080"/>
      <c r="T51" s="1080"/>
      <c r="U51" s="1080"/>
      <c r="V51" s="1080"/>
      <c r="W51" s="1080"/>
      <c r="X51" s="1080"/>
      <c r="Y51" s="1080"/>
      <c r="Z51" s="1080"/>
      <c r="AA51" s="1080"/>
      <c r="AB51" s="1080"/>
      <c r="AC51" s="1080"/>
    </row>
    <row r="52" spans="1:29" ht="12" hidden="1" customHeight="1">
      <c r="A52" s="1275" t="s">
        <v>870</v>
      </c>
      <c r="B52" s="1276" t="s">
        <v>817</v>
      </c>
      <c r="C52" s="1277" t="s">
        <v>815</v>
      </c>
      <c r="D52" s="1278">
        <f t="shared" si="0"/>
        <v>3.1810382490361881E-2</v>
      </c>
      <c r="E52" s="1278">
        <f t="shared" si="1"/>
        <v>8.2061738975968967E-2</v>
      </c>
      <c r="F52" s="1278">
        <f t="shared" si="2"/>
        <v>3.4861738975968962E-2</v>
      </c>
      <c r="G52" s="1278" t="s">
        <v>113</v>
      </c>
      <c r="H52" s="1278" t="str">
        <f t="shared" si="3"/>
        <v>NA</v>
      </c>
      <c r="I52" s="1279" t="str">
        <f t="shared" si="4"/>
        <v>NA</v>
      </c>
      <c r="J52" s="1080"/>
      <c r="K52" s="1080"/>
      <c r="L52" s="1080"/>
      <c r="M52" s="1080"/>
      <c r="N52" s="1080"/>
      <c r="O52" s="1080"/>
      <c r="P52" s="1080"/>
      <c r="Q52" s="1080"/>
      <c r="R52" s="1080"/>
      <c r="S52" s="1080"/>
      <c r="T52" s="1080"/>
      <c r="U52" s="1080"/>
      <c r="V52" s="1080"/>
      <c r="W52" s="1080"/>
      <c r="X52" s="1080"/>
      <c r="Y52" s="1080"/>
      <c r="Z52" s="1080"/>
      <c r="AA52" s="1080"/>
      <c r="AB52" s="1080"/>
      <c r="AC52" s="1080"/>
    </row>
    <row r="53" spans="1:29" ht="12" hidden="1" customHeight="1">
      <c r="A53" s="1275" t="s">
        <v>871</v>
      </c>
      <c r="B53" s="1276" t="s">
        <v>811</v>
      </c>
      <c r="C53" s="1277" t="s">
        <v>838</v>
      </c>
      <c r="D53" s="1278">
        <f t="shared" si="0"/>
        <v>8.8335598494538758E-2</v>
      </c>
      <c r="E53" s="1278">
        <f t="shared" si="1"/>
        <v>0.14400903956233987</v>
      </c>
      <c r="F53" s="1278">
        <f t="shared" si="2"/>
        <v>9.6809039562339869E-2</v>
      </c>
      <c r="G53" s="1278" t="s">
        <v>113</v>
      </c>
      <c r="H53" s="1278" t="str">
        <f t="shared" si="3"/>
        <v>NA</v>
      </c>
      <c r="I53" s="1279" t="str">
        <f t="shared" si="4"/>
        <v>NA</v>
      </c>
      <c r="J53" s="1080"/>
      <c r="K53" s="1080"/>
      <c r="L53" s="1080"/>
      <c r="M53" s="1080"/>
      <c r="N53" s="1080"/>
      <c r="O53" s="1080"/>
      <c r="P53" s="1080"/>
      <c r="Q53" s="1080"/>
      <c r="R53" s="1080"/>
      <c r="S53" s="1080"/>
      <c r="T53" s="1080"/>
      <c r="U53" s="1080"/>
      <c r="V53" s="1080"/>
      <c r="W53" s="1080"/>
      <c r="X53" s="1080"/>
      <c r="Y53" s="1080"/>
      <c r="Z53" s="1080"/>
      <c r="AA53" s="1080"/>
      <c r="AB53" s="1080"/>
      <c r="AC53" s="1080"/>
    </row>
    <row r="54" spans="1:29" ht="12" hidden="1" customHeight="1">
      <c r="A54" s="1275" t="s">
        <v>872</v>
      </c>
      <c r="B54" s="1276" t="s">
        <v>786</v>
      </c>
      <c r="C54" s="1277" t="s">
        <v>826</v>
      </c>
      <c r="D54" s="1278">
        <f t="shared" si="0"/>
        <v>4.8632414333635951E-2</v>
      </c>
      <c r="E54" s="1278">
        <f t="shared" si="1"/>
        <v>0.10049739542691996</v>
      </c>
      <c r="F54" s="1278">
        <f t="shared" si="2"/>
        <v>5.3297395426919955E-2</v>
      </c>
      <c r="G54" s="1278">
        <v>3.8500000000000006E-2</v>
      </c>
      <c r="H54" s="1278">
        <f t="shared" si="3"/>
        <v>8.9393046593560038E-2</v>
      </c>
      <c r="I54" s="1279">
        <f t="shared" si="4"/>
        <v>4.2193046593560032E-2</v>
      </c>
      <c r="J54" s="1080"/>
      <c r="K54" s="1080"/>
      <c r="L54" s="1080"/>
      <c r="M54" s="1080"/>
      <c r="N54" s="1080"/>
      <c r="O54" s="1080"/>
      <c r="P54" s="1080"/>
      <c r="Q54" s="1080"/>
      <c r="R54" s="1080"/>
      <c r="S54" s="1080"/>
      <c r="T54" s="1080"/>
      <c r="U54" s="1080"/>
      <c r="V54" s="1080"/>
      <c r="W54" s="1080"/>
      <c r="X54" s="1080"/>
      <c r="Y54" s="1080"/>
      <c r="Z54" s="1080"/>
      <c r="AA54" s="1080"/>
      <c r="AB54" s="1080"/>
      <c r="AC54" s="1080"/>
    </row>
    <row r="55" spans="1:29" ht="12" hidden="1" customHeight="1">
      <c r="A55" s="1275" t="s">
        <v>873</v>
      </c>
      <c r="B55" s="1276" t="s">
        <v>811</v>
      </c>
      <c r="C55" s="1277" t="s">
        <v>828</v>
      </c>
      <c r="D55" s="1278">
        <f t="shared" si="0"/>
        <v>5.74819192369697E-2</v>
      </c>
      <c r="E55" s="1278">
        <f t="shared" si="1"/>
        <v>0.1101957739390316</v>
      </c>
      <c r="F55" s="1278">
        <f t="shared" si="2"/>
        <v>6.2995773939031607E-2</v>
      </c>
      <c r="G55" s="1278">
        <v>7.5499999999999998E-2</v>
      </c>
      <c r="H55" s="1278">
        <f t="shared" si="3"/>
        <v>0.12994220825490344</v>
      </c>
      <c r="I55" s="1279">
        <f t="shared" si="4"/>
        <v>8.2742208254903429E-2</v>
      </c>
      <c r="J55" s="1080"/>
      <c r="K55" s="1080"/>
      <c r="L55" s="1080"/>
      <c r="M55" s="1080"/>
      <c r="N55" s="1080"/>
      <c r="O55" s="1080"/>
      <c r="P55" s="1080"/>
      <c r="Q55" s="1080"/>
      <c r="R55" s="1080"/>
      <c r="S55" s="1080"/>
      <c r="T55" s="1080"/>
      <c r="U55" s="1080"/>
      <c r="V55" s="1080"/>
      <c r="W55" s="1080"/>
      <c r="X55" s="1080"/>
      <c r="Y55" s="1080"/>
      <c r="Z55" s="1080"/>
      <c r="AA55" s="1080"/>
      <c r="AB55" s="1080"/>
      <c r="AC55" s="1080"/>
    </row>
    <row r="56" spans="1:29" ht="12" hidden="1" customHeight="1">
      <c r="A56" s="1275" t="s">
        <v>874</v>
      </c>
      <c r="B56" s="1276" t="s">
        <v>801</v>
      </c>
      <c r="C56" s="1277" t="s">
        <v>803</v>
      </c>
      <c r="D56" s="1278">
        <f t="shared" si="0"/>
        <v>6.2185710131534505E-3</v>
      </c>
      <c r="E56" s="1278">
        <f t="shared" si="1"/>
        <v>5.4015076792294683E-2</v>
      </c>
      <c r="F56" s="1278">
        <f t="shared" si="2"/>
        <v>6.8150767922946836E-3</v>
      </c>
      <c r="G56" s="1278">
        <v>4.7000000000000002E-3</v>
      </c>
      <c r="H56" s="1278">
        <f t="shared" si="3"/>
        <v>5.2350839454278757E-2</v>
      </c>
      <c r="I56" s="1279">
        <f t="shared" si="4"/>
        <v>5.1508394542787569E-3</v>
      </c>
      <c r="J56" s="1080"/>
      <c r="K56" s="1080"/>
      <c r="L56" s="1080"/>
      <c r="M56" s="1080"/>
      <c r="N56" s="1080"/>
      <c r="O56" s="1080"/>
      <c r="P56" s="1080"/>
      <c r="Q56" s="1080"/>
      <c r="R56" s="1080"/>
      <c r="S56" s="1080"/>
      <c r="T56" s="1080"/>
      <c r="U56" s="1080"/>
      <c r="V56" s="1080"/>
      <c r="W56" s="1080"/>
      <c r="X56" s="1080"/>
      <c r="Y56" s="1080"/>
      <c r="Z56" s="1080"/>
      <c r="AA56" s="1080"/>
      <c r="AB56" s="1080"/>
      <c r="AC56" s="1080"/>
    </row>
    <row r="57" spans="1:29" ht="12" hidden="1" customHeight="1">
      <c r="A57" s="1275" t="s">
        <v>875</v>
      </c>
      <c r="B57" s="1276" t="s">
        <v>786</v>
      </c>
      <c r="C57" s="1277" t="s">
        <v>826</v>
      </c>
      <c r="D57" s="1278">
        <f t="shared" si="0"/>
        <v>4.8632414333635951E-2</v>
      </c>
      <c r="E57" s="1278">
        <f t="shared" si="1"/>
        <v>0.10049739542691996</v>
      </c>
      <c r="F57" s="1278">
        <f t="shared" si="2"/>
        <v>5.3297395426919955E-2</v>
      </c>
      <c r="G57" s="1278" t="s">
        <v>113</v>
      </c>
      <c r="H57" s="1278" t="str">
        <f t="shared" si="3"/>
        <v>NA</v>
      </c>
      <c r="I57" s="1279" t="str">
        <f t="shared" si="4"/>
        <v>NA</v>
      </c>
      <c r="J57" s="1080"/>
      <c r="K57" s="1080"/>
      <c r="L57" s="1080"/>
      <c r="M57" s="1080"/>
      <c r="N57" s="1080"/>
      <c r="O57" s="1080"/>
      <c r="P57" s="1080"/>
      <c r="Q57" s="1080"/>
      <c r="R57" s="1080"/>
      <c r="S57" s="1080"/>
      <c r="T57" s="1080"/>
      <c r="U57" s="1080"/>
      <c r="V57" s="1080"/>
      <c r="W57" s="1080"/>
      <c r="X57" s="1080"/>
      <c r="Y57" s="1080"/>
      <c r="Z57" s="1080"/>
      <c r="AA57" s="1080"/>
      <c r="AB57" s="1080"/>
      <c r="AC57" s="1080"/>
    </row>
    <row r="58" spans="1:29" ht="12" hidden="1" customHeight="1">
      <c r="A58" s="1275" t="s">
        <v>876</v>
      </c>
      <c r="B58" s="1276" t="s">
        <v>832</v>
      </c>
      <c r="C58" s="1277" t="s">
        <v>815</v>
      </c>
      <c r="D58" s="1278">
        <f t="shared" si="0"/>
        <v>3.1810382490361881E-2</v>
      </c>
      <c r="E58" s="1278">
        <f t="shared" si="1"/>
        <v>8.2061738975968967E-2</v>
      </c>
      <c r="F58" s="1278">
        <f t="shared" si="2"/>
        <v>3.4861738975968962E-2</v>
      </c>
      <c r="G58" s="1278" t="s">
        <v>113</v>
      </c>
      <c r="H58" s="1278" t="str">
        <f t="shared" si="3"/>
        <v>NA</v>
      </c>
      <c r="I58" s="1279" t="str">
        <f t="shared" si="4"/>
        <v>NA</v>
      </c>
      <c r="J58" s="1080"/>
      <c r="K58" s="1080"/>
      <c r="L58" s="1080"/>
      <c r="M58" s="1080"/>
      <c r="N58" s="1080"/>
      <c r="O58" s="1080"/>
      <c r="P58" s="1080"/>
      <c r="Q58" s="1080"/>
      <c r="R58" s="1080"/>
      <c r="S58" s="1080"/>
      <c r="T58" s="1080"/>
      <c r="U58" s="1080"/>
      <c r="V58" s="1080"/>
      <c r="W58" s="1080"/>
      <c r="X58" s="1080"/>
      <c r="Y58" s="1080"/>
      <c r="Z58" s="1080"/>
      <c r="AA58" s="1080"/>
      <c r="AB58" s="1080"/>
      <c r="AC58" s="1080"/>
    </row>
    <row r="59" spans="1:29" ht="12" hidden="1" customHeight="1">
      <c r="A59" s="1275" t="s">
        <v>877</v>
      </c>
      <c r="B59" s="1276" t="s">
        <v>805</v>
      </c>
      <c r="C59" s="1277" t="s">
        <v>813</v>
      </c>
      <c r="D59" s="1278">
        <f t="shared" si="0"/>
        <v>3.5079118535737406E-3</v>
      </c>
      <c r="E59" s="1278">
        <f t="shared" si="1"/>
        <v>5.1044402293089305E-2</v>
      </c>
      <c r="F59" s="1278">
        <f t="shared" si="2"/>
        <v>3.8444022930893078E-3</v>
      </c>
      <c r="G59" s="1278">
        <v>2.0000000000000009E-4</v>
      </c>
      <c r="H59" s="1278">
        <f t="shared" si="3"/>
        <v>4.7419184657628885E-2</v>
      </c>
      <c r="I59" s="1279">
        <f t="shared" si="4"/>
        <v>2.1918465762888335E-4</v>
      </c>
      <c r="J59" s="1080"/>
      <c r="K59" s="1080"/>
      <c r="L59" s="1080"/>
      <c r="M59" s="1080"/>
      <c r="N59" s="1080"/>
      <c r="O59" s="1080"/>
      <c r="P59" s="1080"/>
      <c r="Q59" s="1080"/>
      <c r="R59" s="1080"/>
      <c r="S59" s="1080"/>
      <c r="T59" s="1080"/>
      <c r="U59" s="1080"/>
      <c r="V59" s="1080"/>
      <c r="W59" s="1080"/>
      <c r="X59" s="1080"/>
      <c r="Y59" s="1080"/>
      <c r="Z59" s="1080"/>
      <c r="AA59" s="1080"/>
      <c r="AB59" s="1080"/>
      <c r="AC59" s="1080"/>
    </row>
    <row r="60" spans="1:29" ht="12" hidden="1" customHeight="1">
      <c r="A60" s="1275" t="s">
        <v>878</v>
      </c>
      <c r="B60" s="1276" t="s">
        <v>805</v>
      </c>
      <c r="C60" s="1277" t="s">
        <v>797</v>
      </c>
      <c r="D60" s="1278">
        <f t="shared" si="0"/>
        <v>4.3848898169671765E-3</v>
      </c>
      <c r="E60" s="1278">
        <f t="shared" si="1"/>
        <v>5.2005502866361637E-2</v>
      </c>
      <c r="F60" s="1278">
        <f t="shared" si="2"/>
        <v>4.8055028663616358E-3</v>
      </c>
      <c r="G60" s="1278">
        <v>9.0000000000000019E-4</v>
      </c>
      <c r="H60" s="1278">
        <f t="shared" si="3"/>
        <v>4.8186330959329976E-2</v>
      </c>
      <c r="I60" s="1279">
        <f t="shared" si="4"/>
        <v>9.8633095932997494E-4</v>
      </c>
      <c r="J60" s="1080"/>
      <c r="K60" s="1080"/>
      <c r="L60" s="1080"/>
      <c r="M60" s="1080"/>
      <c r="N60" s="1080"/>
      <c r="O60" s="1080"/>
      <c r="P60" s="1080"/>
      <c r="Q60" s="1080"/>
      <c r="R60" s="1080"/>
      <c r="S60" s="1080"/>
      <c r="T60" s="1080"/>
      <c r="U60" s="1080"/>
      <c r="V60" s="1080"/>
      <c r="W60" s="1080"/>
      <c r="X60" s="1080"/>
      <c r="Y60" s="1080"/>
      <c r="Z60" s="1080"/>
      <c r="AA60" s="1080"/>
      <c r="AB60" s="1080"/>
      <c r="AC60" s="1080"/>
    </row>
    <row r="61" spans="1:29" ht="12" hidden="1" customHeight="1">
      <c r="A61" s="1275" t="s">
        <v>879</v>
      </c>
      <c r="B61" s="1276" t="s">
        <v>786</v>
      </c>
      <c r="C61" s="1277" t="s">
        <v>806</v>
      </c>
      <c r="D61" s="1278">
        <f t="shared" si="0"/>
        <v>6.6251698870904069E-2</v>
      </c>
      <c r="E61" s="1278">
        <f t="shared" si="1"/>
        <v>0.1198067796717549</v>
      </c>
      <c r="F61" s="1278">
        <f t="shared" si="2"/>
        <v>7.2606779671754898E-2</v>
      </c>
      <c r="G61" s="1278" t="s">
        <v>113</v>
      </c>
      <c r="H61" s="1278" t="str">
        <f t="shared" si="3"/>
        <v>NA</v>
      </c>
      <c r="I61" s="1279" t="str">
        <f t="shared" si="4"/>
        <v>NA</v>
      </c>
      <c r="J61" s="1080"/>
      <c r="K61" s="1080"/>
      <c r="L61" s="1080"/>
      <c r="M61" s="1080"/>
      <c r="N61" s="1080"/>
      <c r="O61" s="1080"/>
      <c r="P61" s="1080"/>
      <c r="Q61" s="1080"/>
      <c r="R61" s="1080"/>
      <c r="S61" s="1080"/>
      <c r="T61" s="1080"/>
      <c r="U61" s="1080"/>
      <c r="V61" s="1080"/>
      <c r="W61" s="1080"/>
      <c r="X61" s="1080"/>
      <c r="Y61" s="1080"/>
      <c r="Z61" s="1080"/>
      <c r="AA61" s="1080"/>
      <c r="AB61" s="1080"/>
      <c r="AC61" s="1080"/>
    </row>
    <row r="62" spans="1:29" ht="12" hidden="1" customHeight="1">
      <c r="A62" s="1275" t="s">
        <v>880</v>
      </c>
      <c r="B62" s="1276" t="s">
        <v>801</v>
      </c>
      <c r="C62" s="1277" t="s">
        <v>825</v>
      </c>
      <c r="D62" s="1278">
        <f t="shared" si="0"/>
        <v>2.6548514710001261E-2</v>
      </c>
      <c r="E62" s="1278">
        <f t="shared" si="1"/>
        <v>7.629513553633499E-2</v>
      </c>
      <c r="F62" s="1278">
        <f t="shared" si="2"/>
        <v>2.9095135536334988E-2</v>
      </c>
      <c r="G62" s="1278" t="s">
        <v>113</v>
      </c>
      <c r="H62" s="1278" t="str">
        <f t="shared" si="3"/>
        <v>NA</v>
      </c>
      <c r="I62" s="1279" t="str">
        <f t="shared" si="4"/>
        <v>NA</v>
      </c>
      <c r="J62" s="1080"/>
      <c r="K62" s="1080"/>
      <c r="L62" s="1080"/>
      <c r="M62" s="1080"/>
      <c r="N62" s="1080"/>
      <c r="O62" s="1080"/>
      <c r="P62" s="1080"/>
      <c r="Q62" s="1080"/>
      <c r="R62" s="1080"/>
      <c r="S62" s="1080"/>
      <c r="T62" s="1080"/>
      <c r="U62" s="1080"/>
      <c r="V62" s="1080"/>
      <c r="W62" s="1080"/>
      <c r="X62" s="1080"/>
      <c r="Y62" s="1080"/>
      <c r="Z62" s="1080"/>
      <c r="AA62" s="1080"/>
      <c r="AB62" s="1080"/>
      <c r="AC62" s="1080"/>
    </row>
    <row r="63" spans="1:29" ht="12" hidden="1" customHeight="1">
      <c r="A63" s="1275" t="s">
        <v>881</v>
      </c>
      <c r="B63" s="1276" t="s">
        <v>805</v>
      </c>
      <c r="C63" s="1277" t="s">
        <v>822</v>
      </c>
      <c r="D63" s="1278">
        <f t="shared" si="0"/>
        <v>0</v>
      </c>
      <c r="E63" s="1278">
        <f t="shared" si="1"/>
        <v>4.7199999999999999E-2</v>
      </c>
      <c r="F63" s="1278">
        <f t="shared" si="2"/>
        <v>0</v>
      </c>
      <c r="G63" s="1278">
        <v>0</v>
      </c>
      <c r="H63" s="1278">
        <f t="shared" si="3"/>
        <v>4.7199999999999999E-2</v>
      </c>
      <c r="I63" s="1279">
        <f t="shared" si="4"/>
        <v>0</v>
      </c>
      <c r="J63" s="1080"/>
      <c r="K63" s="1080"/>
      <c r="L63" s="1080"/>
      <c r="M63" s="1080"/>
      <c r="N63" s="1080"/>
      <c r="O63" s="1080"/>
      <c r="P63" s="1080"/>
      <c r="Q63" s="1080"/>
      <c r="R63" s="1080"/>
      <c r="S63" s="1080"/>
      <c r="T63" s="1080"/>
      <c r="U63" s="1080"/>
      <c r="V63" s="1080"/>
      <c r="W63" s="1080"/>
      <c r="X63" s="1080"/>
      <c r="Y63" s="1080"/>
      <c r="Z63" s="1080"/>
      <c r="AA63" s="1080"/>
      <c r="AB63" s="1080"/>
      <c r="AC63" s="1080"/>
    </row>
    <row r="64" spans="1:29" ht="12" hidden="1" customHeight="1">
      <c r="A64" s="1275" t="s">
        <v>882</v>
      </c>
      <c r="B64" s="1276" t="s">
        <v>786</v>
      </c>
      <c r="C64" s="1277" t="s">
        <v>828</v>
      </c>
      <c r="D64" s="1278">
        <f t="shared" si="0"/>
        <v>5.74819192369697E-2</v>
      </c>
      <c r="E64" s="1278">
        <f t="shared" si="1"/>
        <v>0.1101957739390316</v>
      </c>
      <c r="F64" s="1278">
        <f t="shared" si="2"/>
        <v>6.2995773939031607E-2</v>
      </c>
      <c r="G64" s="1278" t="s">
        <v>113</v>
      </c>
      <c r="H64" s="1278" t="str">
        <f t="shared" si="3"/>
        <v>NA</v>
      </c>
      <c r="I64" s="1279" t="str">
        <f t="shared" si="4"/>
        <v>NA</v>
      </c>
      <c r="J64" s="1080"/>
      <c r="K64" s="1080"/>
      <c r="L64" s="1080"/>
      <c r="M64" s="1080"/>
      <c r="N64" s="1080"/>
      <c r="O64" s="1080"/>
      <c r="P64" s="1080"/>
      <c r="Q64" s="1080"/>
      <c r="R64" s="1080"/>
      <c r="S64" s="1080"/>
      <c r="T64" s="1080"/>
      <c r="U64" s="1080"/>
      <c r="V64" s="1080"/>
      <c r="W64" s="1080"/>
      <c r="X64" s="1080"/>
      <c r="Y64" s="1080"/>
      <c r="Z64" s="1080"/>
      <c r="AA64" s="1080"/>
      <c r="AB64" s="1080"/>
      <c r="AC64" s="1080"/>
    </row>
    <row r="65" spans="1:29" ht="12" hidden="1" customHeight="1">
      <c r="A65" s="1275" t="s">
        <v>883</v>
      </c>
      <c r="B65" s="1276" t="s">
        <v>805</v>
      </c>
      <c r="C65" s="1277" t="s">
        <v>815</v>
      </c>
      <c r="D65" s="1278">
        <f t="shared" si="0"/>
        <v>3.1810382490361881E-2</v>
      </c>
      <c r="E65" s="1278">
        <f t="shared" si="1"/>
        <v>8.2061738975968967E-2</v>
      </c>
      <c r="F65" s="1278">
        <f t="shared" si="2"/>
        <v>3.4861738975968962E-2</v>
      </c>
      <c r="G65" s="1278">
        <v>1.38E-2</v>
      </c>
      <c r="H65" s="1278">
        <f t="shared" si="3"/>
        <v>6.2323741376392947E-2</v>
      </c>
      <c r="I65" s="1279">
        <f t="shared" si="4"/>
        <v>1.5123741376392944E-2</v>
      </c>
      <c r="J65" s="1080"/>
      <c r="K65" s="1080"/>
      <c r="L65" s="1080"/>
      <c r="M65" s="1080"/>
      <c r="N65" s="1080"/>
      <c r="O65" s="1080"/>
      <c r="P65" s="1080"/>
      <c r="Q65" s="1080"/>
      <c r="R65" s="1080"/>
      <c r="S65" s="1080"/>
      <c r="T65" s="1080"/>
      <c r="U65" s="1080"/>
      <c r="V65" s="1080"/>
      <c r="W65" s="1080"/>
      <c r="X65" s="1080"/>
      <c r="Y65" s="1080"/>
      <c r="Z65" s="1080"/>
      <c r="AA65" s="1080"/>
      <c r="AB65" s="1080"/>
      <c r="AC65" s="1080"/>
    </row>
    <row r="66" spans="1:29" ht="12" hidden="1" customHeight="1">
      <c r="A66" s="1275" t="s">
        <v>884</v>
      </c>
      <c r="B66" s="1276" t="s">
        <v>811</v>
      </c>
      <c r="C66" s="1277" t="s">
        <v>830</v>
      </c>
      <c r="D66" s="1278">
        <f t="shared" si="0"/>
        <v>2.208389962363469E-2</v>
      </c>
      <c r="E66" s="1278">
        <f t="shared" si="1"/>
        <v>7.1402259890584963E-2</v>
      </c>
      <c r="F66" s="1278">
        <f t="shared" si="2"/>
        <v>2.4202259890584967E-2</v>
      </c>
      <c r="G66" s="1278" t="s">
        <v>113</v>
      </c>
      <c r="H66" s="1278" t="str">
        <f t="shared" si="3"/>
        <v>NA</v>
      </c>
      <c r="I66" s="1279" t="str">
        <f t="shared" si="4"/>
        <v>NA</v>
      </c>
      <c r="J66" s="1080"/>
      <c r="K66" s="1080"/>
      <c r="L66" s="1080"/>
      <c r="M66" s="1080"/>
      <c r="N66" s="1080"/>
      <c r="O66" s="1080"/>
      <c r="P66" s="1080"/>
      <c r="Q66" s="1080"/>
      <c r="R66" s="1080"/>
      <c r="S66" s="1080"/>
      <c r="T66" s="1080"/>
      <c r="U66" s="1080"/>
      <c r="V66" s="1080"/>
      <c r="W66" s="1080"/>
      <c r="X66" s="1080"/>
      <c r="Y66" s="1080"/>
      <c r="Z66" s="1080"/>
      <c r="AA66" s="1080"/>
      <c r="AB66" s="1080"/>
      <c r="AC66" s="1080"/>
    </row>
    <row r="67" spans="1:29" ht="12" hidden="1" customHeight="1">
      <c r="A67" s="1275" t="s">
        <v>885</v>
      </c>
      <c r="B67" s="1276" t="s">
        <v>805</v>
      </c>
      <c r="C67" s="1277" t="s">
        <v>822</v>
      </c>
      <c r="D67" s="1278">
        <f t="shared" si="0"/>
        <v>0</v>
      </c>
      <c r="E67" s="1278">
        <f t="shared" si="1"/>
        <v>4.7199999999999999E-2</v>
      </c>
      <c r="F67" s="1278">
        <f t="shared" si="2"/>
        <v>0</v>
      </c>
      <c r="G67" s="1278" t="s">
        <v>113</v>
      </c>
      <c r="H67" s="1278" t="str">
        <f t="shared" si="3"/>
        <v>NA</v>
      </c>
      <c r="I67" s="1279" t="str">
        <f t="shared" si="4"/>
        <v>NA</v>
      </c>
      <c r="J67" s="1080"/>
      <c r="K67" s="1080"/>
      <c r="L67" s="1080"/>
      <c r="M67" s="1080"/>
      <c r="N67" s="1080"/>
      <c r="O67" s="1080"/>
      <c r="P67" s="1080"/>
      <c r="Q67" s="1080"/>
      <c r="R67" s="1080"/>
      <c r="S67" s="1080"/>
      <c r="T67" s="1080"/>
      <c r="U67" s="1080"/>
      <c r="V67" s="1080"/>
      <c r="W67" s="1080"/>
      <c r="X67" s="1080"/>
      <c r="Y67" s="1080"/>
      <c r="Z67" s="1080"/>
      <c r="AA67" s="1080"/>
      <c r="AB67" s="1080"/>
      <c r="AC67" s="1080"/>
    </row>
    <row r="68" spans="1:29" ht="12" hidden="1" customHeight="1">
      <c r="A68" s="1275" t="s">
        <v>886</v>
      </c>
      <c r="B68" s="1276" t="s">
        <v>811</v>
      </c>
      <c r="C68" s="1277" t="s">
        <v>802</v>
      </c>
      <c r="D68" s="1278">
        <f t="shared" si="0"/>
        <v>3.9782909430302202E-2</v>
      </c>
      <c r="E68" s="1278">
        <f t="shared" si="1"/>
        <v>9.0799016914808295E-2</v>
      </c>
      <c r="F68" s="1278">
        <f t="shared" si="2"/>
        <v>4.3599016914808296E-2</v>
      </c>
      <c r="G68" s="1278" t="s">
        <v>113</v>
      </c>
      <c r="H68" s="1278" t="str">
        <f t="shared" si="3"/>
        <v>NA</v>
      </c>
      <c r="I68" s="1279" t="str">
        <f t="shared" si="4"/>
        <v>NA</v>
      </c>
      <c r="J68" s="1080"/>
      <c r="K68" s="1080"/>
      <c r="L68" s="1080"/>
      <c r="M68" s="1080"/>
      <c r="N68" s="1080"/>
      <c r="O68" s="1080"/>
      <c r="P68" s="1080"/>
      <c r="Q68" s="1080"/>
      <c r="R68" s="1080"/>
      <c r="S68" s="1080"/>
      <c r="T68" s="1080"/>
      <c r="U68" s="1080"/>
      <c r="V68" s="1080"/>
      <c r="W68" s="1080"/>
      <c r="X68" s="1080"/>
      <c r="Y68" s="1080"/>
      <c r="Z68" s="1080"/>
      <c r="AA68" s="1080"/>
      <c r="AB68" s="1080"/>
      <c r="AC68" s="1080"/>
    </row>
    <row r="69" spans="1:29" ht="12" hidden="1" customHeight="1">
      <c r="A69" s="1275" t="s">
        <v>887</v>
      </c>
      <c r="B69" s="1276" t="s">
        <v>832</v>
      </c>
      <c r="C69" s="1277" t="s">
        <v>819</v>
      </c>
      <c r="D69" s="1278">
        <f t="shared" si="0"/>
        <v>5.3415930497600151E-3</v>
      </c>
      <c r="E69" s="1278">
        <f t="shared" si="1"/>
        <v>5.3053976219022358E-2</v>
      </c>
      <c r="F69" s="1278">
        <f t="shared" si="2"/>
        <v>5.8539762190223561E-3</v>
      </c>
      <c r="G69" s="1278">
        <v>5.0000000000000001E-3</v>
      </c>
      <c r="H69" s="1278">
        <f t="shared" si="3"/>
        <v>5.2679616440722082E-2</v>
      </c>
      <c r="I69" s="1279">
        <f t="shared" si="4"/>
        <v>5.4796164407220817E-3</v>
      </c>
      <c r="J69" s="1080"/>
      <c r="K69" s="1080"/>
      <c r="L69" s="1080"/>
      <c r="M69" s="1080"/>
      <c r="N69" s="1080"/>
      <c r="O69" s="1080"/>
      <c r="P69" s="1080"/>
      <c r="Q69" s="1080"/>
      <c r="R69" s="1080"/>
      <c r="S69" s="1080"/>
      <c r="T69" s="1080"/>
      <c r="U69" s="1080"/>
      <c r="V69" s="1080"/>
      <c r="W69" s="1080"/>
      <c r="X69" s="1080"/>
      <c r="Y69" s="1080"/>
      <c r="Z69" s="1080"/>
      <c r="AA69" s="1080"/>
      <c r="AB69" s="1080"/>
      <c r="AC69" s="1080"/>
    </row>
    <row r="70" spans="1:29" ht="12" hidden="1" customHeight="1">
      <c r="A70" s="1275" t="s">
        <v>888</v>
      </c>
      <c r="B70" s="1276" t="s">
        <v>801</v>
      </c>
      <c r="C70" s="1277" t="s">
        <v>839</v>
      </c>
      <c r="D70" s="1278">
        <f t="shared" si="0"/>
        <v>1.9452965733454383E-2</v>
      </c>
      <c r="E70" s="1278">
        <f t="shared" si="1"/>
        <v>6.8518958170767988E-2</v>
      </c>
      <c r="F70" s="1278">
        <f t="shared" si="2"/>
        <v>2.1318958170767986E-2</v>
      </c>
      <c r="G70" s="1278">
        <v>7.1000000000000004E-3</v>
      </c>
      <c r="H70" s="1278">
        <f t="shared" si="3"/>
        <v>5.4981055345825355E-2</v>
      </c>
      <c r="I70" s="1279">
        <f t="shared" si="4"/>
        <v>7.7810553458253565E-3</v>
      </c>
      <c r="J70" s="1080"/>
      <c r="K70" s="1080"/>
      <c r="L70" s="1080"/>
      <c r="M70" s="1080"/>
      <c r="N70" s="1080"/>
      <c r="O70" s="1080"/>
      <c r="P70" s="1080"/>
      <c r="Q70" s="1080"/>
      <c r="R70" s="1080"/>
      <c r="S70" s="1080"/>
      <c r="T70" s="1080"/>
      <c r="U70" s="1080"/>
      <c r="V70" s="1080"/>
      <c r="W70" s="1080"/>
      <c r="X70" s="1080"/>
      <c r="Y70" s="1080"/>
      <c r="Z70" s="1080"/>
      <c r="AA70" s="1080"/>
      <c r="AB70" s="1080"/>
      <c r="AC70" s="1080"/>
    </row>
    <row r="71" spans="1:29" ht="12" hidden="1" customHeight="1">
      <c r="A71" s="1275" t="s">
        <v>889</v>
      </c>
      <c r="B71" s="1276" t="s">
        <v>805</v>
      </c>
      <c r="C71" s="1277" t="s">
        <v>807</v>
      </c>
      <c r="D71" s="1278">
        <f t="shared" si="0"/>
        <v>7.4941753235439005E-3</v>
      </c>
      <c r="E71" s="1278">
        <f t="shared" si="1"/>
        <v>5.5413041262508976E-2</v>
      </c>
      <c r="F71" s="1278">
        <f t="shared" si="2"/>
        <v>8.2130412625089771E-3</v>
      </c>
      <c r="G71" s="1278">
        <v>6.2000000000000006E-3</v>
      </c>
      <c r="H71" s="1278">
        <f t="shared" si="3"/>
        <v>5.3994724386495378E-2</v>
      </c>
      <c r="I71" s="1279">
        <f t="shared" si="4"/>
        <v>6.794724386495382E-3</v>
      </c>
      <c r="J71" s="1080"/>
      <c r="K71" s="1080"/>
      <c r="L71" s="1080"/>
      <c r="M71" s="1080"/>
      <c r="N71" s="1080"/>
      <c r="O71" s="1080"/>
      <c r="P71" s="1080"/>
      <c r="Q71" s="1080"/>
      <c r="R71" s="1080"/>
      <c r="S71" s="1080"/>
      <c r="T71" s="1080"/>
      <c r="U71" s="1080"/>
      <c r="V71" s="1080"/>
      <c r="W71" s="1080"/>
      <c r="X71" s="1080"/>
      <c r="Y71" s="1080"/>
      <c r="Z71" s="1080"/>
      <c r="AA71" s="1080"/>
      <c r="AB71" s="1080"/>
      <c r="AC71" s="1080"/>
    </row>
    <row r="72" spans="1:29" ht="12" hidden="1" customHeight="1">
      <c r="A72" s="1275" t="s">
        <v>890</v>
      </c>
      <c r="B72" s="1276" t="s">
        <v>832</v>
      </c>
      <c r="C72" s="1277" t="s">
        <v>839</v>
      </c>
      <c r="D72" s="1278">
        <f t="shared" si="0"/>
        <v>1.9452965733454383E-2</v>
      </c>
      <c r="E72" s="1278">
        <f t="shared" si="1"/>
        <v>6.8518958170767988E-2</v>
      </c>
      <c r="F72" s="1278">
        <f t="shared" si="2"/>
        <v>2.1318958170767986E-2</v>
      </c>
      <c r="G72" s="1278">
        <v>1.01E-2</v>
      </c>
      <c r="H72" s="1278">
        <f t="shared" si="3"/>
        <v>5.8268825210258605E-2</v>
      </c>
      <c r="I72" s="1279">
        <f t="shared" si="4"/>
        <v>1.1068825210258605E-2</v>
      </c>
      <c r="J72" s="1080"/>
      <c r="K72" s="1080"/>
      <c r="L72" s="1080"/>
      <c r="M72" s="1080"/>
      <c r="N72" s="1080"/>
      <c r="O72" s="1080"/>
      <c r="P72" s="1080"/>
      <c r="Q72" s="1080"/>
      <c r="R72" s="1080"/>
      <c r="S72" s="1080"/>
      <c r="T72" s="1080"/>
      <c r="U72" s="1080"/>
      <c r="V72" s="1080"/>
      <c r="W72" s="1080"/>
      <c r="X72" s="1080"/>
      <c r="Y72" s="1080"/>
      <c r="Z72" s="1080"/>
      <c r="AA72" s="1080"/>
      <c r="AB72" s="1080"/>
      <c r="AC72" s="1080"/>
    </row>
    <row r="73" spans="1:29" ht="12" hidden="1" customHeight="1">
      <c r="A73" s="1275" t="s">
        <v>891</v>
      </c>
      <c r="B73" s="1276" t="s">
        <v>832</v>
      </c>
      <c r="C73" s="1277" t="s">
        <v>836</v>
      </c>
      <c r="D73" s="1278">
        <f t="shared" si="0"/>
        <v>1.6822031843274077E-2</v>
      </c>
      <c r="E73" s="1278">
        <f t="shared" si="1"/>
        <v>6.5635656450950999E-2</v>
      </c>
      <c r="F73" s="1278">
        <f t="shared" si="2"/>
        <v>1.8435656450951004E-2</v>
      </c>
      <c r="G73" s="1278">
        <v>1.0500000000000001E-2</v>
      </c>
      <c r="H73" s="1278">
        <f t="shared" si="3"/>
        <v>5.8707194525516371E-2</v>
      </c>
      <c r="I73" s="1279">
        <f t="shared" si="4"/>
        <v>1.1507194525516372E-2</v>
      </c>
      <c r="J73" s="1080"/>
      <c r="K73" s="1080"/>
      <c r="L73" s="1080"/>
      <c r="M73" s="1080"/>
      <c r="N73" s="1080"/>
      <c r="O73" s="1080"/>
      <c r="P73" s="1080"/>
      <c r="Q73" s="1080"/>
      <c r="R73" s="1080"/>
      <c r="S73" s="1080"/>
      <c r="T73" s="1080"/>
      <c r="U73" s="1080"/>
      <c r="V73" s="1080"/>
      <c r="W73" s="1080"/>
      <c r="X73" s="1080"/>
      <c r="Y73" s="1080"/>
      <c r="Z73" s="1080"/>
      <c r="AA73" s="1080"/>
      <c r="AB73" s="1080"/>
      <c r="AC73" s="1080"/>
    </row>
    <row r="74" spans="1:29" ht="12" hidden="1" customHeight="1">
      <c r="A74" s="1275" t="s">
        <v>892</v>
      </c>
      <c r="B74" s="1276" t="s">
        <v>796</v>
      </c>
      <c r="C74" s="1277" t="s">
        <v>806</v>
      </c>
      <c r="D74" s="1278">
        <f t="shared" si="0"/>
        <v>6.6251698870904069E-2</v>
      </c>
      <c r="E74" s="1278">
        <f t="shared" si="1"/>
        <v>0.1198067796717549</v>
      </c>
      <c r="F74" s="1278">
        <f t="shared" si="2"/>
        <v>7.2606779671754898E-2</v>
      </c>
      <c r="G74" s="1278">
        <v>6.7500000000000004E-2</v>
      </c>
      <c r="H74" s="1278">
        <f t="shared" si="3"/>
        <v>0.1211748219497481</v>
      </c>
      <c r="I74" s="1279">
        <f t="shared" si="4"/>
        <v>7.397482194974811E-2</v>
      </c>
      <c r="J74" s="1080"/>
      <c r="K74" s="1080"/>
      <c r="L74" s="1080"/>
      <c r="M74" s="1080"/>
      <c r="N74" s="1080"/>
      <c r="O74" s="1080"/>
      <c r="P74" s="1080"/>
      <c r="Q74" s="1080"/>
      <c r="R74" s="1080"/>
      <c r="S74" s="1080"/>
      <c r="T74" s="1080"/>
      <c r="U74" s="1080"/>
      <c r="V74" s="1080"/>
      <c r="W74" s="1080"/>
      <c r="X74" s="1080"/>
      <c r="Y74" s="1080"/>
      <c r="Z74" s="1080"/>
      <c r="AA74" s="1080"/>
      <c r="AB74" s="1080"/>
      <c r="AC74" s="1080"/>
    </row>
    <row r="75" spans="1:29" ht="12" hidden="1" customHeight="1">
      <c r="A75" s="1275" t="s">
        <v>893</v>
      </c>
      <c r="B75" s="1276" t="s">
        <v>805</v>
      </c>
      <c r="C75" s="1277" t="s">
        <v>807</v>
      </c>
      <c r="D75" s="1278">
        <f t="shared" si="0"/>
        <v>7.4941753235439005E-3</v>
      </c>
      <c r="E75" s="1278">
        <f t="shared" si="1"/>
        <v>5.5413041262508976E-2</v>
      </c>
      <c r="F75" s="1278">
        <f t="shared" si="2"/>
        <v>8.2130412625089771E-3</v>
      </c>
      <c r="G75" s="1278">
        <v>9.0000000000000019E-4</v>
      </c>
      <c r="H75" s="1278">
        <f t="shared" si="3"/>
        <v>4.8186330959329976E-2</v>
      </c>
      <c r="I75" s="1279">
        <f t="shared" si="4"/>
        <v>9.8633095932997494E-4</v>
      </c>
      <c r="J75" s="1080"/>
      <c r="K75" s="1080"/>
      <c r="L75" s="1080"/>
      <c r="M75" s="1080"/>
      <c r="N75" s="1080"/>
      <c r="O75" s="1080"/>
      <c r="P75" s="1080"/>
      <c r="Q75" s="1080"/>
      <c r="R75" s="1080"/>
      <c r="S75" s="1080"/>
      <c r="T75" s="1080"/>
      <c r="U75" s="1080"/>
      <c r="V75" s="1080"/>
      <c r="W75" s="1080"/>
      <c r="X75" s="1080"/>
      <c r="Y75" s="1080"/>
      <c r="Z75" s="1080"/>
      <c r="AA75" s="1080"/>
      <c r="AB75" s="1080"/>
      <c r="AC75" s="1080"/>
    </row>
    <row r="76" spans="1:29" ht="12" hidden="1" customHeight="1">
      <c r="A76" s="1275" t="s">
        <v>894</v>
      </c>
      <c r="B76" s="1276" t="s">
        <v>805</v>
      </c>
      <c r="C76" s="1277" t="s">
        <v>819</v>
      </c>
      <c r="D76" s="1278">
        <f t="shared" si="0"/>
        <v>5.3415930497600151E-3</v>
      </c>
      <c r="E76" s="1278">
        <f t="shared" si="1"/>
        <v>5.3053976219022358E-2</v>
      </c>
      <c r="F76" s="1278">
        <f t="shared" si="2"/>
        <v>5.8539762190223561E-3</v>
      </c>
      <c r="G76" s="1278" t="s">
        <v>113</v>
      </c>
      <c r="H76" s="1278" t="str">
        <f t="shared" si="3"/>
        <v>NA</v>
      </c>
      <c r="I76" s="1279" t="str">
        <f t="shared" si="4"/>
        <v>NA</v>
      </c>
      <c r="J76" s="1080"/>
      <c r="K76" s="1080"/>
      <c r="L76" s="1080"/>
      <c r="M76" s="1080"/>
      <c r="N76" s="1080"/>
      <c r="O76" s="1080"/>
      <c r="P76" s="1080"/>
      <c r="Q76" s="1080"/>
      <c r="R76" s="1080"/>
      <c r="S76" s="1080"/>
      <c r="T76" s="1080"/>
      <c r="U76" s="1080"/>
      <c r="V76" s="1080"/>
      <c r="W76" s="1080"/>
      <c r="X76" s="1080"/>
      <c r="Y76" s="1080"/>
      <c r="Z76" s="1080"/>
      <c r="AA76" s="1080"/>
      <c r="AB76" s="1080"/>
      <c r="AC76" s="1080"/>
    </row>
    <row r="77" spans="1:29" ht="12" hidden="1" customHeight="1">
      <c r="A77" s="1275" t="s">
        <v>895</v>
      </c>
      <c r="B77" s="1276" t="s">
        <v>796</v>
      </c>
      <c r="C77" s="1277" t="s">
        <v>803</v>
      </c>
      <c r="D77" s="1278">
        <f t="shared" si="0"/>
        <v>6.2185710131534505E-3</v>
      </c>
      <c r="E77" s="1278">
        <f t="shared" si="1"/>
        <v>5.4015076792294683E-2</v>
      </c>
      <c r="F77" s="1278">
        <f t="shared" si="2"/>
        <v>6.8150767922946836E-3</v>
      </c>
      <c r="G77" s="1278">
        <v>5.4000000000000003E-3</v>
      </c>
      <c r="H77" s="1278">
        <f t="shared" si="3"/>
        <v>5.3117985755979848E-2</v>
      </c>
      <c r="I77" s="1279">
        <f t="shared" si="4"/>
        <v>5.9179857559798488E-3</v>
      </c>
      <c r="J77" s="1080"/>
      <c r="K77" s="1080"/>
      <c r="L77" s="1080"/>
      <c r="M77" s="1080"/>
      <c r="N77" s="1080"/>
      <c r="O77" s="1080"/>
      <c r="P77" s="1080"/>
      <c r="Q77" s="1080"/>
      <c r="R77" s="1080"/>
      <c r="S77" s="1080"/>
      <c r="T77" s="1080"/>
      <c r="U77" s="1080"/>
      <c r="V77" s="1080"/>
      <c r="W77" s="1080"/>
      <c r="X77" s="1080"/>
      <c r="Y77" s="1080"/>
      <c r="Z77" s="1080"/>
      <c r="AA77" s="1080"/>
      <c r="AB77" s="1080"/>
      <c r="AC77" s="1080"/>
    </row>
    <row r="78" spans="1:29" ht="12" hidden="1" customHeight="1">
      <c r="A78" s="1275" t="s">
        <v>896</v>
      </c>
      <c r="B78" s="1276" t="s">
        <v>805</v>
      </c>
      <c r="C78" s="1277" t="s">
        <v>839</v>
      </c>
      <c r="D78" s="1278">
        <f t="shared" si="0"/>
        <v>1.9452965733454383E-2</v>
      </c>
      <c r="E78" s="1278">
        <f t="shared" si="1"/>
        <v>6.8518958170767988E-2</v>
      </c>
      <c r="F78" s="1278">
        <f t="shared" si="2"/>
        <v>2.1318958170767986E-2</v>
      </c>
      <c r="G78" s="1278">
        <v>1.2E-2</v>
      </c>
      <c r="H78" s="1278">
        <f t="shared" si="3"/>
        <v>6.0351079457732992E-2</v>
      </c>
      <c r="I78" s="1279">
        <f t="shared" si="4"/>
        <v>1.3151079457732995E-2</v>
      </c>
      <c r="J78" s="1080"/>
      <c r="K78" s="1080"/>
      <c r="L78" s="1080"/>
      <c r="M78" s="1080"/>
      <c r="N78" s="1080"/>
      <c r="O78" s="1080"/>
      <c r="P78" s="1080"/>
      <c r="Q78" s="1080"/>
      <c r="R78" s="1080"/>
      <c r="S78" s="1080"/>
      <c r="T78" s="1080"/>
      <c r="U78" s="1080"/>
      <c r="V78" s="1080"/>
      <c r="W78" s="1080"/>
      <c r="X78" s="1080"/>
      <c r="Y78" s="1080"/>
      <c r="Z78" s="1080"/>
      <c r="AA78" s="1080"/>
      <c r="AB78" s="1080"/>
      <c r="AC78" s="1080"/>
    </row>
    <row r="79" spans="1:29" ht="12" hidden="1" customHeight="1">
      <c r="A79" s="1275" t="s">
        <v>897</v>
      </c>
      <c r="B79" s="1276" t="s">
        <v>817</v>
      </c>
      <c r="C79" s="1277" t="s">
        <v>826</v>
      </c>
      <c r="D79" s="1278">
        <f t="shared" si="0"/>
        <v>4.8632414333635951E-2</v>
      </c>
      <c r="E79" s="1278">
        <f t="shared" si="1"/>
        <v>0.10049739542691996</v>
      </c>
      <c r="F79" s="1278">
        <f t="shared" si="2"/>
        <v>5.3297395426919955E-2</v>
      </c>
      <c r="G79" s="1278" t="s">
        <v>113</v>
      </c>
      <c r="H79" s="1278" t="str">
        <f t="shared" si="3"/>
        <v>NA</v>
      </c>
      <c r="I79" s="1279" t="str">
        <f t="shared" si="4"/>
        <v>NA</v>
      </c>
      <c r="J79" s="1080"/>
      <c r="K79" s="1080"/>
      <c r="L79" s="1080"/>
      <c r="M79" s="1080"/>
      <c r="N79" s="1080"/>
      <c r="O79" s="1080"/>
      <c r="P79" s="1080"/>
      <c r="Q79" s="1080"/>
      <c r="R79" s="1080"/>
      <c r="S79" s="1080"/>
      <c r="T79" s="1080"/>
      <c r="U79" s="1080"/>
      <c r="V79" s="1080"/>
      <c r="W79" s="1080"/>
      <c r="X79" s="1080"/>
      <c r="Y79" s="1080"/>
      <c r="Z79" s="1080"/>
      <c r="AA79" s="1080"/>
      <c r="AB79" s="1080"/>
      <c r="AC79" s="1080"/>
    </row>
    <row r="80" spans="1:29" ht="12" hidden="1" customHeight="1">
      <c r="A80" s="1275" t="s">
        <v>898</v>
      </c>
      <c r="B80" s="1276" t="s">
        <v>832</v>
      </c>
      <c r="C80" s="1277" t="s">
        <v>803</v>
      </c>
      <c r="D80" s="1278">
        <f t="shared" si="0"/>
        <v>6.2185710131534505E-3</v>
      </c>
      <c r="E80" s="1278">
        <f t="shared" si="1"/>
        <v>5.4015076792294683E-2</v>
      </c>
      <c r="F80" s="1278">
        <f t="shared" si="2"/>
        <v>6.8150767922946836E-3</v>
      </c>
      <c r="G80" s="1278">
        <v>5.0000000000000001E-4</v>
      </c>
      <c r="H80" s="1278">
        <f t="shared" si="3"/>
        <v>4.7747961644072204E-2</v>
      </c>
      <c r="I80" s="1279">
        <f t="shared" si="4"/>
        <v>5.4796164407220813E-4</v>
      </c>
      <c r="J80" s="1080"/>
      <c r="K80" s="1080"/>
      <c r="L80" s="1080"/>
      <c r="M80" s="1080"/>
      <c r="N80" s="1080"/>
      <c r="O80" s="1080"/>
      <c r="P80" s="1080"/>
      <c r="Q80" s="1080"/>
      <c r="R80" s="1080"/>
      <c r="S80" s="1080"/>
      <c r="T80" s="1080"/>
      <c r="U80" s="1080"/>
      <c r="V80" s="1080"/>
      <c r="W80" s="1080"/>
      <c r="X80" s="1080"/>
      <c r="Y80" s="1080"/>
      <c r="Z80" s="1080"/>
      <c r="AA80" s="1080"/>
      <c r="AB80" s="1080"/>
      <c r="AC80" s="1080"/>
    </row>
    <row r="81" spans="1:29" ht="12" hidden="1" customHeight="1">
      <c r="A81" s="1275" t="s">
        <v>899</v>
      </c>
      <c r="B81" s="1276" t="s">
        <v>805</v>
      </c>
      <c r="C81" s="1277" t="s">
        <v>822</v>
      </c>
      <c r="D81" s="1278">
        <f t="shared" si="0"/>
        <v>0</v>
      </c>
      <c r="E81" s="1278">
        <f t="shared" si="1"/>
        <v>4.7199999999999999E-2</v>
      </c>
      <c r="F81" s="1278">
        <f t="shared" si="2"/>
        <v>0</v>
      </c>
      <c r="G81" s="1278" t="s">
        <v>113</v>
      </c>
      <c r="H81" s="1278" t="str">
        <f t="shared" si="3"/>
        <v>NA</v>
      </c>
      <c r="I81" s="1279" t="str">
        <f t="shared" si="4"/>
        <v>NA</v>
      </c>
      <c r="J81" s="1080"/>
      <c r="K81" s="1080"/>
      <c r="L81" s="1080"/>
      <c r="M81" s="1080"/>
      <c r="N81" s="1080"/>
      <c r="O81" s="1080"/>
      <c r="P81" s="1080"/>
      <c r="Q81" s="1080"/>
      <c r="R81" s="1080"/>
      <c r="S81" s="1080"/>
      <c r="T81" s="1080"/>
      <c r="U81" s="1080"/>
      <c r="V81" s="1080"/>
      <c r="W81" s="1080"/>
      <c r="X81" s="1080"/>
      <c r="Y81" s="1080"/>
      <c r="Z81" s="1080"/>
      <c r="AA81" s="1080"/>
      <c r="AB81" s="1080"/>
      <c r="AC81" s="1080"/>
    </row>
    <row r="82" spans="1:29" ht="12" hidden="1" customHeight="1">
      <c r="A82" s="1275" t="s">
        <v>900</v>
      </c>
      <c r="B82" s="1276" t="s">
        <v>796</v>
      </c>
      <c r="C82" s="1277" t="s">
        <v>802</v>
      </c>
      <c r="D82" s="1278">
        <f t="shared" si="0"/>
        <v>3.9782909430302202E-2</v>
      </c>
      <c r="E82" s="1278">
        <f t="shared" si="1"/>
        <v>9.0799016914808295E-2</v>
      </c>
      <c r="F82" s="1278">
        <f t="shared" si="2"/>
        <v>4.3599016914808296E-2</v>
      </c>
      <c r="G82" s="1278" t="s">
        <v>113</v>
      </c>
      <c r="H82" s="1278" t="str">
        <f t="shared" si="3"/>
        <v>NA</v>
      </c>
      <c r="I82" s="1279" t="str">
        <f t="shared" si="4"/>
        <v>NA</v>
      </c>
      <c r="J82" s="1080"/>
      <c r="K82" s="1080"/>
      <c r="L82" s="1080"/>
      <c r="M82" s="1080"/>
      <c r="N82" s="1080"/>
      <c r="O82" s="1080"/>
      <c r="P82" s="1080"/>
      <c r="Q82" s="1080"/>
      <c r="R82" s="1080"/>
      <c r="S82" s="1080"/>
      <c r="T82" s="1080"/>
      <c r="U82" s="1080"/>
      <c r="V82" s="1080"/>
      <c r="W82" s="1080"/>
      <c r="X82" s="1080"/>
      <c r="Y82" s="1080"/>
      <c r="Z82" s="1080"/>
      <c r="AA82" s="1080"/>
      <c r="AB82" s="1080"/>
      <c r="AC82" s="1080"/>
    </row>
    <row r="83" spans="1:29" ht="12" hidden="1" customHeight="1">
      <c r="A83" s="1275" t="s">
        <v>901</v>
      </c>
      <c r="B83" s="1276" t="s">
        <v>801</v>
      </c>
      <c r="C83" s="1277" t="s">
        <v>839</v>
      </c>
      <c r="D83" s="1278">
        <f t="shared" si="0"/>
        <v>1.9452965733454383E-2</v>
      </c>
      <c r="E83" s="1278">
        <f t="shared" si="1"/>
        <v>6.8518958170767988E-2</v>
      </c>
      <c r="F83" s="1278">
        <f t="shared" si="2"/>
        <v>2.1318958170767986E-2</v>
      </c>
      <c r="G83" s="1278">
        <v>7.2999999999999992E-3</v>
      </c>
      <c r="H83" s="1278">
        <f t="shared" si="3"/>
        <v>5.5200240003454235E-2</v>
      </c>
      <c r="I83" s="1279">
        <f t="shared" si="4"/>
        <v>8.0002400034542374E-3</v>
      </c>
      <c r="J83" s="1080"/>
      <c r="K83" s="1080"/>
      <c r="L83" s="1080"/>
      <c r="M83" s="1080"/>
      <c r="N83" s="1080"/>
      <c r="O83" s="1080"/>
      <c r="P83" s="1080"/>
      <c r="Q83" s="1080"/>
      <c r="R83" s="1080"/>
      <c r="S83" s="1080"/>
      <c r="T83" s="1080"/>
      <c r="U83" s="1080"/>
      <c r="V83" s="1080"/>
      <c r="W83" s="1080"/>
      <c r="X83" s="1080"/>
      <c r="Y83" s="1080"/>
      <c r="Z83" s="1080"/>
      <c r="AA83" s="1080"/>
      <c r="AB83" s="1080"/>
      <c r="AC83" s="1080"/>
    </row>
    <row r="84" spans="1:29" ht="12" hidden="1" customHeight="1">
      <c r="A84" s="1275" t="s">
        <v>902</v>
      </c>
      <c r="B84" s="1276" t="s">
        <v>786</v>
      </c>
      <c r="C84" s="1277" t="s">
        <v>826</v>
      </c>
      <c r="D84" s="1278">
        <f t="shared" si="0"/>
        <v>4.8632414333635951E-2</v>
      </c>
      <c r="E84" s="1278">
        <f t="shared" si="1"/>
        <v>0.10049739542691996</v>
      </c>
      <c r="F84" s="1278">
        <f t="shared" si="2"/>
        <v>5.3297395426919955E-2</v>
      </c>
      <c r="G84" s="1278">
        <v>3.8300000000000001E-2</v>
      </c>
      <c r="H84" s="1278">
        <f t="shared" si="3"/>
        <v>8.9173861935931145E-2</v>
      </c>
      <c r="I84" s="1279">
        <f t="shared" si="4"/>
        <v>4.1973861935931146E-2</v>
      </c>
      <c r="J84" s="1080"/>
      <c r="K84" s="1080"/>
      <c r="L84" s="1080"/>
      <c r="M84" s="1080"/>
      <c r="N84" s="1080"/>
      <c r="O84" s="1080"/>
      <c r="P84" s="1080"/>
      <c r="Q84" s="1080"/>
      <c r="R84" s="1080"/>
      <c r="S84" s="1080"/>
      <c r="T84" s="1080"/>
      <c r="U84" s="1080"/>
      <c r="V84" s="1080"/>
      <c r="W84" s="1080"/>
      <c r="X84" s="1080"/>
      <c r="Y84" s="1080"/>
      <c r="Z84" s="1080"/>
      <c r="AA84" s="1080"/>
      <c r="AB84" s="1080"/>
      <c r="AC84" s="1080"/>
    </row>
    <row r="85" spans="1:29" ht="12" hidden="1" customHeight="1">
      <c r="A85" s="1275" t="s">
        <v>903</v>
      </c>
      <c r="B85" s="1276" t="s">
        <v>832</v>
      </c>
      <c r="C85" s="1277" t="s">
        <v>797</v>
      </c>
      <c r="D85" s="1278">
        <f t="shared" si="0"/>
        <v>4.3848898169671765E-3</v>
      </c>
      <c r="E85" s="1278">
        <f t="shared" si="1"/>
        <v>5.2005502866361637E-2</v>
      </c>
      <c r="F85" s="1278">
        <f t="shared" si="2"/>
        <v>4.8055028663616358E-3</v>
      </c>
      <c r="G85" s="1278">
        <v>1.8999999999999998E-3</v>
      </c>
      <c r="H85" s="1278">
        <f t="shared" si="3"/>
        <v>4.9282254247474393E-2</v>
      </c>
      <c r="I85" s="1279">
        <f t="shared" si="4"/>
        <v>2.0822542474743908E-3</v>
      </c>
      <c r="J85" s="1080"/>
      <c r="K85" s="1080"/>
      <c r="L85" s="1080"/>
      <c r="M85" s="1080"/>
      <c r="N85" s="1080"/>
      <c r="O85" s="1080"/>
      <c r="P85" s="1080"/>
      <c r="Q85" s="1080"/>
      <c r="R85" s="1080"/>
      <c r="S85" s="1080"/>
      <c r="T85" s="1080"/>
      <c r="U85" s="1080"/>
      <c r="V85" s="1080"/>
      <c r="W85" s="1080"/>
      <c r="X85" s="1080"/>
      <c r="Y85" s="1080"/>
      <c r="Z85" s="1080"/>
      <c r="AA85" s="1080"/>
      <c r="AB85" s="1080"/>
      <c r="AC85" s="1080"/>
    </row>
    <row r="86" spans="1:29" ht="12" hidden="1" customHeight="1">
      <c r="A86" s="1275" t="s">
        <v>904</v>
      </c>
      <c r="B86" s="1276" t="s">
        <v>796</v>
      </c>
      <c r="C86" s="1277" t="s">
        <v>803</v>
      </c>
      <c r="D86" s="1278">
        <f t="shared" si="0"/>
        <v>6.2185710131534505E-3</v>
      </c>
      <c r="E86" s="1278">
        <f t="shared" si="1"/>
        <v>5.4015076792294683E-2</v>
      </c>
      <c r="F86" s="1278">
        <f t="shared" si="2"/>
        <v>6.8150767922946836E-3</v>
      </c>
      <c r="G86" s="1278">
        <v>5.1999999999999998E-3</v>
      </c>
      <c r="H86" s="1278">
        <f t="shared" si="3"/>
        <v>5.2898801098350962E-2</v>
      </c>
      <c r="I86" s="1279">
        <f t="shared" si="4"/>
        <v>5.6988010983509644E-3</v>
      </c>
      <c r="J86" s="1080"/>
      <c r="K86" s="1080"/>
      <c r="L86" s="1080"/>
      <c r="M86" s="1080"/>
      <c r="N86" s="1080"/>
      <c r="O86" s="1080"/>
      <c r="P86" s="1080"/>
      <c r="Q86" s="1080"/>
      <c r="R86" s="1080"/>
      <c r="S86" s="1080"/>
      <c r="T86" s="1080"/>
      <c r="U86" s="1080"/>
      <c r="V86" s="1080"/>
      <c r="W86" s="1080"/>
      <c r="X86" s="1080"/>
      <c r="Y86" s="1080"/>
      <c r="Z86" s="1080"/>
      <c r="AA86" s="1080"/>
      <c r="AB86" s="1080"/>
      <c r="AC86" s="1080"/>
    </row>
    <row r="87" spans="1:29" ht="12" hidden="1" customHeight="1">
      <c r="A87" s="1275" t="s">
        <v>905</v>
      </c>
      <c r="B87" s="1276" t="s">
        <v>801</v>
      </c>
      <c r="C87" s="1277" t="s">
        <v>826</v>
      </c>
      <c r="D87" s="1278">
        <f t="shared" si="0"/>
        <v>4.8632414333635951E-2</v>
      </c>
      <c r="E87" s="1278">
        <f t="shared" si="1"/>
        <v>0.10049739542691996</v>
      </c>
      <c r="F87" s="1278">
        <f t="shared" si="2"/>
        <v>5.3297395426919955E-2</v>
      </c>
      <c r="G87" s="1278" t="s">
        <v>113</v>
      </c>
      <c r="H87" s="1278" t="str">
        <f t="shared" si="3"/>
        <v>NA</v>
      </c>
      <c r="I87" s="1279" t="str">
        <f t="shared" si="4"/>
        <v>NA</v>
      </c>
      <c r="J87" s="1080"/>
      <c r="K87" s="1080"/>
      <c r="L87" s="1080"/>
      <c r="M87" s="1080"/>
      <c r="N87" s="1080"/>
      <c r="O87" s="1080"/>
      <c r="P87" s="1080"/>
      <c r="Q87" s="1080"/>
      <c r="R87" s="1080"/>
      <c r="S87" s="1080"/>
      <c r="T87" s="1080"/>
      <c r="U87" s="1080"/>
      <c r="V87" s="1080"/>
      <c r="W87" s="1080"/>
      <c r="X87" s="1080"/>
      <c r="Y87" s="1080"/>
      <c r="Z87" s="1080"/>
      <c r="AA87" s="1080"/>
      <c r="AB87" s="1080"/>
      <c r="AC87" s="1080"/>
    </row>
    <row r="88" spans="1:29" ht="12" hidden="1" customHeight="1">
      <c r="A88" s="1275" t="s">
        <v>906</v>
      </c>
      <c r="B88" s="1276" t="s">
        <v>832</v>
      </c>
      <c r="C88" s="1277" t="s">
        <v>860</v>
      </c>
      <c r="D88" s="1278">
        <f t="shared" si="0"/>
        <v>7.9565818860604404E-2</v>
      </c>
      <c r="E88" s="1278">
        <f t="shared" si="1"/>
        <v>0.1343980338296166</v>
      </c>
      <c r="F88" s="1278">
        <f t="shared" si="2"/>
        <v>8.7198033829616592E-2</v>
      </c>
      <c r="G88" s="1278" t="s">
        <v>113</v>
      </c>
      <c r="H88" s="1278" t="str">
        <f t="shared" si="3"/>
        <v>NA</v>
      </c>
      <c r="I88" s="1279" t="str">
        <f t="shared" si="4"/>
        <v>NA</v>
      </c>
      <c r="J88" s="1080"/>
      <c r="K88" s="1080"/>
      <c r="L88" s="1080"/>
      <c r="M88" s="1080"/>
      <c r="N88" s="1080"/>
      <c r="O88" s="1080"/>
      <c r="P88" s="1080"/>
      <c r="Q88" s="1080"/>
      <c r="R88" s="1080"/>
      <c r="S88" s="1080"/>
      <c r="T88" s="1080"/>
      <c r="U88" s="1080"/>
      <c r="V88" s="1080"/>
      <c r="W88" s="1080"/>
      <c r="X88" s="1080"/>
      <c r="Y88" s="1080"/>
      <c r="Z88" s="1080"/>
      <c r="AA88" s="1080"/>
      <c r="AB88" s="1080"/>
      <c r="AC88" s="1080"/>
    </row>
    <row r="89" spans="1:29" ht="12" hidden="1" customHeight="1">
      <c r="A89" s="1275" t="s">
        <v>907</v>
      </c>
      <c r="B89" s="1276" t="s">
        <v>801</v>
      </c>
      <c r="C89" s="1277" t="s">
        <v>809</v>
      </c>
      <c r="D89" s="1278">
        <f t="shared" si="0"/>
        <v>1.0603460830120627E-2</v>
      </c>
      <c r="E89" s="1278">
        <f t="shared" si="1"/>
        <v>5.8820579658656322E-2</v>
      </c>
      <c r="F89" s="1278">
        <f t="shared" si="2"/>
        <v>1.1620579658656319E-2</v>
      </c>
      <c r="G89" s="1278">
        <v>6.9999999999999993E-3</v>
      </c>
      <c r="H89" s="1278">
        <f t="shared" si="3"/>
        <v>5.4871463017010916E-2</v>
      </c>
      <c r="I89" s="1279">
        <f t="shared" si="4"/>
        <v>7.6714630170109134E-3</v>
      </c>
      <c r="J89" s="1080"/>
      <c r="K89" s="1080"/>
      <c r="L89" s="1080"/>
      <c r="M89" s="1080"/>
      <c r="N89" s="1080"/>
      <c r="O89" s="1080"/>
      <c r="P89" s="1080"/>
      <c r="Q89" s="1080"/>
      <c r="R89" s="1080"/>
      <c r="S89" s="1080"/>
      <c r="T89" s="1080"/>
      <c r="U89" s="1080"/>
      <c r="V89" s="1080"/>
      <c r="W89" s="1080"/>
      <c r="X89" s="1080"/>
      <c r="Y89" s="1080"/>
      <c r="Z89" s="1080"/>
      <c r="AA89" s="1080"/>
      <c r="AB89" s="1080"/>
      <c r="AC89" s="1080"/>
    </row>
    <row r="90" spans="1:29" ht="12" hidden="1" customHeight="1">
      <c r="A90" s="1275" t="s">
        <v>908</v>
      </c>
      <c r="B90" s="1276" t="s">
        <v>796</v>
      </c>
      <c r="C90" s="1277" t="s">
        <v>38</v>
      </c>
      <c r="D90" s="1278">
        <f t="shared" si="0"/>
        <v>0.17499999999999999</v>
      </c>
      <c r="E90" s="1278">
        <f t="shared" si="1"/>
        <v>0.23898657542527282</v>
      </c>
      <c r="F90" s="1278">
        <f t="shared" si="2"/>
        <v>0.19178657542527283</v>
      </c>
      <c r="G90" s="1278" t="s">
        <v>113</v>
      </c>
      <c r="H90" s="1278" t="str">
        <f t="shared" si="3"/>
        <v>NA</v>
      </c>
      <c r="I90" s="1279" t="str">
        <f t="shared" si="4"/>
        <v>NA</v>
      </c>
      <c r="J90" s="1080"/>
      <c r="K90" s="1080"/>
      <c r="L90" s="1080"/>
      <c r="M90" s="1080"/>
      <c r="N90" s="1080"/>
      <c r="O90" s="1080"/>
      <c r="P90" s="1080"/>
      <c r="Q90" s="1080"/>
      <c r="R90" s="1080"/>
      <c r="S90" s="1080"/>
      <c r="T90" s="1080"/>
      <c r="U90" s="1080"/>
      <c r="V90" s="1080"/>
      <c r="W90" s="1080"/>
      <c r="X90" s="1080"/>
      <c r="Y90" s="1080"/>
      <c r="Z90" s="1080"/>
      <c r="AA90" s="1080"/>
      <c r="AB90" s="1080"/>
      <c r="AC90" s="1080"/>
    </row>
    <row r="91" spans="1:29" ht="12" hidden="1" customHeight="1">
      <c r="A91" s="1275" t="s">
        <v>909</v>
      </c>
      <c r="B91" s="1276" t="s">
        <v>805</v>
      </c>
      <c r="C91" s="1277" t="s">
        <v>822</v>
      </c>
      <c r="D91" s="1278">
        <f t="shared" si="0"/>
        <v>0</v>
      </c>
      <c r="E91" s="1278">
        <f t="shared" si="1"/>
        <v>4.7199999999999999E-2</v>
      </c>
      <c r="F91" s="1278">
        <f t="shared" si="2"/>
        <v>0</v>
      </c>
      <c r="G91" s="1278" t="s">
        <v>113</v>
      </c>
      <c r="H91" s="1278" t="str">
        <f t="shared" si="3"/>
        <v>NA</v>
      </c>
      <c r="I91" s="1279" t="str">
        <f t="shared" si="4"/>
        <v>NA</v>
      </c>
      <c r="J91" s="1080"/>
      <c r="K91" s="1080"/>
      <c r="L91" s="1080"/>
      <c r="M91" s="1080"/>
      <c r="N91" s="1080"/>
      <c r="O91" s="1080"/>
      <c r="P91" s="1080"/>
      <c r="Q91" s="1080"/>
      <c r="R91" s="1080"/>
      <c r="S91" s="1080"/>
      <c r="T91" s="1080"/>
      <c r="U91" s="1080"/>
      <c r="V91" s="1080"/>
      <c r="W91" s="1080"/>
      <c r="X91" s="1080"/>
      <c r="Y91" s="1080"/>
      <c r="Z91" s="1080"/>
      <c r="AA91" s="1080"/>
      <c r="AB91" s="1080"/>
      <c r="AC91" s="1080"/>
    </row>
    <row r="92" spans="1:29" ht="12" hidden="1" customHeight="1">
      <c r="A92" s="1275" t="s">
        <v>910</v>
      </c>
      <c r="B92" s="1276" t="s">
        <v>801</v>
      </c>
      <c r="C92" s="1277" t="s">
        <v>809</v>
      </c>
      <c r="D92" s="1278">
        <f t="shared" si="0"/>
        <v>1.0603460830120627E-2</v>
      </c>
      <c r="E92" s="1278">
        <f t="shared" si="1"/>
        <v>5.8820579658656322E-2</v>
      </c>
      <c r="F92" s="1278">
        <f t="shared" si="2"/>
        <v>1.1620579658656319E-2</v>
      </c>
      <c r="G92" s="1278">
        <v>6.6999999999999994E-3</v>
      </c>
      <c r="H92" s="1278">
        <f t="shared" si="3"/>
        <v>5.454268603056759E-2</v>
      </c>
      <c r="I92" s="1279">
        <f t="shared" si="4"/>
        <v>7.3426860305675886E-3</v>
      </c>
      <c r="J92" s="1080"/>
      <c r="K92" s="1080"/>
      <c r="L92" s="1080"/>
      <c r="M92" s="1080"/>
      <c r="N92" s="1080"/>
      <c r="O92" s="1080"/>
      <c r="P92" s="1080"/>
      <c r="Q92" s="1080"/>
      <c r="R92" s="1080"/>
      <c r="S92" s="1080"/>
      <c r="T92" s="1080"/>
      <c r="U92" s="1080"/>
      <c r="V92" s="1080"/>
      <c r="W92" s="1080"/>
      <c r="X92" s="1080"/>
      <c r="Y92" s="1080"/>
      <c r="Z92" s="1080"/>
      <c r="AA92" s="1080"/>
      <c r="AB92" s="1080"/>
      <c r="AC92" s="1080"/>
    </row>
    <row r="93" spans="1:29" ht="12" hidden="1" customHeight="1">
      <c r="A93" s="1275" t="s">
        <v>911</v>
      </c>
      <c r="B93" s="1276" t="s">
        <v>805</v>
      </c>
      <c r="C93" s="1277" t="s">
        <v>822</v>
      </c>
      <c r="D93" s="1278">
        <f t="shared" si="0"/>
        <v>0</v>
      </c>
      <c r="E93" s="1278">
        <f t="shared" si="1"/>
        <v>4.7199999999999999E-2</v>
      </c>
      <c r="F93" s="1278">
        <f t="shared" si="2"/>
        <v>0</v>
      </c>
      <c r="G93" s="1278" t="s">
        <v>113</v>
      </c>
      <c r="H93" s="1278" t="str">
        <f t="shared" si="3"/>
        <v>NA</v>
      </c>
      <c r="I93" s="1279" t="str">
        <f t="shared" si="4"/>
        <v>NA</v>
      </c>
      <c r="J93" s="1080"/>
      <c r="K93" s="1080"/>
      <c r="L93" s="1080"/>
      <c r="M93" s="1080"/>
      <c r="N93" s="1080"/>
      <c r="O93" s="1080"/>
      <c r="P93" s="1080"/>
      <c r="Q93" s="1080"/>
      <c r="R93" s="1080"/>
      <c r="S93" s="1080"/>
      <c r="T93" s="1080"/>
      <c r="U93" s="1080"/>
      <c r="V93" s="1080"/>
      <c r="W93" s="1080"/>
      <c r="X93" s="1080"/>
      <c r="Y93" s="1080"/>
      <c r="Z93" s="1080"/>
      <c r="AA93" s="1080"/>
      <c r="AB93" s="1080"/>
      <c r="AC93" s="1080"/>
    </row>
    <row r="94" spans="1:29" ht="12" hidden="1" customHeight="1">
      <c r="A94" s="1275" t="s">
        <v>912</v>
      </c>
      <c r="B94" s="1276" t="s">
        <v>832</v>
      </c>
      <c r="C94" s="1277" t="s">
        <v>819</v>
      </c>
      <c r="D94" s="1278">
        <f t="shared" si="0"/>
        <v>5.3415930497600151E-3</v>
      </c>
      <c r="E94" s="1278">
        <f t="shared" si="1"/>
        <v>5.3053976219022358E-2</v>
      </c>
      <c r="F94" s="1278">
        <f t="shared" si="2"/>
        <v>5.8539762190223561E-3</v>
      </c>
      <c r="G94" s="1278" t="s">
        <v>113</v>
      </c>
      <c r="H94" s="1278" t="str">
        <f t="shared" si="3"/>
        <v>NA</v>
      </c>
      <c r="I94" s="1279" t="str">
        <f t="shared" si="4"/>
        <v>NA</v>
      </c>
      <c r="J94" s="1080"/>
      <c r="K94" s="1080"/>
      <c r="L94" s="1080"/>
      <c r="M94" s="1080"/>
      <c r="N94" s="1080"/>
      <c r="O94" s="1080"/>
      <c r="P94" s="1080"/>
      <c r="Q94" s="1080"/>
      <c r="R94" s="1080"/>
      <c r="S94" s="1080"/>
      <c r="T94" s="1080"/>
      <c r="U94" s="1080"/>
      <c r="V94" s="1080"/>
      <c r="W94" s="1080"/>
      <c r="X94" s="1080"/>
      <c r="Y94" s="1080"/>
      <c r="Z94" s="1080"/>
      <c r="AA94" s="1080"/>
      <c r="AB94" s="1080"/>
      <c r="AC94" s="1080"/>
    </row>
    <row r="95" spans="1:29" ht="12" hidden="1" customHeight="1">
      <c r="A95" s="1275" t="s">
        <v>913</v>
      </c>
      <c r="B95" s="1276" t="s">
        <v>801</v>
      </c>
      <c r="C95" s="1277" t="s">
        <v>815</v>
      </c>
      <c r="D95" s="1278">
        <f t="shared" si="0"/>
        <v>3.1810382490361881E-2</v>
      </c>
      <c r="E95" s="1278">
        <f t="shared" si="1"/>
        <v>8.2061738975968967E-2</v>
      </c>
      <c r="F95" s="1278">
        <f t="shared" si="2"/>
        <v>3.4861738975968962E-2</v>
      </c>
      <c r="G95" s="1278" t="s">
        <v>113</v>
      </c>
      <c r="H95" s="1278" t="str">
        <f t="shared" si="3"/>
        <v>NA</v>
      </c>
      <c r="I95" s="1279" t="str">
        <f t="shared" si="4"/>
        <v>NA</v>
      </c>
      <c r="J95" s="1080"/>
      <c r="K95" s="1080"/>
      <c r="L95" s="1080"/>
      <c r="M95" s="1080"/>
      <c r="N95" s="1080"/>
      <c r="O95" s="1080"/>
      <c r="P95" s="1080"/>
      <c r="Q95" s="1080"/>
      <c r="R95" s="1080"/>
      <c r="S95" s="1080"/>
      <c r="T95" s="1080"/>
      <c r="U95" s="1080"/>
      <c r="V95" s="1080"/>
      <c r="W95" s="1080"/>
      <c r="X95" s="1080"/>
      <c r="Y95" s="1080"/>
      <c r="Z95" s="1080"/>
      <c r="AA95" s="1080"/>
      <c r="AB95" s="1080"/>
      <c r="AC95" s="1080"/>
    </row>
    <row r="96" spans="1:29" ht="12" hidden="1" customHeight="1">
      <c r="A96" s="1275" t="s">
        <v>914</v>
      </c>
      <c r="B96" s="1276" t="s">
        <v>832</v>
      </c>
      <c r="C96" s="1277" t="s">
        <v>809</v>
      </c>
      <c r="D96" s="1278">
        <f t="shared" si="0"/>
        <v>1.0603460830120627E-2</v>
      </c>
      <c r="E96" s="1278">
        <f t="shared" si="1"/>
        <v>5.8820579658656322E-2</v>
      </c>
      <c r="F96" s="1278">
        <f t="shared" si="2"/>
        <v>1.1620579658656319E-2</v>
      </c>
      <c r="G96" s="1278">
        <v>4.7000000000000002E-3</v>
      </c>
      <c r="H96" s="1278">
        <f t="shared" si="3"/>
        <v>5.2350839454278757E-2</v>
      </c>
      <c r="I96" s="1279">
        <f t="shared" si="4"/>
        <v>5.1508394542787569E-3</v>
      </c>
      <c r="J96" s="1080"/>
      <c r="K96" s="1080"/>
      <c r="L96" s="1080"/>
      <c r="M96" s="1080"/>
      <c r="N96" s="1080"/>
      <c r="O96" s="1080"/>
      <c r="P96" s="1080"/>
      <c r="Q96" s="1080"/>
      <c r="R96" s="1080"/>
      <c r="S96" s="1080"/>
      <c r="T96" s="1080"/>
      <c r="U96" s="1080"/>
      <c r="V96" s="1080"/>
      <c r="W96" s="1080"/>
      <c r="X96" s="1080"/>
      <c r="Y96" s="1080"/>
      <c r="Z96" s="1080"/>
      <c r="AA96" s="1080"/>
      <c r="AB96" s="1080"/>
      <c r="AC96" s="1080"/>
    </row>
    <row r="97" spans="1:29" ht="12" hidden="1" customHeight="1">
      <c r="A97" s="1275" t="s">
        <v>915</v>
      </c>
      <c r="B97" s="1276" t="s">
        <v>832</v>
      </c>
      <c r="C97" s="1277" t="s">
        <v>828</v>
      </c>
      <c r="D97" s="1278">
        <f t="shared" si="0"/>
        <v>5.74819192369697E-2</v>
      </c>
      <c r="E97" s="1278">
        <f t="shared" si="1"/>
        <v>0.1101957739390316</v>
      </c>
      <c r="F97" s="1278">
        <f t="shared" si="2"/>
        <v>6.2995773939031607E-2</v>
      </c>
      <c r="G97" s="1278" t="s">
        <v>113</v>
      </c>
      <c r="H97" s="1278" t="str">
        <f t="shared" si="3"/>
        <v>NA</v>
      </c>
      <c r="I97" s="1279" t="str">
        <f t="shared" si="4"/>
        <v>NA</v>
      </c>
      <c r="J97" s="1080"/>
      <c r="K97" s="1080"/>
      <c r="L97" s="1080"/>
      <c r="M97" s="1080"/>
      <c r="N97" s="1080"/>
      <c r="O97" s="1080"/>
      <c r="P97" s="1080"/>
      <c r="Q97" s="1080"/>
      <c r="R97" s="1080"/>
      <c r="S97" s="1080"/>
      <c r="T97" s="1080"/>
      <c r="U97" s="1080"/>
      <c r="V97" s="1080"/>
      <c r="W97" s="1080"/>
      <c r="X97" s="1080"/>
      <c r="Y97" s="1080"/>
      <c r="Z97" s="1080"/>
      <c r="AA97" s="1080"/>
      <c r="AB97" s="1080"/>
      <c r="AC97" s="1080"/>
    </row>
    <row r="98" spans="1:29" ht="12" hidden="1" customHeight="1">
      <c r="A98" s="1275" t="s">
        <v>916</v>
      </c>
      <c r="B98" s="1276" t="s">
        <v>786</v>
      </c>
      <c r="C98" s="1277" t="s">
        <v>806</v>
      </c>
      <c r="D98" s="1278">
        <f t="shared" si="0"/>
        <v>6.6251698870904069E-2</v>
      </c>
      <c r="E98" s="1278">
        <f t="shared" si="1"/>
        <v>0.1198067796717549</v>
      </c>
      <c r="F98" s="1278">
        <f t="shared" si="2"/>
        <v>7.2606779671754898E-2</v>
      </c>
      <c r="G98" s="1278" t="s">
        <v>113</v>
      </c>
      <c r="H98" s="1278" t="str">
        <f t="shared" si="3"/>
        <v>NA</v>
      </c>
      <c r="I98" s="1279" t="str">
        <f t="shared" si="4"/>
        <v>NA</v>
      </c>
      <c r="J98" s="1080"/>
      <c r="K98" s="1080"/>
      <c r="L98" s="1080"/>
      <c r="M98" s="1080"/>
      <c r="N98" s="1080"/>
      <c r="O98" s="1080"/>
      <c r="P98" s="1080"/>
      <c r="Q98" s="1080"/>
      <c r="R98" s="1080"/>
      <c r="S98" s="1080"/>
      <c r="T98" s="1080"/>
      <c r="U98" s="1080"/>
      <c r="V98" s="1080"/>
      <c r="W98" s="1080"/>
      <c r="X98" s="1080"/>
      <c r="Y98" s="1080"/>
      <c r="Z98" s="1080"/>
      <c r="AA98" s="1080"/>
      <c r="AB98" s="1080"/>
      <c r="AC98" s="1080"/>
    </row>
    <row r="99" spans="1:29" ht="12" hidden="1" customHeight="1">
      <c r="A99" s="1275" t="s">
        <v>917</v>
      </c>
      <c r="B99" s="1276" t="s">
        <v>805</v>
      </c>
      <c r="C99" s="1277" t="s">
        <v>807</v>
      </c>
      <c r="D99" s="1278">
        <f t="shared" si="0"/>
        <v>7.4941753235439005E-3</v>
      </c>
      <c r="E99" s="1278">
        <f t="shared" si="1"/>
        <v>5.5413041262508976E-2</v>
      </c>
      <c r="F99" s="1278">
        <f t="shared" si="2"/>
        <v>8.2130412625089771E-3</v>
      </c>
      <c r="G99" s="1278" t="s">
        <v>113</v>
      </c>
      <c r="H99" s="1278" t="str">
        <f t="shared" si="3"/>
        <v>NA</v>
      </c>
      <c r="I99" s="1279" t="str">
        <f t="shared" si="4"/>
        <v>NA</v>
      </c>
      <c r="J99" s="1080"/>
      <c r="K99" s="1080"/>
      <c r="L99" s="1080"/>
      <c r="M99" s="1080"/>
      <c r="N99" s="1080"/>
      <c r="O99" s="1080"/>
      <c r="P99" s="1080"/>
      <c r="Q99" s="1080"/>
      <c r="R99" s="1080"/>
      <c r="S99" s="1080"/>
      <c r="T99" s="1080"/>
      <c r="U99" s="1080"/>
      <c r="V99" s="1080"/>
      <c r="W99" s="1080"/>
      <c r="X99" s="1080"/>
      <c r="Y99" s="1080"/>
      <c r="Z99" s="1080"/>
      <c r="AA99" s="1080"/>
      <c r="AB99" s="1080"/>
      <c r="AC99" s="1080"/>
    </row>
    <row r="100" spans="1:29" ht="12" hidden="1" customHeight="1">
      <c r="A100" s="1275" t="s">
        <v>918</v>
      </c>
      <c r="B100" s="1276" t="s">
        <v>786</v>
      </c>
      <c r="C100" s="1277" t="s">
        <v>818</v>
      </c>
      <c r="D100" s="1278">
        <f t="shared" si="0"/>
        <v>1.4111372683694367E-2</v>
      </c>
      <c r="E100" s="1278">
        <f t="shared" si="1"/>
        <v>6.2664981951745621E-2</v>
      </c>
      <c r="F100" s="1278">
        <f t="shared" si="2"/>
        <v>1.5464981951745628E-2</v>
      </c>
      <c r="G100" s="1278" t="s">
        <v>113</v>
      </c>
      <c r="H100" s="1278" t="str">
        <f t="shared" si="3"/>
        <v>NA</v>
      </c>
      <c r="I100" s="1279" t="str">
        <f t="shared" si="4"/>
        <v>NA</v>
      </c>
      <c r="J100" s="1080"/>
      <c r="K100" s="1080"/>
      <c r="L100" s="1080"/>
      <c r="M100" s="1080"/>
      <c r="N100" s="1080"/>
      <c r="O100" s="1080"/>
      <c r="P100" s="1080"/>
      <c r="Q100" s="1080"/>
      <c r="R100" s="1080"/>
      <c r="S100" s="1080"/>
      <c r="T100" s="1080"/>
      <c r="U100" s="1080"/>
      <c r="V100" s="1080"/>
      <c r="W100" s="1080"/>
      <c r="X100" s="1080"/>
      <c r="Y100" s="1080"/>
      <c r="Z100" s="1080"/>
      <c r="AA100" s="1080"/>
      <c r="AB100" s="1080"/>
      <c r="AC100" s="1080"/>
    </row>
    <row r="101" spans="1:29" ht="12" customHeight="1">
      <c r="A101" s="1275" t="s">
        <v>919</v>
      </c>
      <c r="B101" s="1276" t="s">
        <v>811</v>
      </c>
      <c r="C101" s="1277" t="s">
        <v>818</v>
      </c>
      <c r="D101" s="1278">
        <f t="shared" si="0"/>
        <v>1.4111372683694367E-2</v>
      </c>
      <c r="E101" s="1278">
        <f t="shared" si="1"/>
        <v>6.2664981951745621E-2</v>
      </c>
      <c r="F101" s="1278">
        <f t="shared" si="2"/>
        <v>1.5464981951745628E-2</v>
      </c>
      <c r="G101" s="1278">
        <v>1.2200000000000001E-2</v>
      </c>
      <c r="H101" s="1278">
        <f t="shared" si="3"/>
        <v>6.0570264115361878E-2</v>
      </c>
      <c r="I101" s="1279">
        <f t="shared" si="4"/>
        <v>1.337026411536188E-2</v>
      </c>
      <c r="J101" s="1080"/>
      <c r="K101" s="1080"/>
      <c r="L101" s="1080"/>
      <c r="M101" s="1080"/>
      <c r="N101" s="1080"/>
      <c r="O101" s="1080"/>
      <c r="P101" s="1080"/>
      <c r="Q101" s="1080"/>
      <c r="R101" s="1080"/>
      <c r="S101" s="1080"/>
      <c r="T101" s="1080"/>
      <c r="U101" s="1080"/>
      <c r="V101" s="1080"/>
      <c r="W101" s="1080"/>
      <c r="X101" s="1080"/>
      <c r="Y101" s="1080"/>
      <c r="Z101" s="1080"/>
      <c r="AA101" s="1080"/>
      <c r="AB101" s="1080"/>
      <c r="AC101" s="1080"/>
    </row>
    <row r="102" spans="1:29" ht="12" hidden="1" customHeight="1">
      <c r="A102" s="1275" t="s">
        <v>920</v>
      </c>
      <c r="B102" s="1276" t="s">
        <v>801</v>
      </c>
      <c r="C102" s="1277" t="s">
        <v>828</v>
      </c>
      <c r="D102" s="1278">
        <f t="shared" si="0"/>
        <v>5.74819192369697E-2</v>
      </c>
      <c r="E102" s="1278">
        <f t="shared" si="1"/>
        <v>0.1101957739390316</v>
      </c>
      <c r="F102" s="1278">
        <f t="shared" si="2"/>
        <v>6.2995773939031607E-2</v>
      </c>
      <c r="G102" s="1278" t="s">
        <v>113</v>
      </c>
      <c r="H102" s="1278" t="str">
        <f t="shared" si="3"/>
        <v>NA</v>
      </c>
      <c r="I102" s="1279" t="str">
        <f t="shared" si="4"/>
        <v>NA</v>
      </c>
      <c r="J102" s="1080"/>
      <c r="K102" s="1080"/>
      <c r="L102" s="1080"/>
      <c r="M102" s="1080"/>
      <c r="N102" s="1080"/>
      <c r="O102" s="1080"/>
      <c r="P102" s="1080"/>
      <c r="Q102" s="1080"/>
      <c r="R102" s="1080"/>
      <c r="S102" s="1080"/>
      <c r="T102" s="1080"/>
      <c r="U102" s="1080"/>
      <c r="V102" s="1080"/>
      <c r="W102" s="1080"/>
      <c r="X102" s="1080"/>
      <c r="Y102" s="1080"/>
      <c r="Z102" s="1080"/>
      <c r="AA102" s="1080"/>
      <c r="AB102" s="1080"/>
      <c r="AC102" s="1080"/>
    </row>
    <row r="103" spans="1:29" ht="12" hidden="1" customHeight="1">
      <c r="A103" s="1275" t="s">
        <v>921</v>
      </c>
      <c r="B103" s="1276" t="s">
        <v>832</v>
      </c>
      <c r="C103" s="1277" t="s">
        <v>828</v>
      </c>
      <c r="D103" s="1278">
        <f t="shared" si="0"/>
        <v>5.74819192369697E-2</v>
      </c>
      <c r="E103" s="1278">
        <f t="shared" si="1"/>
        <v>0.1101957739390316</v>
      </c>
      <c r="F103" s="1278">
        <f t="shared" si="2"/>
        <v>6.2995773939031607E-2</v>
      </c>
      <c r="G103" s="1278" t="s">
        <v>113</v>
      </c>
      <c r="H103" s="1278" t="str">
        <f t="shared" si="3"/>
        <v>NA</v>
      </c>
      <c r="I103" s="1279" t="str">
        <f t="shared" si="4"/>
        <v>NA</v>
      </c>
      <c r="J103" s="1080"/>
      <c r="K103" s="1080"/>
      <c r="L103" s="1080"/>
      <c r="M103" s="1080"/>
      <c r="N103" s="1080"/>
      <c r="O103" s="1080"/>
      <c r="P103" s="1080"/>
      <c r="Q103" s="1080"/>
      <c r="R103" s="1080"/>
      <c r="S103" s="1080"/>
      <c r="T103" s="1080"/>
      <c r="U103" s="1080"/>
      <c r="V103" s="1080"/>
      <c r="W103" s="1080"/>
      <c r="X103" s="1080"/>
      <c r="Y103" s="1080"/>
      <c r="Z103" s="1080"/>
      <c r="AA103" s="1080"/>
      <c r="AB103" s="1080"/>
      <c r="AC103" s="1080"/>
    </row>
    <row r="104" spans="1:29" ht="12" hidden="1" customHeight="1">
      <c r="A104" s="1275" t="s">
        <v>922</v>
      </c>
      <c r="B104" s="1276" t="s">
        <v>801</v>
      </c>
      <c r="C104" s="1277" t="s">
        <v>802</v>
      </c>
      <c r="D104" s="1278">
        <f t="shared" si="0"/>
        <v>3.9782909430302202E-2</v>
      </c>
      <c r="E104" s="1278">
        <f t="shared" si="1"/>
        <v>9.0799016914808295E-2</v>
      </c>
      <c r="F104" s="1278">
        <f t="shared" si="2"/>
        <v>4.3599016914808296E-2</v>
      </c>
      <c r="G104" s="1278" t="s">
        <v>113</v>
      </c>
      <c r="H104" s="1278" t="str">
        <f t="shared" si="3"/>
        <v>NA</v>
      </c>
      <c r="I104" s="1279" t="str">
        <f t="shared" si="4"/>
        <v>NA</v>
      </c>
      <c r="J104" s="1080"/>
      <c r="K104" s="1080"/>
      <c r="L104" s="1080"/>
      <c r="M104" s="1080"/>
      <c r="N104" s="1080"/>
      <c r="O104" s="1080"/>
      <c r="P104" s="1080"/>
      <c r="Q104" s="1080"/>
      <c r="R104" s="1080"/>
      <c r="S104" s="1080"/>
      <c r="T104" s="1080"/>
      <c r="U104" s="1080"/>
      <c r="V104" s="1080"/>
      <c r="W104" s="1080"/>
      <c r="X104" s="1080"/>
      <c r="Y104" s="1080"/>
      <c r="Z104" s="1080"/>
      <c r="AA104" s="1080"/>
      <c r="AB104" s="1080"/>
      <c r="AC104" s="1080"/>
    </row>
    <row r="105" spans="1:29" ht="12" hidden="1" customHeight="1">
      <c r="A105" s="1275" t="s">
        <v>923</v>
      </c>
      <c r="B105" s="1276" t="s">
        <v>817</v>
      </c>
      <c r="C105" s="1277" t="s">
        <v>839</v>
      </c>
      <c r="D105" s="1278">
        <f t="shared" si="0"/>
        <v>1.9452965733454383E-2</v>
      </c>
      <c r="E105" s="1278">
        <f t="shared" si="1"/>
        <v>6.8518958170767988E-2</v>
      </c>
      <c r="F105" s="1278">
        <f t="shared" si="2"/>
        <v>2.1318958170767986E-2</v>
      </c>
      <c r="G105" s="1278" t="s">
        <v>113</v>
      </c>
      <c r="H105" s="1278" t="str">
        <f t="shared" si="3"/>
        <v>NA</v>
      </c>
      <c r="I105" s="1279" t="str">
        <f t="shared" si="4"/>
        <v>NA</v>
      </c>
      <c r="J105" s="1080"/>
      <c r="K105" s="1080"/>
      <c r="L105" s="1080"/>
      <c r="M105" s="1080"/>
      <c r="N105" s="1080"/>
      <c r="O105" s="1080"/>
      <c r="P105" s="1080"/>
      <c r="Q105" s="1080"/>
      <c r="R105" s="1080"/>
      <c r="S105" s="1080"/>
      <c r="T105" s="1080"/>
      <c r="U105" s="1080"/>
      <c r="V105" s="1080"/>
      <c r="W105" s="1080"/>
      <c r="X105" s="1080"/>
      <c r="Y105" s="1080"/>
      <c r="Z105" s="1080"/>
      <c r="AA105" s="1080"/>
      <c r="AB105" s="1080"/>
      <c r="AC105" s="1080"/>
    </row>
    <row r="106" spans="1:29" ht="12" hidden="1" customHeight="1">
      <c r="A106" s="1275" t="s">
        <v>924</v>
      </c>
      <c r="B106" s="1276" t="s">
        <v>786</v>
      </c>
      <c r="C106" s="1277" t="s">
        <v>830</v>
      </c>
      <c r="D106" s="1278">
        <f t="shared" si="0"/>
        <v>2.208389962363469E-2</v>
      </c>
      <c r="E106" s="1278">
        <f t="shared" si="1"/>
        <v>7.1402259890584963E-2</v>
      </c>
      <c r="F106" s="1278">
        <f t="shared" si="2"/>
        <v>2.4202259890584967E-2</v>
      </c>
      <c r="G106" s="1278">
        <v>1.3299999999999999E-2</v>
      </c>
      <c r="H106" s="1278">
        <f t="shared" si="3"/>
        <v>6.1775779732320735E-2</v>
      </c>
      <c r="I106" s="1279">
        <f t="shared" si="4"/>
        <v>1.4575779732320736E-2</v>
      </c>
      <c r="J106" s="1080"/>
      <c r="K106" s="1080"/>
      <c r="L106" s="1080"/>
      <c r="M106" s="1080"/>
      <c r="N106" s="1080"/>
      <c r="O106" s="1080"/>
      <c r="P106" s="1080"/>
      <c r="Q106" s="1080"/>
      <c r="R106" s="1080"/>
      <c r="S106" s="1080"/>
      <c r="T106" s="1080"/>
      <c r="U106" s="1080"/>
      <c r="V106" s="1080"/>
      <c r="W106" s="1080"/>
      <c r="X106" s="1080"/>
      <c r="Y106" s="1080"/>
      <c r="Z106" s="1080"/>
      <c r="AA106" s="1080"/>
      <c r="AB106" s="1080"/>
      <c r="AC106" s="1080"/>
    </row>
    <row r="107" spans="1:29" ht="12" hidden="1" customHeight="1">
      <c r="A107" s="1275" t="s">
        <v>925</v>
      </c>
      <c r="B107" s="1276" t="s">
        <v>786</v>
      </c>
      <c r="C107" s="1277" t="s">
        <v>860</v>
      </c>
      <c r="D107" s="1278">
        <f t="shared" si="0"/>
        <v>7.9565818860604404E-2</v>
      </c>
      <c r="E107" s="1278">
        <f t="shared" si="1"/>
        <v>0.1343980338296166</v>
      </c>
      <c r="F107" s="1278">
        <f t="shared" si="2"/>
        <v>8.7198033829616592E-2</v>
      </c>
      <c r="G107" s="1278" t="s">
        <v>113</v>
      </c>
      <c r="H107" s="1278" t="str">
        <f t="shared" si="3"/>
        <v>NA</v>
      </c>
      <c r="I107" s="1279" t="str">
        <f t="shared" si="4"/>
        <v>NA</v>
      </c>
      <c r="J107" s="1080"/>
      <c r="K107" s="1080"/>
      <c r="L107" s="1080"/>
      <c r="M107" s="1080"/>
      <c r="N107" s="1080"/>
      <c r="O107" s="1080"/>
      <c r="P107" s="1080"/>
      <c r="Q107" s="1080"/>
      <c r="R107" s="1080"/>
      <c r="S107" s="1080"/>
      <c r="T107" s="1080"/>
      <c r="U107" s="1080"/>
      <c r="V107" s="1080"/>
      <c r="W107" s="1080"/>
      <c r="X107" s="1080"/>
      <c r="Y107" s="1080"/>
      <c r="Z107" s="1080"/>
      <c r="AA107" s="1080"/>
      <c r="AB107" s="1080"/>
      <c r="AC107" s="1080"/>
    </row>
    <row r="108" spans="1:29" ht="12" hidden="1" customHeight="1">
      <c r="A108" s="1275" t="s">
        <v>926</v>
      </c>
      <c r="B108" s="1276" t="s">
        <v>786</v>
      </c>
      <c r="C108" s="1277" t="s">
        <v>815</v>
      </c>
      <c r="D108" s="1278">
        <f t="shared" si="0"/>
        <v>3.1810382490361881E-2</v>
      </c>
      <c r="E108" s="1278">
        <f t="shared" si="1"/>
        <v>8.2061738975968967E-2</v>
      </c>
      <c r="F108" s="1278">
        <f t="shared" si="2"/>
        <v>3.4861738975968962E-2</v>
      </c>
      <c r="G108" s="1278" t="s">
        <v>113</v>
      </c>
      <c r="H108" s="1278" t="str">
        <f t="shared" si="3"/>
        <v>NA</v>
      </c>
      <c r="I108" s="1279" t="str">
        <f t="shared" si="4"/>
        <v>NA</v>
      </c>
      <c r="J108" s="1080"/>
      <c r="K108" s="1080"/>
      <c r="L108" s="1080"/>
      <c r="M108" s="1080"/>
      <c r="N108" s="1080"/>
      <c r="O108" s="1080"/>
      <c r="P108" s="1080"/>
      <c r="Q108" s="1080"/>
      <c r="R108" s="1080"/>
      <c r="S108" s="1080"/>
      <c r="T108" s="1080"/>
      <c r="U108" s="1080"/>
      <c r="V108" s="1080"/>
      <c r="W108" s="1080"/>
      <c r="X108" s="1080"/>
      <c r="Y108" s="1080"/>
      <c r="Z108" s="1080"/>
      <c r="AA108" s="1080"/>
      <c r="AB108" s="1080"/>
      <c r="AC108" s="1080"/>
    </row>
    <row r="109" spans="1:29" ht="12" hidden="1" customHeight="1">
      <c r="A109" s="1275" t="s">
        <v>927</v>
      </c>
      <c r="B109" s="1276" t="s">
        <v>805</v>
      </c>
      <c r="C109" s="1277" t="s">
        <v>822</v>
      </c>
      <c r="D109" s="1278">
        <f t="shared" si="0"/>
        <v>0</v>
      </c>
      <c r="E109" s="1278">
        <f t="shared" si="1"/>
        <v>4.7199999999999999E-2</v>
      </c>
      <c r="F109" s="1278">
        <f t="shared" si="2"/>
        <v>0</v>
      </c>
      <c r="G109" s="1278">
        <v>0</v>
      </c>
      <c r="H109" s="1278">
        <f t="shared" si="3"/>
        <v>4.7199999999999999E-2</v>
      </c>
      <c r="I109" s="1279">
        <f t="shared" si="4"/>
        <v>0</v>
      </c>
      <c r="J109" s="1080"/>
      <c r="K109" s="1080"/>
      <c r="L109" s="1080"/>
      <c r="M109" s="1080"/>
      <c r="N109" s="1080"/>
      <c r="O109" s="1080"/>
      <c r="P109" s="1080"/>
      <c r="Q109" s="1080"/>
      <c r="R109" s="1080"/>
      <c r="S109" s="1080"/>
      <c r="T109" s="1080"/>
      <c r="U109" s="1080"/>
      <c r="V109" s="1080"/>
      <c r="W109" s="1080"/>
      <c r="X109" s="1080"/>
      <c r="Y109" s="1080"/>
      <c r="Z109" s="1080"/>
      <c r="AA109" s="1080"/>
      <c r="AB109" s="1080"/>
      <c r="AC109" s="1080"/>
    </row>
    <row r="110" spans="1:29" ht="12" hidden="1" customHeight="1">
      <c r="A110" s="1275" t="s">
        <v>928</v>
      </c>
      <c r="B110" s="1276" t="s">
        <v>821</v>
      </c>
      <c r="C110" s="1277" t="s">
        <v>822</v>
      </c>
      <c r="D110" s="1278">
        <f t="shared" si="0"/>
        <v>0</v>
      </c>
      <c r="E110" s="1278">
        <f t="shared" si="1"/>
        <v>4.7199999999999999E-2</v>
      </c>
      <c r="F110" s="1278">
        <f t="shared" si="2"/>
        <v>0</v>
      </c>
      <c r="G110" s="1278">
        <v>2.0000000000000009E-4</v>
      </c>
      <c r="H110" s="1278">
        <f t="shared" si="3"/>
        <v>4.7419184657628885E-2</v>
      </c>
      <c r="I110" s="1279">
        <f t="shared" si="4"/>
        <v>2.1918465762888335E-4</v>
      </c>
      <c r="J110" s="1080"/>
      <c r="K110" s="1080"/>
      <c r="L110" s="1080"/>
      <c r="M110" s="1080"/>
      <c r="N110" s="1080"/>
      <c r="O110" s="1080"/>
      <c r="P110" s="1080"/>
      <c r="Q110" s="1080"/>
      <c r="R110" s="1080"/>
      <c r="S110" s="1080"/>
      <c r="T110" s="1080"/>
      <c r="U110" s="1080"/>
      <c r="V110" s="1080"/>
      <c r="W110" s="1080"/>
      <c r="X110" s="1080"/>
      <c r="Y110" s="1080"/>
      <c r="Z110" s="1080"/>
      <c r="AA110" s="1080"/>
      <c r="AB110" s="1080"/>
      <c r="AC110" s="1080"/>
    </row>
    <row r="111" spans="1:29" ht="12" hidden="1" customHeight="1">
      <c r="A111" s="1275" t="s">
        <v>929</v>
      </c>
      <c r="B111" s="1276" t="s">
        <v>811</v>
      </c>
      <c r="C111" s="1277" t="s">
        <v>828</v>
      </c>
      <c r="D111" s="1278">
        <f t="shared" si="0"/>
        <v>5.74819192369697E-2</v>
      </c>
      <c r="E111" s="1278">
        <f t="shared" si="1"/>
        <v>0.1101957739390316</v>
      </c>
      <c r="F111" s="1278">
        <f t="shared" si="2"/>
        <v>6.2995773939031607E-2</v>
      </c>
      <c r="G111" s="1278" t="s">
        <v>113</v>
      </c>
      <c r="H111" s="1278" t="str">
        <f t="shared" si="3"/>
        <v>NA</v>
      </c>
      <c r="I111" s="1279" t="str">
        <f t="shared" si="4"/>
        <v>NA</v>
      </c>
      <c r="J111" s="1080"/>
      <c r="K111" s="1080"/>
      <c r="L111" s="1080"/>
      <c r="M111" s="1080"/>
      <c r="N111" s="1080"/>
      <c r="O111" s="1080"/>
      <c r="P111" s="1080"/>
      <c r="Q111" s="1080"/>
      <c r="R111" s="1080"/>
      <c r="S111" s="1080"/>
      <c r="T111" s="1080"/>
      <c r="U111" s="1080"/>
      <c r="V111" s="1080"/>
      <c r="W111" s="1080"/>
      <c r="X111" s="1080"/>
      <c r="Y111" s="1080"/>
      <c r="Z111" s="1080"/>
      <c r="AA111" s="1080"/>
      <c r="AB111" s="1080"/>
      <c r="AC111" s="1080"/>
    </row>
    <row r="112" spans="1:29" ht="12" hidden="1" customHeight="1">
      <c r="A112" s="1275" t="s">
        <v>930</v>
      </c>
      <c r="B112" s="1276" t="s">
        <v>786</v>
      </c>
      <c r="C112" s="1277" t="s">
        <v>828</v>
      </c>
      <c r="D112" s="1278">
        <f t="shared" si="0"/>
        <v>5.74819192369697E-2</v>
      </c>
      <c r="E112" s="1278">
        <f t="shared" si="1"/>
        <v>0.1101957739390316</v>
      </c>
      <c r="F112" s="1278">
        <f t="shared" si="2"/>
        <v>6.2995773939031607E-2</v>
      </c>
      <c r="G112" s="1278" t="s">
        <v>113</v>
      </c>
      <c r="H112" s="1278" t="str">
        <f t="shared" si="3"/>
        <v>NA</v>
      </c>
      <c r="I112" s="1279" t="str">
        <f t="shared" si="4"/>
        <v>NA</v>
      </c>
      <c r="J112" s="1080"/>
      <c r="K112" s="1080"/>
      <c r="L112" s="1080"/>
      <c r="M112" s="1080"/>
      <c r="N112" s="1080"/>
      <c r="O112" s="1080"/>
      <c r="P112" s="1080"/>
      <c r="Q112" s="1080"/>
      <c r="R112" s="1080"/>
      <c r="S112" s="1080"/>
      <c r="T112" s="1080"/>
      <c r="U112" s="1080"/>
      <c r="V112" s="1080"/>
      <c r="W112" s="1080"/>
      <c r="X112" s="1080"/>
      <c r="Y112" s="1080"/>
      <c r="Z112" s="1080"/>
      <c r="AA112" s="1080"/>
      <c r="AB112" s="1080"/>
      <c r="AC112" s="1080"/>
    </row>
    <row r="113" spans="1:29" ht="12" hidden="1" customHeight="1">
      <c r="A113" s="1275" t="s">
        <v>931</v>
      </c>
      <c r="B113" s="1276" t="s">
        <v>786</v>
      </c>
      <c r="C113" s="1277" t="s">
        <v>826</v>
      </c>
      <c r="D113" s="1278">
        <f t="shared" si="0"/>
        <v>4.8632414333635951E-2</v>
      </c>
      <c r="E113" s="1278">
        <f t="shared" si="1"/>
        <v>0.10049739542691996</v>
      </c>
      <c r="F113" s="1278">
        <f t="shared" si="2"/>
        <v>5.3297395426919955E-2</v>
      </c>
      <c r="G113" s="1278">
        <v>3.3600000000000005E-2</v>
      </c>
      <c r="H113" s="1278">
        <f t="shared" si="3"/>
        <v>8.4023022481652387E-2</v>
      </c>
      <c r="I113" s="1279">
        <f t="shared" si="4"/>
        <v>3.6823022481652395E-2</v>
      </c>
      <c r="J113" s="1080"/>
      <c r="K113" s="1080"/>
      <c r="L113" s="1080"/>
      <c r="M113" s="1080"/>
      <c r="N113" s="1080"/>
      <c r="O113" s="1080"/>
      <c r="P113" s="1080"/>
      <c r="Q113" s="1080"/>
      <c r="R113" s="1080"/>
      <c r="S113" s="1080"/>
      <c r="T113" s="1080"/>
      <c r="U113" s="1080"/>
      <c r="V113" s="1080"/>
      <c r="W113" s="1080"/>
      <c r="X113" s="1080"/>
      <c r="Y113" s="1080"/>
      <c r="Z113" s="1080"/>
      <c r="AA113" s="1080"/>
      <c r="AB113" s="1080"/>
      <c r="AC113" s="1080"/>
    </row>
    <row r="114" spans="1:29" ht="12" hidden="1" customHeight="1">
      <c r="A114" s="1275" t="s">
        <v>932</v>
      </c>
      <c r="B114" s="1276" t="s">
        <v>805</v>
      </c>
      <c r="C114" s="1277" t="s">
        <v>822</v>
      </c>
      <c r="D114" s="1278">
        <f t="shared" si="0"/>
        <v>0</v>
      </c>
      <c r="E114" s="1278">
        <f t="shared" si="1"/>
        <v>4.7199999999999999E-2</v>
      </c>
      <c r="F114" s="1278">
        <f t="shared" si="2"/>
        <v>0</v>
      </c>
      <c r="G114" s="1278">
        <v>0</v>
      </c>
      <c r="H114" s="1278">
        <f t="shared" si="3"/>
        <v>4.7199999999999999E-2</v>
      </c>
      <c r="I114" s="1279">
        <f t="shared" si="4"/>
        <v>0</v>
      </c>
      <c r="J114" s="1080"/>
      <c r="K114" s="1080"/>
      <c r="L114" s="1080"/>
      <c r="M114" s="1080"/>
      <c r="N114" s="1080"/>
      <c r="O114" s="1080"/>
      <c r="P114" s="1080"/>
      <c r="Q114" s="1080"/>
      <c r="R114" s="1080"/>
      <c r="S114" s="1080"/>
      <c r="T114" s="1080"/>
      <c r="U114" s="1080"/>
      <c r="V114" s="1080"/>
      <c r="W114" s="1080"/>
      <c r="X114" s="1080"/>
      <c r="Y114" s="1080"/>
      <c r="Z114" s="1080"/>
      <c r="AA114" s="1080"/>
      <c r="AB114" s="1080"/>
      <c r="AC114" s="1080"/>
    </row>
    <row r="115" spans="1:29" ht="12" hidden="1" customHeight="1">
      <c r="A115" s="1275" t="s">
        <v>933</v>
      </c>
      <c r="B115" s="1276" t="s">
        <v>796</v>
      </c>
      <c r="C115" s="1277" t="s">
        <v>815</v>
      </c>
      <c r="D115" s="1278">
        <f t="shared" si="0"/>
        <v>3.1810382490361881E-2</v>
      </c>
      <c r="E115" s="1278">
        <f t="shared" si="1"/>
        <v>8.2061738975968967E-2</v>
      </c>
      <c r="F115" s="1278">
        <f t="shared" si="2"/>
        <v>3.4861738975968962E-2</v>
      </c>
      <c r="G115" s="1278">
        <v>3.6699999999999997E-2</v>
      </c>
      <c r="H115" s="1278">
        <f t="shared" si="3"/>
        <v>8.742038467490007E-2</v>
      </c>
      <c r="I115" s="1279">
        <f t="shared" si="4"/>
        <v>4.0220384674900071E-2</v>
      </c>
      <c r="J115" s="1080"/>
      <c r="K115" s="1080"/>
      <c r="L115" s="1080"/>
      <c r="M115" s="1080"/>
      <c r="N115" s="1080"/>
      <c r="O115" s="1080"/>
      <c r="P115" s="1080"/>
      <c r="Q115" s="1080"/>
      <c r="R115" s="1080"/>
      <c r="S115" s="1080"/>
      <c r="T115" s="1080"/>
      <c r="U115" s="1080"/>
      <c r="V115" s="1080"/>
      <c r="W115" s="1080"/>
      <c r="X115" s="1080"/>
      <c r="Y115" s="1080"/>
      <c r="Z115" s="1080"/>
      <c r="AA115" s="1080"/>
      <c r="AB115" s="1080"/>
      <c r="AC115" s="1080"/>
    </row>
    <row r="116" spans="1:29" ht="12" hidden="1" customHeight="1">
      <c r="A116" s="1275" t="s">
        <v>934</v>
      </c>
      <c r="B116" s="1276" t="s">
        <v>832</v>
      </c>
      <c r="C116" s="1277" t="s">
        <v>828</v>
      </c>
      <c r="D116" s="1278">
        <f t="shared" si="0"/>
        <v>5.74819192369697E-2</v>
      </c>
      <c r="E116" s="1278">
        <f t="shared" si="1"/>
        <v>0.1101957739390316</v>
      </c>
      <c r="F116" s="1278">
        <f t="shared" si="2"/>
        <v>6.2995773939031607E-2</v>
      </c>
      <c r="G116" s="1278">
        <v>4.2800000000000005E-2</v>
      </c>
      <c r="H116" s="1278">
        <f t="shared" si="3"/>
        <v>9.4105516732581024E-2</v>
      </c>
      <c r="I116" s="1279">
        <f t="shared" si="4"/>
        <v>4.6905516732581025E-2</v>
      </c>
      <c r="J116" s="1080"/>
      <c r="K116" s="1080"/>
      <c r="L116" s="1080"/>
      <c r="M116" s="1080"/>
      <c r="N116" s="1080"/>
      <c r="O116" s="1080"/>
      <c r="P116" s="1080"/>
      <c r="Q116" s="1080"/>
      <c r="R116" s="1080"/>
      <c r="S116" s="1080"/>
      <c r="T116" s="1080"/>
      <c r="U116" s="1080"/>
      <c r="V116" s="1080"/>
      <c r="W116" s="1080"/>
      <c r="X116" s="1080"/>
      <c r="Y116" s="1080"/>
      <c r="Z116" s="1080"/>
      <c r="AA116" s="1080"/>
      <c r="AB116" s="1080"/>
      <c r="AC116" s="1080"/>
    </row>
    <row r="117" spans="1:29" ht="12" hidden="1" customHeight="1">
      <c r="A117" s="1275" t="s">
        <v>935</v>
      </c>
      <c r="B117" s="1276" t="s">
        <v>811</v>
      </c>
      <c r="C117" s="1277" t="s">
        <v>818</v>
      </c>
      <c r="D117" s="1278">
        <f t="shared" si="0"/>
        <v>1.4111372683694367E-2</v>
      </c>
      <c r="E117" s="1278">
        <f t="shared" si="1"/>
        <v>6.2664981951745621E-2</v>
      </c>
      <c r="F117" s="1278">
        <f t="shared" si="2"/>
        <v>1.5464981951745628E-2</v>
      </c>
      <c r="G117" s="1278">
        <v>7.1999999999999998E-3</v>
      </c>
      <c r="H117" s="1278">
        <f t="shared" si="3"/>
        <v>5.5090647674639795E-2</v>
      </c>
      <c r="I117" s="1279">
        <f t="shared" si="4"/>
        <v>7.8906476746397978E-3</v>
      </c>
      <c r="J117" s="1080"/>
      <c r="K117" s="1080"/>
      <c r="L117" s="1080"/>
      <c r="M117" s="1080"/>
      <c r="N117" s="1080"/>
      <c r="O117" s="1080"/>
      <c r="P117" s="1080"/>
      <c r="Q117" s="1080"/>
      <c r="R117" s="1080"/>
      <c r="S117" s="1080"/>
      <c r="T117" s="1080"/>
      <c r="U117" s="1080"/>
      <c r="V117" s="1080"/>
      <c r="W117" s="1080"/>
      <c r="X117" s="1080"/>
      <c r="Y117" s="1080"/>
      <c r="Z117" s="1080"/>
      <c r="AA117" s="1080"/>
      <c r="AB117" s="1080"/>
      <c r="AC117" s="1080"/>
    </row>
    <row r="118" spans="1:29" ht="12" hidden="1" customHeight="1">
      <c r="A118" s="1275" t="s">
        <v>936</v>
      </c>
      <c r="B118" s="1276" t="s">
        <v>832</v>
      </c>
      <c r="C118" s="1277" t="s">
        <v>826</v>
      </c>
      <c r="D118" s="1278">
        <f t="shared" si="0"/>
        <v>4.8632414333635951E-2</v>
      </c>
      <c r="E118" s="1278">
        <f t="shared" si="1"/>
        <v>0.10049739542691996</v>
      </c>
      <c r="F118" s="1278">
        <f t="shared" si="2"/>
        <v>5.3297395426919955E-2</v>
      </c>
      <c r="G118" s="1278" t="s">
        <v>113</v>
      </c>
      <c r="H118" s="1278" t="str">
        <f t="shared" si="3"/>
        <v>NA</v>
      </c>
      <c r="I118" s="1279" t="str">
        <f t="shared" si="4"/>
        <v>NA</v>
      </c>
      <c r="J118" s="1080"/>
      <c r="K118" s="1080"/>
      <c r="L118" s="1080"/>
      <c r="M118" s="1080"/>
      <c r="N118" s="1080"/>
      <c r="O118" s="1080"/>
      <c r="P118" s="1080"/>
      <c r="Q118" s="1080"/>
      <c r="R118" s="1080"/>
      <c r="S118" s="1080"/>
      <c r="T118" s="1080"/>
      <c r="U118" s="1080"/>
      <c r="V118" s="1080"/>
      <c r="W118" s="1080"/>
      <c r="X118" s="1080"/>
      <c r="Y118" s="1080"/>
      <c r="Z118" s="1080"/>
      <c r="AA118" s="1080"/>
      <c r="AB118" s="1080"/>
      <c r="AC118" s="1080"/>
    </row>
    <row r="119" spans="1:29" ht="12" hidden="1" customHeight="1">
      <c r="A119" s="1275" t="s">
        <v>937</v>
      </c>
      <c r="B119" s="1276" t="s">
        <v>811</v>
      </c>
      <c r="C119" s="1277" t="s">
        <v>830</v>
      </c>
      <c r="D119" s="1278">
        <f t="shared" si="0"/>
        <v>2.208389962363469E-2</v>
      </c>
      <c r="E119" s="1278">
        <f t="shared" si="1"/>
        <v>7.1402259890584963E-2</v>
      </c>
      <c r="F119" s="1278">
        <f t="shared" si="2"/>
        <v>2.4202259890584967E-2</v>
      </c>
      <c r="G119" s="1278" t="s">
        <v>113</v>
      </c>
      <c r="H119" s="1278" t="str">
        <f t="shared" si="3"/>
        <v>NA</v>
      </c>
      <c r="I119" s="1279" t="str">
        <f t="shared" si="4"/>
        <v>NA</v>
      </c>
      <c r="J119" s="1080"/>
      <c r="K119" s="1080"/>
      <c r="L119" s="1080"/>
      <c r="M119" s="1080"/>
      <c r="N119" s="1080"/>
      <c r="O119" s="1080"/>
      <c r="P119" s="1080"/>
      <c r="Q119" s="1080"/>
      <c r="R119" s="1080"/>
      <c r="S119" s="1080"/>
      <c r="T119" s="1080"/>
      <c r="U119" s="1080"/>
      <c r="V119" s="1080"/>
      <c r="W119" s="1080"/>
      <c r="X119" s="1080"/>
      <c r="Y119" s="1080"/>
      <c r="Z119" s="1080"/>
      <c r="AA119" s="1080"/>
      <c r="AB119" s="1080"/>
      <c r="AC119" s="1080"/>
    </row>
    <row r="120" spans="1:29" ht="12" hidden="1" customHeight="1">
      <c r="A120" s="1275" t="s">
        <v>938</v>
      </c>
      <c r="B120" s="1276" t="s">
        <v>811</v>
      </c>
      <c r="C120" s="1277" t="s">
        <v>809</v>
      </c>
      <c r="D120" s="1278">
        <f t="shared" si="0"/>
        <v>1.0603460830120627E-2</v>
      </c>
      <c r="E120" s="1278">
        <f t="shared" si="1"/>
        <v>5.8820579658656322E-2</v>
      </c>
      <c r="F120" s="1278">
        <f t="shared" si="2"/>
        <v>1.1620579658656319E-2</v>
      </c>
      <c r="G120" s="1278">
        <v>8.0999999999999996E-3</v>
      </c>
      <c r="H120" s="1278">
        <f t="shared" si="3"/>
        <v>5.6076978633969772E-2</v>
      </c>
      <c r="I120" s="1279">
        <f t="shared" si="4"/>
        <v>8.8769786339697714E-3</v>
      </c>
      <c r="J120" s="1080"/>
      <c r="K120" s="1080"/>
      <c r="L120" s="1080"/>
      <c r="M120" s="1080"/>
      <c r="N120" s="1080"/>
      <c r="O120" s="1080"/>
      <c r="P120" s="1080"/>
      <c r="Q120" s="1080"/>
      <c r="R120" s="1080"/>
      <c r="S120" s="1080"/>
      <c r="T120" s="1080"/>
      <c r="U120" s="1080"/>
      <c r="V120" s="1080"/>
      <c r="W120" s="1080"/>
      <c r="X120" s="1080"/>
      <c r="Y120" s="1080"/>
      <c r="Z120" s="1080"/>
      <c r="AA120" s="1080"/>
      <c r="AB120" s="1080"/>
      <c r="AC120" s="1080"/>
    </row>
    <row r="121" spans="1:29" ht="12" hidden="1" customHeight="1">
      <c r="A121" s="1275" t="s">
        <v>939</v>
      </c>
      <c r="B121" s="1276" t="s">
        <v>832</v>
      </c>
      <c r="C121" s="1277" t="s">
        <v>836</v>
      </c>
      <c r="D121" s="1278">
        <f t="shared" si="0"/>
        <v>1.6822031843274077E-2</v>
      </c>
      <c r="E121" s="1278">
        <f t="shared" si="1"/>
        <v>6.5635656450950999E-2</v>
      </c>
      <c r="F121" s="1278">
        <f t="shared" si="2"/>
        <v>1.8435656450951004E-2</v>
      </c>
      <c r="G121" s="1278">
        <v>4.4000000000000003E-3</v>
      </c>
      <c r="H121" s="1278">
        <f t="shared" si="3"/>
        <v>5.2022062467835431E-2</v>
      </c>
      <c r="I121" s="1279">
        <f t="shared" si="4"/>
        <v>4.8220624678354321E-3</v>
      </c>
      <c r="J121" s="1080"/>
      <c r="K121" s="1080"/>
      <c r="L121" s="1080"/>
      <c r="M121" s="1080"/>
      <c r="N121" s="1080"/>
      <c r="O121" s="1080"/>
      <c r="P121" s="1080"/>
      <c r="Q121" s="1080"/>
      <c r="R121" s="1080"/>
      <c r="S121" s="1080"/>
      <c r="T121" s="1080"/>
      <c r="U121" s="1080"/>
      <c r="V121" s="1080"/>
      <c r="W121" s="1080"/>
      <c r="X121" s="1080"/>
      <c r="Y121" s="1080"/>
      <c r="Z121" s="1080"/>
      <c r="AA121" s="1080"/>
      <c r="AB121" s="1080"/>
      <c r="AC121" s="1080"/>
    </row>
    <row r="122" spans="1:29" ht="12" hidden="1" customHeight="1">
      <c r="A122" s="1275" t="s">
        <v>940</v>
      </c>
      <c r="B122" s="1276" t="s">
        <v>801</v>
      </c>
      <c r="C122" s="1277" t="s">
        <v>807</v>
      </c>
      <c r="D122" s="1278">
        <f t="shared" si="0"/>
        <v>7.4941753235439005E-3</v>
      </c>
      <c r="E122" s="1278">
        <f t="shared" si="1"/>
        <v>5.5413041262508976E-2</v>
      </c>
      <c r="F122" s="1278">
        <f t="shared" si="2"/>
        <v>8.2130412625089771E-3</v>
      </c>
      <c r="G122" s="1278">
        <v>6.8000000000000005E-3</v>
      </c>
      <c r="H122" s="1278">
        <f t="shared" si="3"/>
        <v>5.465227835938203E-2</v>
      </c>
      <c r="I122" s="1279">
        <f t="shared" si="4"/>
        <v>7.4522783593820316E-3</v>
      </c>
      <c r="J122" s="1080"/>
      <c r="K122" s="1080"/>
      <c r="L122" s="1080"/>
      <c r="M122" s="1080"/>
      <c r="N122" s="1080"/>
      <c r="O122" s="1080"/>
      <c r="P122" s="1080"/>
      <c r="Q122" s="1080"/>
      <c r="R122" s="1080"/>
      <c r="S122" s="1080"/>
      <c r="T122" s="1080"/>
      <c r="U122" s="1080"/>
      <c r="V122" s="1080"/>
      <c r="W122" s="1080"/>
      <c r="X122" s="1080"/>
      <c r="Y122" s="1080"/>
      <c r="Z122" s="1080"/>
      <c r="AA122" s="1080"/>
      <c r="AB122" s="1080"/>
      <c r="AC122" s="1080"/>
    </row>
    <row r="123" spans="1:29" ht="12" hidden="1" customHeight="1">
      <c r="A123" s="1275" t="s">
        <v>941</v>
      </c>
      <c r="B123" s="1276" t="s">
        <v>805</v>
      </c>
      <c r="C123" s="1277" t="s">
        <v>839</v>
      </c>
      <c r="D123" s="1278">
        <f t="shared" si="0"/>
        <v>1.9452965733454383E-2</v>
      </c>
      <c r="E123" s="1278">
        <f t="shared" si="1"/>
        <v>6.8518958170767988E-2</v>
      </c>
      <c r="F123" s="1278">
        <f t="shared" si="2"/>
        <v>2.1318958170767986E-2</v>
      </c>
      <c r="G123" s="1278">
        <v>4.1999999999999997E-3</v>
      </c>
      <c r="H123" s="1278">
        <f t="shared" si="3"/>
        <v>5.1802877810206545E-2</v>
      </c>
      <c r="I123" s="1279">
        <f t="shared" si="4"/>
        <v>4.6028778102065486E-3</v>
      </c>
      <c r="J123" s="1080"/>
      <c r="K123" s="1080"/>
      <c r="L123" s="1080"/>
      <c r="M123" s="1080"/>
      <c r="N123" s="1080"/>
      <c r="O123" s="1080"/>
      <c r="P123" s="1080"/>
      <c r="Q123" s="1080"/>
      <c r="R123" s="1080"/>
      <c r="S123" s="1080"/>
      <c r="T123" s="1080"/>
      <c r="U123" s="1080"/>
      <c r="V123" s="1080"/>
      <c r="W123" s="1080"/>
      <c r="X123" s="1080"/>
      <c r="Y123" s="1080"/>
      <c r="Z123" s="1080"/>
      <c r="AA123" s="1080"/>
      <c r="AB123" s="1080"/>
      <c r="AC123" s="1080"/>
    </row>
    <row r="124" spans="1:29" ht="12" hidden="1" customHeight="1">
      <c r="A124" s="1275" t="s">
        <v>942</v>
      </c>
      <c r="B124" s="1276" t="s">
        <v>796</v>
      </c>
      <c r="C124" s="1277" t="s">
        <v>819</v>
      </c>
      <c r="D124" s="1278">
        <f t="shared" si="0"/>
        <v>5.3415930497600151E-3</v>
      </c>
      <c r="E124" s="1278">
        <f t="shared" si="1"/>
        <v>5.3053976219022358E-2</v>
      </c>
      <c r="F124" s="1278">
        <f t="shared" si="2"/>
        <v>5.8539762190223561E-3</v>
      </c>
      <c r="G124" s="1278">
        <v>5.1000000000000004E-3</v>
      </c>
      <c r="H124" s="1278">
        <f t="shared" si="3"/>
        <v>5.2789208769536522E-2</v>
      </c>
      <c r="I124" s="1279">
        <f t="shared" si="4"/>
        <v>5.5892087695365239E-3</v>
      </c>
      <c r="J124" s="1080"/>
      <c r="K124" s="1080"/>
      <c r="L124" s="1080"/>
      <c r="M124" s="1080"/>
      <c r="N124" s="1080"/>
      <c r="O124" s="1080"/>
      <c r="P124" s="1080"/>
      <c r="Q124" s="1080"/>
      <c r="R124" s="1080"/>
      <c r="S124" s="1080"/>
      <c r="T124" s="1080"/>
      <c r="U124" s="1080"/>
      <c r="V124" s="1080"/>
      <c r="W124" s="1080"/>
      <c r="X124" s="1080"/>
      <c r="Y124" s="1080"/>
      <c r="Z124" s="1080"/>
      <c r="AA124" s="1080"/>
      <c r="AB124" s="1080"/>
      <c r="AC124" s="1080"/>
    </row>
    <row r="125" spans="1:29" ht="12" hidden="1" customHeight="1">
      <c r="A125" s="1275" t="s">
        <v>943</v>
      </c>
      <c r="B125" s="1276" t="s">
        <v>796</v>
      </c>
      <c r="C125" s="1277" t="s">
        <v>822</v>
      </c>
      <c r="D125" s="1278">
        <f t="shared" si="0"/>
        <v>0</v>
      </c>
      <c r="E125" s="1278">
        <f t="shared" si="1"/>
        <v>4.7199999999999999E-2</v>
      </c>
      <c r="F125" s="1278">
        <f t="shared" si="2"/>
        <v>0</v>
      </c>
      <c r="G125" s="1278" t="s">
        <v>113</v>
      </c>
      <c r="H125" s="1278" t="str">
        <f t="shared" si="3"/>
        <v>NA</v>
      </c>
      <c r="I125" s="1279" t="str">
        <f t="shared" si="4"/>
        <v>NA</v>
      </c>
      <c r="J125" s="1080"/>
      <c r="K125" s="1080"/>
      <c r="L125" s="1080"/>
      <c r="M125" s="1080"/>
      <c r="N125" s="1080"/>
      <c r="O125" s="1080"/>
      <c r="P125" s="1080"/>
      <c r="Q125" s="1080"/>
      <c r="R125" s="1080"/>
      <c r="S125" s="1080"/>
      <c r="T125" s="1080"/>
      <c r="U125" s="1080"/>
      <c r="V125" s="1080"/>
      <c r="W125" s="1080"/>
      <c r="X125" s="1080"/>
      <c r="Y125" s="1080"/>
      <c r="Z125" s="1080"/>
      <c r="AA125" s="1080"/>
      <c r="AB125" s="1080"/>
      <c r="AC125" s="1080"/>
    </row>
    <row r="126" spans="1:29" ht="12" hidden="1" customHeight="1">
      <c r="A126" s="1275" t="s">
        <v>944</v>
      </c>
      <c r="B126" s="1276" t="s">
        <v>801</v>
      </c>
      <c r="C126" s="1277" t="s">
        <v>839</v>
      </c>
      <c r="D126" s="1278">
        <f t="shared" si="0"/>
        <v>1.9452965733454383E-2</v>
      </c>
      <c r="E126" s="1278">
        <f t="shared" si="1"/>
        <v>6.8518958170767988E-2</v>
      </c>
      <c r="F126" s="1278">
        <f t="shared" si="2"/>
        <v>2.1318958170767986E-2</v>
      </c>
      <c r="G126" s="1278">
        <v>9.9000000000000008E-3</v>
      </c>
      <c r="H126" s="1278">
        <f t="shared" si="3"/>
        <v>5.8049640552629719E-2</v>
      </c>
      <c r="I126" s="1279">
        <f t="shared" si="4"/>
        <v>1.0849640552629722E-2</v>
      </c>
      <c r="J126" s="1080"/>
      <c r="K126" s="1080"/>
      <c r="L126" s="1080"/>
      <c r="M126" s="1080"/>
      <c r="N126" s="1080"/>
      <c r="O126" s="1080"/>
      <c r="P126" s="1080"/>
      <c r="Q126" s="1080"/>
      <c r="R126" s="1080"/>
      <c r="S126" s="1080"/>
      <c r="T126" s="1080"/>
      <c r="U126" s="1080"/>
      <c r="V126" s="1080"/>
      <c r="W126" s="1080"/>
      <c r="X126" s="1080"/>
      <c r="Y126" s="1080"/>
      <c r="Z126" s="1080"/>
      <c r="AA126" s="1080"/>
      <c r="AB126" s="1080"/>
      <c r="AC126" s="1080"/>
    </row>
    <row r="127" spans="1:29" ht="12" hidden="1" customHeight="1">
      <c r="A127" s="1275" t="s">
        <v>945</v>
      </c>
      <c r="B127" s="1276" t="s">
        <v>801</v>
      </c>
      <c r="C127" s="1277" t="s">
        <v>839</v>
      </c>
      <c r="D127" s="1278">
        <f t="shared" si="0"/>
        <v>1.9452965733454383E-2</v>
      </c>
      <c r="E127" s="1278">
        <f t="shared" si="1"/>
        <v>6.8518958170767988E-2</v>
      </c>
      <c r="F127" s="1278">
        <f t="shared" si="2"/>
        <v>2.1318958170767986E-2</v>
      </c>
      <c r="G127" s="1278">
        <v>1.24E-2</v>
      </c>
      <c r="H127" s="1278">
        <f t="shared" si="3"/>
        <v>6.0789448772990765E-2</v>
      </c>
      <c r="I127" s="1279">
        <f t="shared" si="4"/>
        <v>1.3589448772990762E-2</v>
      </c>
      <c r="J127" s="1080"/>
      <c r="K127" s="1080"/>
      <c r="L127" s="1080"/>
      <c r="M127" s="1080"/>
      <c r="N127" s="1080"/>
      <c r="O127" s="1080"/>
      <c r="P127" s="1080"/>
      <c r="Q127" s="1080"/>
      <c r="R127" s="1080"/>
      <c r="S127" s="1080"/>
      <c r="T127" s="1080"/>
      <c r="U127" s="1080"/>
      <c r="V127" s="1080"/>
      <c r="W127" s="1080"/>
      <c r="X127" s="1080"/>
      <c r="Y127" s="1080"/>
      <c r="Z127" s="1080"/>
      <c r="AA127" s="1080"/>
      <c r="AB127" s="1080"/>
      <c r="AC127" s="1080"/>
    </row>
    <row r="128" spans="1:29" ht="12" hidden="1" customHeight="1">
      <c r="A128" s="1275" t="s">
        <v>946</v>
      </c>
      <c r="B128" s="1276" t="s">
        <v>786</v>
      </c>
      <c r="C128" s="1277" t="s">
        <v>826</v>
      </c>
      <c r="D128" s="1278">
        <f t="shared" si="0"/>
        <v>4.8632414333635951E-2</v>
      </c>
      <c r="E128" s="1278">
        <f t="shared" si="1"/>
        <v>0.10049739542691996</v>
      </c>
      <c r="F128" s="1278">
        <f t="shared" si="2"/>
        <v>5.3297395426919955E-2</v>
      </c>
      <c r="G128" s="1278">
        <v>3.49E-2</v>
      </c>
      <c r="H128" s="1278">
        <f t="shared" si="3"/>
        <v>8.544772275624013E-2</v>
      </c>
      <c r="I128" s="1279">
        <f t="shared" si="4"/>
        <v>3.8247722756240131E-2</v>
      </c>
      <c r="J128" s="1080"/>
      <c r="K128" s="1080"/>
      <c r="L128" s="1080"/>
      <c r="M128" s="1080"/>
      <c r="N128" s="1080"/>
      <c r="O128" s="1080"/>
      <c r="P128" s="1080"/>
      <c r="Q128" s="1080"/>
      <c r="R128" s="1080"/>
      <c r="S128" s="1080"/>
      <c r="T128" s="1080"/>
      <c r="U128" s="1080"/>
      <c r="V128" s="1080"/>
      <c r="W128" s="1080"/>
      <c r="X128" s="1080"/>
      <c r="Y128" s="1080"/>
      <c r="Z128" s="1080"/>
      <c r="AA128" s="1080"/>
      <c r="AB128" s="1080"/>
      <c r="AC128" s="1080"/>
    </row>
    <row r="129" spans="1:29" ht="12" hidden="1" customHeight="1">
      <c r="A129" s="1275" t="s">
        <v>947</v>
      </c>
      <c r="B129" s="1276" t="s">
        <v>796</v>
      </c>
      <c r="C129" s="1277" t="s">
        <v>803</v>
      </c>
      <c r="D129" s="1278">
        <f t="shared" si="0"/>
        <v>6.2185710131534505E-3</v>
      </c>
      <c r="E129" s="1278">
        <f t="shared" si="1"/>
        <v>5.4015076792294683E-2</v>
      </c>
      <c r="F129" s="1278">
        <f t="shared" si="2"/>
        <v>6.8150767922946836E-3</v>
      </c>
      <c r="G129" s="1278">
        <v>8.8999999999999999E-3</v>
      </c>
      <c r="H129" s="1278">
        <f t="shared" si="3"/>
        <v>5.6953717264485303E-2</v>
      </c>
      <c r="I129" s="1279">
        <f t="shared" si="4"/>
        <v>9.7537172644853055E-3</v>
      </c>
      <c r="J129" s="1080"/>
      <c r="K129" s="1080"/>
      <c r="L129" s="1080"/>
      <c r="M129" s="1080"/>
      <c r="N129" s="1080"/>
      <c r="O129" s="1080"/>
      <c r="P129" s="1080"/>
      <c r="Q129" s="1080"/>
      <c r="R129" s="1080"/>
      <c r="S129" s="1080"/>
      <c r="T129" s="1080"/>
      <c r="U129" s="1080"/>
      <c r="V129" s="1080"/>
      <c r="W129" s="1080"/>
      <c r="X129" s="1080"/>
      <c r="Y129" s="1080"/>
      <c r="Z129" s="1080"/>
      <c r="AA129" s="1080"/>
      <c r="AB129" s="1080"/>
      <c r="AC129" s="1080"/>
    </row>
    <row r="130" spans="1:29" ht="12" hidden="1" customHeight="1">
      <c r="A130" s="1275" t="s">
        <v>948</v>
      </c>
      <c r="B130" s="1276" t="s">
        <v>786</v>
      </c>
      <c r="C130" s="1277" t="s">
        <v>815</v>
      </c>
      <c r="D130" s="1278">
        <f t="shared" si="0"/>
        <v>3.1810382490361881E-2</v>
      </c>
      <c r="E130" s="1278">
        <f t="shared" si="1"/>
        <v>8.2061738975968967E-2</v>
      </c>
      <c r="F130" s="1278">
        <f t="shared" si="2"/>
        <v>3.4861738975968962E-2</v>
      </c>
      <c r="G130" s="1278">
        <v>2.7099999999999999E-2</v>
      </c>
      <c r="H130" s="1278">
        <f t="shared" si="3"/>
        <v>7.6899521108713675E-2</v>
      </c>
      <c r="I130" s="1279">
        <f t="shared" si="4"/>
        <v>2.969952110871368E-2</v>
      </c>
      <c r="J130" s="1080"/>
      <c r="K130" s="1080"/>
      <c r="L130" s="1080"/>
      <c r="M130" s="1080"/>
      <c r="N130" s="1080"/>
      <c r="O130" s="1080"/>
      <c r="P130" s="1080"/>
      <c r="Q130" s="1080"/>
      <c r="R130" s="1080"/>
      <c r="S130" s="1080"/>
      <c r="T130" s="1080"/>
      <c r="U130" s="1080"/>
      <c r="V130" s="1080"/>
      <c r="W130" s="1080"/>
      <c r="X130" s="1080"/>
      <c r="Y130" s="1080"/>
      <c r="Z130" s="1080"/>
      <c r="AA130" s="1080"/>
      <c r="AB130" s="1080"/>
      <c r="AC130" s="1080"/>
    </row>
    <row r="131" spans="1:29" ht="12" hidden="1" customHeight="1">
      <c r="A131" s="1275" t="s">
        <v>949</v>
      </c>
      <c r="B131" s="1276" t="s">
        <v>801</v>
      </c>
      <c r="C131" s="1277" t="s">
        <v>815</v>
      </c>
      <c r="D131" s="1278">
        <f t="shared" si="0"/>
        <v>3.1810382490361881E-2</v>
      </c>
      <c r="E131" s="1278">
        <f t="shared" si="1"/>
        <v>8.2061738975968967E-2</v>
      </c>
      <c r="F131" s="1278">
        <f t="shared" si="2"/>
        <v>3.4861738975968962E-2</v>
      </c>
      <c r="G131" s="1278">
        <v>1.38E-2</v>
      </c>
      <c r="H131" s="1278">
        <f t="shared" si="3"/>
        <v>6.2323741376392947E-2</v>
      </c>
      <c r="I131" s="1279">
        <f t="shared" si="4"/>
        <v>1.5123741376392944E-2</v>
      </c>
      <c r="J131" s="1080"/>
      <c r="K131" s="1080"/>
      <c r="L131" s="1080"/>
      <c r="M131" s="1080"/>
      <c r="N131" s="1080"/>
      <c r="O131" s="1080"/>
      <c r="P131" s="1080"/>
      <c r="Q131" s="1080"/>
      <c r="R131" s="1080"/>
      <c r="S131" s="1080"/>
      <c r="T131" s="1080"/>
      <c r="U131" s="1080"/>
      <c r="V131" s="1080"/>
      <c r="W131" s="1080"/>
      <c r="X131" s="1080"/>
      <c r="Y131" s="1080"/>
      <c r="Z131" s="1080"/>
      <c r="AA131" s="1080"/>
      <c r="AB131" s="1080"/>
      <c r="AC131" s="1080"/>
    </row>
    <row r="132" spans="1:29" ht="12" hidden="1" customHeight="1">
      <c r="A132" s="1275" t="s">
        <v>950</v>
      </c>
      <c r="B132" s="1276" t="s">
        <v>796</v>
      </c>
      <c r="C132" s="1277" t="s">
        <v>836</v>
      </c>
      <c r="D132" s="1278">
        <f t="shared" si="0"/>
        <v>1.6822031843274077E-2</v>
      </c>
      <c r="E132" s="1278">
        <f t="shared" si="1"/>
        <v>6.5635656450950999E-2</v>
      </c>
      <c r="F132" s="1278">
        <f t="shared" si="2"/>
        <v>1.8435656450951004E-2</v>
      </c>
      <c r="G132" s="1278" t="s">
        <v>113</v>
      </c>
      <c r="H132" s="1278" t="str">
        <f t="shared" si="3"/>
        <v>NA</v>
      </c>
      <c r="I132" s="1279" t="str">
        <f t="shared" si="4"/>
        <v>NA</v>
      </c>
      <c r="J132" s="1080"/>
      <c r="K132" s="1080"/>
      <c r="L132" s="1080"/>
      <c r="M132" s="1080"/>
      <c r="N132" s="1080"/>
      <c r="O132" s="1080"/>
      <c r="P132" s="1080"/>
      <c r="Q132" s="1080"/>
      <c r="R132" s="1080"/>
      <c r="S132" s="1080"/>
      <c r="T132" s="1080"/>
      <c r="U132" s="1080"/>
      <c r="V132" s="1080"/>
      <c r="W132" s="1080"/>
      <c r="X132" s="1080"/>
      <c r="Y132" s="1080"/>
      <c r="Z132" s="1080"/>
      <c r="AA132" s="1080"/>
      <c r="AB132" s="1080"/>
      <c r="AC132" s="1080"/>
    </row>
    <row r="133" spans="1:29" ht="12" hidden="1" customHeight="1">
      <c r="A133" s="1275" t="s">
        <v>951</v>
      </c>
      <c r="B133" s="1276" t="s">
        <v>832</v>
      </c>
      <c r="C133" s="1277" t="s">
        <v>822</v>
      </c>
      <c r="D133" s="1278">
        <f t="shared" si="0"/>
        <v>0</v>
      </c>
      <c r="E133" s="1278">
        <f t="shared" si="1"/>
        <v>4.7199999999999999E-2</v>
      </c>
      <c r="F133" s="1278">
        <f t="shared" si="2"/>
        <v>0</v>
      </c>
      <c r="G133" s="1278" t="s">
        <v>113</v>
      </c>
      <c r="H133" s="1278" t="str">
        <f t="shared" si="3"/>
        <v>NA</v>
      </c>
      <c r="I133" s="1279" t="str">
        <f t="shared" si="4"/>
        <v>NA</v>
      </c>
      <c r="J133" s="1080"/>
      <c r="K133" s="1080"/>
      <c r="L133" s="1080"/>
      <c r="M133" s="1080"/>
      <c r="N133" s="1080"/>
      <c r="O133" s="1080"/>
      <c r="P133" s="1080"/>
      <c r="Q133" s="1080"/>
      <c r="R133" s="1080"/>
      <c r="S133" s="1080"/>
      <c r="T133" s="1080"/>
      <c r="U133" s="1080"/>
      <c r="V133" s="1080"/>
      <c r="W133" s="1080"/>
      <c r="X133" s="1080"/>
      <c r="Y133" s="1080"/>
      <c r="Z133" s="1080"/>
      <c r="AA133" s="1080"/>
      <c r="AB133" s="1080"/>
      <c r="AC133" s="1080"/>
    </row>
    <row r="134" spans="1:29" ht="12" hidden="1" customHeight="1">
      <c r="A134" s="1275" t="s">
        <v>952</v>
      </c>
      <c r="B134" s="1276" t="s">
        <v>801</v>
      </c>
      <c r="C134" s="1277" t="s">
        <v>807</v>
      </c>
      <c r="D134" s="1278">
        <f t="shared" si="0"/>
        <v>7.4941753235439005E-3</v>
      </c>
      <c r="E134" s="1278">
        <f t="shared" si="1"/>
        <v>5.5413041262508976E-2</v>
      </c>
      <c r="F134" s="1278">
        <f t="shared" si="2"/>
        <v>8.2130412625089771E-3</v>
      </c>
      <c r="G134" s="1278">
        <v>5.6000000000000008E-3</v>
      </c>
      <c r="H134" s="1278">
        <f t="shared" si="3"/>
        <v>5.3337170413608734E-2</v>
      </c>
      <c r="I134" s="1279">
        <f t="shared" si="4"/>
        <v>6.1371704136087323E-3</v>
      </c>
      <c r="J134" s="1080"/>
      <c r="K134" s="1080"/>
      <c r="L134" s="1080"/>
      <c r="M134" s="1080"/>
      <c r="N134" s="1080"/>
      <c r="O134" s="1080"/>
      <c r="P134" s="1080"/>
      <c r="Q134" s="1080"/>
      <c r="R134" s="1080"/>
      <c r="S134" s="1080"/>
      <c r="T134" s="1080"/>
      <c r="U134" s="1080"/>
      <c r="V134" s="1080"/>
      <c r="W134" s="1080"/>
      <c r="X134" s="1080"/>
      <c r="Y134" s="1080"/>
      <c r="Z134" s="1080"/>
      <c r="AA134" s="1080"/>
      <c r="AB134" s="1080"/>
      <c r="AC134" s="1080"/>
    </row>
    <row r="135" spans="1:29" ht="12" hidden="1" customHeight="1">
      <c r="A135" s="1275" t="s">
        <v>953</v>
      </c>
      <c r="B135" s="1276" t="s">
        <v>801</v>
      </c>
      <c r="C135" s="1277" t="s">
        <v>809</v>
      </c>
      <c r="D135" s="1278">
        <f t="shared" si="0"/>
        <v>1.0603460830120627E-2</v>
      </c>
      <c r="E135" s="1278">
        <f t="shared" si="1"/>
        <v>5.8820579658656322E-2</v>
      </c>
      <c r="F135" s="1278">
        <f t="shared" si="2"/>
        <v>1.1620579658656319E-2</v>
      </c>
      <c r="G135" s="1278">
        <v>8.3000000000000001E-3</v>
      </c>
      <c r="H135" s="1278">
        <f t="shared" si="3"/>
        <v>5.6296163291598658E-2</v>
      </c>
      <c r="I135" s="1279">
        <f t="shared" si="4"/>
        <v>9.0961632915986558E-3</v>
      </c>
      <c r="J135" s="1080"/>
      <c r="K135" s="1080"/>
      <c r="L135" s="1080"/>
      <c r="M135" s="1080"/>
      <c r="N135" s="1080"/>
      <c r="O135" s="1080"/>
      <c r="P135" s="1080"/>
      <c r="Q135" s="1080"/>
      <c r="R135" s="1080"/>
      <c r="S135" s="1080"/>
      <c r="T135" s="1080"/>
      <c r="U135" s="1080"/>
      <c r="V135" s="1080"/>
      <c r="W135" s="1080"/>
      <c r="X135" s="1080"/>
      <c r="Y135" s="1080"/>
      <c r="Z135" s="1080"/>
      <c r="AA135" s="1080"/>
      <c r="AB135" s="1080"/>
      <c r="AC135" s="1080"/>
    </row>
    <row r="136" spans="1:29" ht="12" hidden="1" customHeight="1">
      <c r="A136" s="1275" t="s">
        <v>954</v>
      </c>
      <c r="B136" s="1276" t="s">
        <v>832</v>
      </c>
      <c r="C136" s="1277" t="s">
        <v>828</v>
      </c>
      <c r="D136" s="1278">
        <f t="shared" si="0"/>
        <v>5.74819192369697E-2</v>
      </c>
      <c r="E136" s="1278">
        <f t="shared" si="1"/>
        <v>0.1101957739390316</v>
      </c>
      <c r="F136" s="1278">
        <f t="shared" si="2"/>
        <v>6.2995773939031607E-2</v>
      </c>
      <c r="G136" s="1278" t="s">
        <v>113</v>
      </c>
      <c r="H136" s="1278" t="str">
        <f t="shared" si="3"/>
        <v>NA</v>
      </c>
      <c r="I136" s="1279" t="str">
        <f t="shared" si="4"/>
        <v>NA</v>
      </c>
      <c r="J136" s="1080"/>
      <c r="K136" s="1080"/>
      <c r="L136" s="1080"/>
      <c r="M136" s="1080"/>
      <c r="N136" s="1080"/>
      <c r="O136" s="1080"/>
      <c r="P136" s="1080"/>
      <c r="Q136" s="1080"/>
      <c r="R136" s="1080"/>
      <c r="S136" s="1080"/>
      <c r="T136" s="1080"/>
      <c r="U136" s="1080"/>
      <c r="V136" s="1080"/>
      <c r="W136" s="1080"/>
      <c r="X136" s="1080"/>
      <c r="Y136" s="1080"/>
      <c r="Z136" s="1080"/>
      <c r="AA136" s="1080"/>
      <c r="AB136" s="1080"/>
      <c r="AC136" s="1080"/>
    </row>
    <row r="137" spans="1:29" ht="12" hidden="1" customHeight="1">
      <c r="A137" s="1275" t="s">
        <v>955</v>
      </c>
      <c r="B137" s="1276" t="s">
        <v>786</v>
      </c>
      <c r="C137" s="1277" t="s">
        <v>825</v>
      </c>
      <c r="D137" s="1278">
        <f t="shared" si="0"/>
        <v>2.6548514710001261E-2</v>
      </c>
      <c r="E137" s="1278">
        <f t="shared" si="1"/>
        <v>7.629513553633499E-2</v>
      </c>
      <c r="F137" s="1278">
        <f t="shared" si="2"/>
        <v>2.9095135536334988E-2</v>
      </c>
      <c r="G137" s="1278">
        <v>2.7E-2</v>
      </c>
      <c r="H137" s="1278">
        <f t="shared" si="3"/>
        <v>7.6789928779899236E-2</v>
      </c>
      <c r="I137" s="1279">
        <f t="shared" si="4"/>
        <v>2.958992877989924E-2</v>
      </c>
      <c r="J137" s="1080"/>
      <c r="K137" s="1080"/>
      <c r="L137" s="1080"/>
      <c r="M137" s="1080"/>
      <c r="N137" s="1080"/>
      <c r="O137" s="1080"/>
      <c r="P137" s="1080"/>
      <c r="Q137" s="1080"/>
      <c r="R137" s="1080"/>
      <c r="S137" s="1080"/>
      <c r="T137" s="1080"/>
      <c r="U137" s="1080"/>
      <c r="V137" s="1080"/>
      <c r="W137" s="1080"/>
      <c r="X137" s="1080"/>
      <c r="Y137" s="1080"/>
      <c r="Z137" s="1080"/>
      <c r="AA137" s="1080"/>
      <c r="AB137" s="1080"/>
      <c r="AC137" s="1080"/>
    </row>
    <row r="138" spans="1:29" ht="12" hidden="1" customHeight="1">
      <c r="A138" s="1275" t="s">
        <v>956</v>
      </c>
      <c r="B138" s="1276" t="s">
        <v>805</v>
      </c>
      <c r="C138" s="1277" t="s">
        <v>818</v>
      </c>
      <c r="D138" s="1278">
        <f t="shared" si="0"/>
        <v>1.4111372683694367E-2</v>
      </c>
      <c r="E138" s="1278">
        <f t="shared" si="1"/>
        <v>6.2664981951745621E-2</v>
      </c>
      <c r="F138" s="1278">
        <f t="shared" si="2"/>
        <v>1.5464981951745628E-2</v>
      </c>
      <c r="G138" s="1278">
        <v>4.8999999999999998E-3</v>
      </c>
      <c r="H138" s="1278">
        <f t="shared" si="3"/>
        <v>5.2570024111907636E-2</v>
      </c>
      <c r="I138" s="1279">
        <f t="shared" si="4"/>
        <v>5.3700241119076396E-3</v>
      </c>
      <c r="J138" s="1080"/>
      <c r="K138" s="1080"/>
      <c r="L138" s="1080"/>
      <c r="M138" s="1080"/>
      <c r="N138" s="1080"/>
      <c r="O138" s="1080"/>
      <c r="P138" s="1080"/>
      <c r="Q138" s="1080"/>
      <c r="R138" s="1080"/>
      <c r="S138" s="1080"/>
      <c r="T138" s="1080"/>
      <c r="U138" s="1080"/>
      <c r="V138" s="1080"/>
      <c r="W138" s="1080"/>
      <c r="X138" s="1080"/>
      <c r="Y138" s="1080"/>
      <c r="Z138" s="1080"/>
      <c r="AA138" s="1080"/>
      <c r="AB138" s="1080"/>
      <c r="AC138" s="1080"/>
    </row>
    <row r="139" spans="1:29" ht="12" hidden="1" customHeight="1">
      <c r="A139" s="1275" t="s">
        <v>957</v>
      </c>
      <c r="B139" s="1276" t="s">
        <v>832</v>
      </c>
      <c r="C139" s="1277" t="s">
        <v>806</v>
      </c>
      <c r="D139" s="1278">
        <f t="shared" si="0"/>
        <v>6.6251698870904069E-2</v>
      </c>
      <c r="E139" s="1278">
        <f t="shared" si="1"/>
        <v>0.1198067796717549</v>
      </c>
      <c r="F139" s="1278">
        <f t="shared" si="2"/>
        <v>7.2606779671754898E-2</v>
      </c>
      <c r="G139" s="1278" t="s">
        <v>113</v>
      </c>
      <c r="H139" s="1278" t="str">
        <f t="shared" si="3"/>
        <v>NA</v>
      </c>
      <c r="I139" s="1279" t="str">
        <f t="shared" si="4"/>
        <v>NA</v>
      </c>
      <c r="J139" s="1080"/>
      <c r="K139" s="1080"/>
      <c r="L139" s="1080"/>
      <c r="M139" s="1080"/>
      <c r="N139" s="1080"/>
      <c r="O139" s="1080"/>
      <c r="P139" s="1080"/>
      <c r="Q139" s="1080"/>
      <c r="R139" s="1080"/>
      <c r="S139" s="1080"/>
      <c r="T139" s="1080"/>
      <c r="U139" s="1080"/>
      <c r="V139" s="1080"/>
      <c r="W139" s="1080"/>
      <c r="X139" s="1080"/>
      <c r="Y139" s="1080"/>
      <c r="Z139" s="1080"/>
      <c r="AA139" s="1080"/>
      <c r="AB139" s="1080"/>
      <c r="AC139" s="1080"/>
    </row>
    <row r="140" spans="1:29" ht="12" hidden="1" customHeight="1">
      <c r="A140" s="1275" t="s">
        <v>958</v>
      </c>
      <c r="B140" s="1276" t="s">
        <v>817</v>
      </c>
      <c r="C140" s="1277" t="s">
        <v>839</v>
      </c>
      <c r="D140" s="1278">
        <f t="shared" si="0"/>
        <v>1.9452965733454383E-2</v>
      </c>
      <c r="E140" s="1278">
        <f t="shared" si="1"/>
        <v>6.8518958170767988E-2</v>
      </c>
      <c r="F140" s="1278">
        <f t="shared" si="2"/>
        <v>2.1318958170767986E-2</v>
      </c>
      <c r="G140" s="1278" t="s">
        <v>113</v>
      </c>
      <c r="H140" s="1278" t="str">
        <f t="shared" si="3"/>
        <v>NA</v>
      </c>
      <c r="I140" s="1279" t="str">
        <f t="shared" si="4"/>
        <v>NA</v>
      </c>
      <c r="J140" s="1080"/>
      <c r="K140" s="1080"/>
      <c r="L140" s="1080"/>
      <c r="M140" s="1080"/>
      <c r="N140" s="1080"/>
      <c r="O140" s="1080"/>
      <c r="P140" s="1080"/>
      <c r="Q140" s="1080"/>
      <c r="R140" s="1080"/>
      <c r="S140" s="1080"/>
      <c r="T140" s="1080"/>
      <c r="U140" s="1080"/>
      <c r="V140" s="1080"/>
      <c r="W140" s="1080"/>
      <c r="X140" s="1080"/>
      <c r="Y140" s="1080"/>
      <c r="Z140" s="1080"/>
      <c r="AA140" s="1080"/>
      <c r="AB140" s="1080"/>
      <c r="AC140" s="1080"/>
    </row>
    <row r="141" spans="1:29" ht="12" hidden="1" customHeight="1">
      <c r="A141" s="1275" t="s">
        <v>959</v>
      </c>
      <c r="B141" s="1276" t="s">
        <v>817</v>
      </c>
      <c r="C141" s="1277" t="s">
        <v>828</v>
      </c>
      <c r="D141" s="1278">
        <f t="shared" si="0"/>
        <v>5.74819192369697E-2</v>
      </c>
      <c r="E141" s="1278">
        <f t="shared" si="1"/>
        <v>0.1101957739390316</v>
      </c>
      <c r="F141" s="1278">
        <f t="shared" si="2"/>
        <v>6.2995773939031607E-2</v>
      </c>
      <c r="G141" s="1278" t="s">
        <v>113</v>
      </c>
      <c r="H141" s="1278" t="str">
        <f t="shared" si="3"/>
        <v>NA</v>
      </c>
      <c r="I141" s="1279" t="str">
        <f t="shared" si="4"/>
        <v>NA</v>
      </c>
      <c r="J141" s="1080"/>
      <c r="K141" s="1080"/>
      <c r="L141" s="1080"/>
      <c r="M141" s="1080"/>
      <c r="N141" s="1080"/>
      <c r="O141" s="1080"/>
      <c r="P141" s="1080"/>
      <c r="Q141" s="1080"/>
      <c r="R141" s="1080"/>
      <c r="S141" s="1080"/>
      <c r="T141" s="1080"/>
      <c r="U141" s="1080"/>
      <c r="V141" s="1080"/>
      <c r="W141" s="1080"/>
      <c r="X141" s="1080"/>
      <c r="Y141" s="1080"/>
      <c r="Z141" s="1080"/>
      <c r="AA141" s="1080"/>
      <c r="AB141" s="1080"/>
      <c r="AC141" s="1080"/>
    </row>
    <row r="142" spans="1:29" ht="12" hidden="1" customHeight="1">
      <c r="A142" s="1275" t="s">
        <v>960</v>
      </c>
      <c r="B142" s="1276" t="s">
        <v>811</v>
      </c>
      <c r="C142" s="1277" t="s">
        <v>838</v>
      </c>
      <c r="D142" s="1278">
        <f t="shared" si="0"/>
        <v>8.8335598494538758E-2</v>
      </c>
      <c r="E142" s="1278">
        <f t="shared" si="1"/>
        <v>0.14400903956233987</v>
      </c>
      <c r="F142" s="1278">
        <f t="shared" si="2"/>
        <v>9.6809039562339869E-2</v>
      </c>
      <c r="G142" s="1278" t="s">
        <v>113</v>
      </c>
      <c r="H142" s="1278" t="str">
        <f t="shared" si="3"/>
        <v>NA</v>
      </c>
      <c r="I142" s="1279" t="str">
        <f t="shared" si="4"/>
        <v>NA</v>
      </c>
      <c r="J142" s="1080"/>
      <c r="K142" s="1080"/>
      <c r="L142" s="1080"/>
      <c r="M142" s="1080"/>
      <c r="N142" s="1080"/>
      <c r="O142" s="1080"/>
      <c r="P142" s="1080"/>
      <c r="Q142" s="1080"/>
      <c r="R142" s="1080"/>
      <c r="S142" s="1080"/>
      <c r="T142" s="1080"/>
      <c r="U142" s="1080"/>
      <c r="V142" s="1080"/>
      <c r="W142" s="1080"/>
      <c r="X142" s="1080"/>
      <c r="Y142" s="1080"/>
      <c r="Z142" s="1080"/>
      <c r="AA142" s="1080"/>
      <c r="AB142" s="1080"/>
      <c r="AC142" s="1080"/>
    </row>
    <row r="143" spans="1:29" ht="12" hidden="1" customHeight="1">
      <c r="A143" s="1275" t="s">
        <v>961</v>
      </c>
      <c r="B143" s="1276" t="s">
        <v>786</v>
      </c>
      <c r="C143" s="1277" t="s">
        <v>828</v>
      </c>
      <c r="D143" s="1278">
        <f t="shared" si="0"/>
        <v>5.74819192369697E-2</v>
      </c>
      <c r="E143" s="1278">
        <f t="shared" si="1"/>
        <v>0.1101957739390316</v>
      </c>
      <c r="F143" s="1278">
        <f t="shared" si="2"/>
        <v>6.2995773939031607E-2</v>
      </c>
      <c r="G143" s="1278" t="s">
        <v>113</v>
      </c>
      <c r="H143" s="1278" t="str">
        <f t="shared" si="3"/>
        <v>NA</v>
      </c>
      <c r="I143" s="1279" t="str">
        <f t="shared" si="4"/>
        <v>NA</v>
      </c>
      <c r="J143" s="1080"/>
      <c r="K143" s="1080"/>
      <c r="L143" s="1080"/>
      <c r="M143" s="1080"/>
      <c r="N143" s="1080"/>
      <c r="O143" s="1080"/>
      <c r="P143" s="1080"/>
      <c r="Q143" s="1080"/>
      <c r="R143" s="1080"/>
      <c r="S143" s="1080"/>
      <c r="T143" s="1080"/>
      <c r="U143" s="1080"/>
      <c r="V143" s="1080"/>
      <c r="W143" s="1080"/>
      <c r="X143" s="1080"/>
      <c r="Y143" s="1080"/>
      <c r="Z143" s="1080"/>
      <c r="AA143" s="1080"/>
      <c r="AB143" s="1080"/>
      <c r="AC143" s="1080"/>
    </row>
    <row r="144" spans="1:29" ht="12" hidden="1" customHeight="1">
      <c r="A144" s="1275" t="s">
        <v>962</v>
      </c>
      <c r="B144" s="1276" t="s">
        <v>805</v>
      </c>
      <c r="C144" s="1277" t="s">
        <v>822</v>
      </c>
      <c r="D144" s="1278">
        <f t="shared" si="0"/>
        <v>0</v>
      </c>
      <c r="E144" s="1278">
        <f t="shared" si="1"/>
        <v>4.7199999999999999E-2</v>
      </c>
      <c r="F144" s="1278">
        <f t="shared" si="2"/>
        <v>0</v>
      </c>
      <c r="G144" s="1278">
        <v>0</v>
      </c>
      <c r="H144" s="1278">
        <f t="shared" si="3"/>
        <v>4.7199999999999999E-2</v>
      </c>
      <c r="I144" s="1279">
        <f t="shared" si="4"/>
        <v>0</v>
      </c>
      <c r="J144" s="1080"/>
      <c r="K144" s="1080"/>
      <c r="L144" s="1080"/>
      <c r="M144" s="1080"/>
      <c r="N144" s="1080"/>
      <c r="O144" s="1080"/>
      <c r="P144" s="1080"/>
      <c r="Q144" s="1080"/>
      <c r="R144" s="1080"/>
      <c r="S144" s="1080"/>
      <c r="T144" s="1080"/>
      <c r="U144" s="1080"/>
      <c r="V144" s="1080"/>
      <c r="W144" s="1080"/>
      <c r="X144" s="1080"/>
      <c r="Y144" s="1080"/>
      <c r="Z144" s="1080"/>
      <c r="AA144" s="1080"/>
      <c r="AB144" s="1080"/>
      <c r="AC144" s="1080"/>
    </row>
    <row r="145" spans="1:29" ht="12" hidden="1" customHeight="1">
      <c r="A145" s="1275" t="s">
        <v>963</v>
      </c>
      <c r="B145" s="1276" t="s">
        <v>805</v>
      </c>
      <c r="C145" s="1277" t="s">
        <v>822</v>
      </c>
      <c r="D145" s="1278">
        <f t="shared" si="0"/>
        <v>0</v>
      </c>
      <c r="E145" s="1278">
        <f t="shared" si="1"/>
        <v>4.7199999999999999E-2</v>
      </c>
      <c r="F145" s="1278">
        <f t="shared" si="2"/>
        <v>0</v>
      </c>
      <c r="G145" s="1278">
        <v>0</v>
      </c>
      <c r="H145" s="1278">
        <f t="shared" si="3"/>
        <v>4.7199999999999999E-2</v>
      </c>
      <c r="I145" s="1279">
        <f t="shared" si="4"/>
        <v>0</v>
      </c>
      <c r="J145" s="1080"/>
      <c r="K145" s="1080"/>
      <c r="L145" s="1080"/>
      <c r="M145" s="1080"/>
      <c r="N145" s="1080"/>
      <c r="O145" s="1080"/>
      <c r="P145" s="1080"/>
      <c r="Q145" s="1080"/>
      <c r="R145" s="1080"/>
      <c r="S145" s="1080"/>
      <c r="T145" s="1080"/>
      <c r="U145" s="1080"/>
      <c r="V145" s="1080"/>
      <c r="W145" s="1080"/>
      <c r="X145" s="1080"/>
      <c r="Y145" s="1080"/>
      <c r="Z145" s="1080"/>
      <c r="AA145" s="1080"/>
      <c r="AB145" s="1080"/>
      <c r="AC145" s="1080"/>
    </row>
    <row r="146" spans="1:29" ht="12" hidden="1" customHeight="1">
      <c r="A146" s="1275" t="s">
        <v>964</v>
      </c>
      <c r="B146" s="1276" t="s">
        <v>832</v>
      </c>
      <c r="C146" s="1277" t="s">
        <v>819</v>
      </c>
      <c r="D146" s="1278">
        <f t="shared" si="0"/>
        <v>5.3415930497600151E-3</v>
      </c>
      <c r="E146" s="1278">
        <f t="shared" si="1"/>
        <v>5.3053976219022358E-2</v>
      </c>
      <c r="F146" s="1278">
        <f t="shared" si="2"/>
        <v>5.8539762190223561E-3</v>
      </c>
      <c r="G146" s="1278" t="s">
        <v>113</v>
      </c>
      <c r="H146" s="1278" t="str">
        <f t="shared" si="3"/>
        <v>NA</v>
      </c>
      <c r="I146" s="1279" t="str">
        <f t="shared" si="4"/>
        <v>NA</v>
      </c>
      <c r="J146" s="1080"/>
      <c r="K146" s="1080"/>
      <c r="L146" s="1080"/>
      <c r="M146" s="1080"/>
      <c r="N146" s="1080"/>
      <c r="O146" s="1080"/>
      <c r="P146" s="1080"/>
      <c r="Q146" s="1080"/>
      <c r="R146" s="1080"/>
      <c r="S146" s="1080"/>
      <c r="T146" s="1080"/>
      <c r="U146" s="1080"/>
      <c r="V146" s="1080"/>
      <c r="W146" s="1080"/>
      <c r="X146" s="1080"/>
      <c r="Y146" s="1080"/>
      <c r="Z146" s="1080"/>
      <c r="AA146" s="1080"/>
      <c r="AB146" s="1080"/>
      <c r="AC146" s="1080"/>
    </row>
    <row r="147" spans="1:29" ht="12" hidden="1" customHeight="1">
      <c r="A147" s="1275" t="s">
        <v>965</v>
      </c>
      <c r="B147" s="1276" t="s">
        <v>801</v>
      </c>
      <c r="C147" s="1277" t="s">
        <v>828</v>
      </c>
      <c r="D147" s="1278">
        <f t="shared" si="0"/>
        <v>5.74819192369697E-2</v>
      </c>
      <c r="E147" s="1278">
        <f t="shared" si="1"/>
        <v>0.1101957739390316</v>
      </c>
      <c r="F147" s="1278">
        <f t="shared" si="2"/>
        <v>6.2995773939031607E-2</v>
      </c>
      <c r="G147" s="1278" t="s">
        <v>113</v>
      </c>
      <c r="H147" s="1278" t="str">
        <f t="shared" si="3"/>
        <v>NA</v>
      </c>
      <c r="I147" s="1279" t="str">
        <f t="shared" si="4"/>
        <v>NA</v>
      </c>
      <c r="J147" s="1080"/>
      <c r="K147" s="1080"/>
      <c r="L147" s="1080"/>
      <c r="M147" s="1080"/>
      <c r="N147" s="1080"/>
      <c r="O147" s="1080"/>
      <c r="P147" s="1080"/>
      <c r="Q147" s="1080"/>
      <c r="R147" s="1080"/>
      <c r="S147" s="1080"/>
      <c r="T147" s="1080"/>
      <c r="U147" s="1080"/>
      <c r="V147" s="1080"/>
      <c r="W147" s="1080"/>
      <c r="X147" s="1080"/>
      <c r="Y147" s="1080"/>
      <c r="Z147" s="1080"/>
      <c r="AA147" s="1080"/>
      <c r="AB147" s="1080"/>
      <c r="AC147" s="1080"/>
    </row>
    <row r="148" spans="1:29" ht="12" hidden="1" customHeight="1">
      <c r="A148" s="1275" t="s">
        <v>966</v>
      </c>
      <c r="B148" s="1276" t="s">
        <v>786</v>
      </c>
      <c r="C148" s="1277" t="s">
        <v>826</v>
      </c>
      <c r="D148" s="1278">
        <f t="shared" si="0"/>
        <v>4.8632414333635951E-2</v>
      </c>
      <c r="E148" s="1278">
        <f t="shared" si="1"/>
        <v>0.10049739542691996</v>
      </c>
      <c r="F148" s="1278">
        <f t="shared" si="2"/>
        <v>5.3297395426919955E-2</v>
      </c>
      <c r="G148" s="1278" t="s">
        <v>113</v>
      </c>
      <c r="H148" s="1278" t="str">
        <f t="shared" si="3"/>
        <v>NA</v>
      </c>
      <c r="I148" s="1279" t="str">
        <f t="shared" si="4"/>
        <v>NA</v>
      </c>
      <c r="J148" s="1080"/>
      <c r="K148" s="1080"/>
      <c r="L148" s="1080"/>
      <c r="M148" s="1080"/>
      <c r="N148" s="1080"/>
      <c r="O148" s="1080"/>
      <c r="P148" s="1080"/>
      <c r="Q148" s="1080"/>
      <c r="R148" s="1080"/>
      <c r="S148" s="1080"/>
      <c r="T148" s="1080"/>
      <c r="U148" s="1080"/>
      <c r="V148" s="1080"/>
      <c r="W148" s="1080"/>
      <c r="X148" s="1080"/>
      <c r="Y148" s="1080"/>
      <c r="Z148" s="1080"/>
      <c r="AA148" s="1080"/>
      <c r="AB148" s="1080"/>
      <c r="AC148" s="1080"/>
    </row>
    <row r="149" spans="1:29" ht="12" hidden="1" customHeight="1">
      <c r="A149" s="1275" t="s">
        <v>967</v>
      </c>
      <c r="B149" s="1276" t="s">
        <v>832</v>
      </c>
      <c r="C149" s="1277" t="s">
        <v>818</v>
      </c>
      <c r="D149" s="1278">
        <f t="shared" si="0"/>
        <v>1.4111372683694367E-2</v>
      </c>
      <c r="E149" s="1278">
        <f t="shared" si="1"/>
        <v>6.2664981951745621E-2</v>
      </c>
      <c r="F149" s="1278">
        <f t="shared" si="2"/>
        <v>1.5464981951745628E-2</v>
      </c>
      <c r="G149" s="1278">
        <v>3.8999999999999998E-3</v>
      </c>
      <c r="H149" s="1278">
        <f t="shared" si="3"/>
        <v>5.1474100823763219E-2</v>
      </c>
      <c r="I149" s="1279">
        <f t="shared" si="4"/>
        <v>4.2741008237632237E-3</v>
      </c>
      <c r="J149" s="1080"/>
      <c r="K149" s="1080"/>
      <c r="L149" s="1080"/>
      <c r="M149" s="1080"/>
      <c r="N149" s="1080"/>
      <c r="O149" s="1080"/>
      <c r="P149" s="1080"/>
      <c r="Q149" s="1080"/>
      <c r="R149" s="1080"/>
      <c r="S149" s="1080"/>
      <c r="T149" s="1080"/>
      <c r="U149" s="1080"/>
      <c r="V149" s="1080"/>
      <c r="W149" s="1080"/>
      <c r="X149" s="1080"/>
      <c r="Y149" s="1080"/>
      <c r="Z149" s="1080"/>
      <c r="AA149" s="1080"/>
      <c r="AB149" s="1080"/>
      <c r="AC149" s="1080"/>
    </row>
    <row r="150" spans="1:29" ht="12" hidden="1" customHeight="1">
      <c r="A150" s="1275" t="s">
        <v>968</v>
      </c>
      <c r="B150" s="1276" t="s">
        <v>786</v>
      </c>
      <c r="C150" s="1277" t="s">
        <v>828</v>
      </c>
      <c r="D150" s="1278">
        <f t="shared" si="0"/>
        <v>5.74819192369697E-2</v>
      </c>
      <c r="E150" s="1278">
        <f t="shared" si="1"/>
        <v>0.1101957739390316</v>
      </c>
      <c r="F150" s="1278">
        <f t="shared" si="2"/>
        <v>6.2995773939031607E-2</v>
      </c>
      <c r="G150" s="1278" t="s">
        <v>113</v>
      </c>
      <c r="H150" s="1278" t="str">
        <f t="shared" si="3"/>
        <v>NA</v>
      </c>
      <c r="I150" s="1279" t="str">
        <f t="shared" si="4"/>
        <v>NA</v>
      </c>
      <c r="J150" s="1080"/>
      <c r="K150" s="1080"/>
      <c r="L150" s="1080"/>
      <c r="M150" s="1080"/>
      <c r="N150" s="1080"/>
      <c r="O150" s="1080"/>
      <c r="P150" s="1080"/>
      <c r="Q150" s="1080"/>
      <c r="R150" s="1080"/>
      <c r="S150" s="1080"/>
      <c r="T150" s="1080"/>
      <c r="U150" s="1080"/>
      <c r="V150" s="1080"/>
      <c r="W150" s="1080"/>
      <c r="X150" s="1080"/>
      <c r="Y150" s="1080"/>
      <c r="Z150" s="1080"/>
      <c r="AA150" s="1080"/>
      <c r="AB150" s="1080"/>
      <c r="AC150" s="1080"/>
    </row>
    <row r="151" spans="1:29" ht="12" hidden="1" customHeight="1">
      <c r="A151" s="1275" t="s">
        <v>969</v>
      </c>
      <c r="B151" s="1276" t="s">
        <v>817</v>
      </c>
      <c r="C151" s="1277" t="s">
        <v>830</v>
      </c>
      <c r="D151" s="1278">
        <f t="shared" si="0"/>
        <v>2.208389962363469E-2</v>
      </c>
      <c r="E151" s="1278">
        <f t="shared" si="1"/>
        <v>7.1402259890584963E-2</v>
      </c>
      <c r="F151" s="1278">
        <f t="shared" si="2"/>
        <v>2.4202259890584967E-2</v>
      </c>
      <c r="G151" s="1278" t="s">
        <v>113</v>
      </c>
      <c r="H151" s="1278" t="str">
        <f t="shared" si="3"/>
        <v>NA</v>
      </c>
      <c r="I151" s="1279" t="str">
        <f t="shared" si="4"/>
        <v>NA</v>
      </c>
      <c r="J151" s="1080"/>
      <c r="K151" s="1080"/>
      <c r="L151" s="1080"/>
      <c r="M151" s="1080"/>
      <c r="N151" s="1080"/>
      <c r="O151" s="1080"/>
      <c r="P151" s="1080"/>
      <c r="Q151" s="1080"/>
      <c r="R151" s="1080"/>
      <c r="S151" s="1080"/>
      <c r="T151" s="1080"/>
      <c r="U151" s="1080"/>
      <c r="V151" s="1080"/>
      <c r="W151" s="1080"/>
      <c r="X151" s="1080"/>
      <c r="Y151" s="1080"/>
      <c r="Z151" s="1080"/>
      <c r="AA151" s="1080"/>
      <c r="AB151" s="1080"/>
      <c r="AC151" s="1080"/>
    </row>
    <row r="152" spans="1:29" ht="12" hidden="1" customHeight="1">
      <c r="A152" s="1275" t="s">
        <v>970</v>
      </c>
      <c r="B152" s="1276" t="s">
        <v>786</v>
      </c>
      <c r="C152" s="1277" t="s">
        <v>826</v>
      </c>
      <c r="D152" s="1278">
        <f t="shared" si="0"/>
        <v>4.8632414333635951E-2</v>
      </c>
      <c r="E152" s="1278">
        <f t="shared" si="1"/>
        <v>0.10049739542691996</v>
      </c>
      <c r="F152" s="1278">
        <f t="shared" si="2"/>
        <v>5.3297395426919955E-2</v>
      </c>
      <c r="G152" s="1278">
        <v>4.6200000000000005E-2</v>
      </c>
      <c r="H152" s="1278">
        <f t="shared" si="3"/>
        <v>9.7831655912272039E-2</v>
      </c>
      <c r="I152" s="1279">
        <f t="shared" si="4"/>
        <v>5.063165591227204E-2</v>
      </c>
      <c r="J152" s="1080"/>
      <c r="K152" s="1080"/>
      <c r="L152" s="1080"/>
      <c r="M152" s="1080"/>
      <c r="N152" s="1080"/>
      <c r="O152" s="1080"/>
      <c r="P152" s="1080"/>
      <c r="Q152" s="1080"/>
      <c r="R152" s="1080"/>
      <c r="S152" s="1080"/>
      <c r="T152" s="1080"/>
      <c r="U152" s="1080"/>
      <c r="V152" s="1080"/>
      <c r="W152" s="1080"/>
      <c r="X152" s="1080"/>
      <c r="Y152" s="1080"/>
      <c r="Z152" s="1080"/>
      <c r="AA152" s="1080"/>
      <c r="AB152" s="1080"/>
      <c r="AC152" s="1080"/>
    </row>
    <row r="153" spans="1:29" ht="12" hidden="1" customHeight="1">
      <c r="A153" s="1275" t="s">
        <v>971</v>
      </c>
      <c r="B153" s="1276" t="s">
        <v>805</v>
      </c>
      <c r="C153" s="1277" t="s">
        <v>826</v>
      </c>
      <c r="D153" s="1278">
        <f t="shared" si="0"/>
        <v>4.8632414333635951E-2</v>
      </c>
      <c r="E153" s="1278">
        <f t="shared" si="1"/>
        <v>0.10049739542691996</v>
      </c>
      <c r="F153" s="1278">
        <f t="shared" si="2"/>
        <v>5.3297395426919955E-2</v>
      </c>
      <c r="G153" s="1278">
        <v>3.0799999999999998E-2</v>
      </c>
      <c r="H153" s="1278">
        <f t="shared" si="3"/>
        <v>8.0954437274848023E-2</v>
      </c>
      <c r="I153" s="1279">
        <f t="shared" si="4"/>
        <v>3.3754437274848018E-2</v>
      </c>
      <c r="J153" s="1080"/>
      <c r="K153" s="1080"/>
      <c r="L153" s="1080"/>
      <c r="M153" s="1080"/>
      <c r="N153" s="1080"/>
      <c r="O153" s="1080"/>
      <c r="P153" s="1080"/>
      <c r="Q153" s="1080"/>
      <c r="R153" s="1080"/>
      <c r="S153" s="1080"/>
      <c r="T153" s="1080"/>
      <c r="U153" s="1080"/>
      <c r="V153" s="1080"/>
      <c r="W153" s="1080"/>
      <c r="X153" s="1080"/>
      <c r="Y153" s="1080"/>
      <c r="Z153" s="1080"/>
      <c r="AA153" s="1080"/>
      <c r="AB153" s="1080"/>
      <c r="AC153" s="1080"/>
    </row>
    <row r="154" spans="1:29" ht="12" hidden="1" customHeight="1">
      <c r="A154" s="1275" t="s">
        <v>972</v>
      </c>
      <c r="B154" s="1276" t="s">
        <v>817</v>
      </c>
      <c r="C154" s="1277" t="s">
        <v>818</v>
      </c>
      <c r="D154" s="1278">
        <f t="shared" si="0"/>
        <v>1.4111372683694367E-2</v>
      </c>
      <c r="E154" s="1278">
        <f t="shared" si="1"/>
        <v>6.2664981951745621E-2</v>
      </c>
      <c r="F154" s="1278">
        <f t="shared" si="2"/>
        <v>1.5464981951745628E-2</v>
      </c>
      <c r="G154" s="1278" t="s">
        <v>113</v>
      </c>
      <c r="H154" s="1278" t="str">
        <f t="shared" si="3"/>
        <v>NA</v>
      </c>
      <c r="I154" s="1279" t="str">
        <f t="shared" si="4"/>
        <v>NA</v>
      </c>
      <c r="J154" s="1080"/>
      <c r="K154" s="1080"/>
      <c r="L154" s="1080"/>
      <c r="M154" s="1080"/>
      <c r="N154" s="1080"/>
      <c r="O154" s="1080"/>
      <c r="P154" s="1080"/>
      <c r="Q154" s="1080"/>
      <c r="R154" s="1080"/>
      <c r="S154" s="1080"/>
      <c r="T154" s="1080"/>
      <c r="U154" s="1080"/>
      <c r="V154" s="1080"/>
      <c r="W154" s="1080"/>
      <c r="X154" s="1080"/>
      <c r="Y154" s="1080"/>
      <c r="Z154" s="1080"/>
      <c r="AA154" s="1080"/>
      <c r="AB154" s="1080"/>
      <c r="AC154" s="1080"/>
    </row>
    <row r="155" spans="1:29" ht="12" hidden="1" customHeight="1">
      <c r="A155" s="1275" t="s">
        <v>973</v>
      </c>
      <c r="B155" s="1276" t="s">
        <v>786</v>
      </c>
      <c r="C155" s="1277" t="s">
        <v>826</v>
      </c>
      <c r="D155" s="1278">
        <f t="shared" si="0"/>
        <v>4.8632414333635951E-2</v>
      </c>
      <c r="E155" s="1278">
        <f t="shared" si="1"/>
        <v>0.10049739542691996</v>
      </c>
      <c r="F155" s="1278">
        <f t="shared" si="2"/>
        <v>5.3297395426919955E-2</v>
      </c>
      <c r="G155" s="1278" t="s">
        <v>113</v>
      </c>
      <c r="H155" s="1278" t="str">
        <f t="shared" si="3"/>
        <v>NA</v>
      </c>
      <c r="I155" s="1279" t="str">
        <f t="shared" si="4"/>
        <v>NA</v>
      </c>
      <c r="J155" s="1080"/>
      <c r="K155" s="1080"/>
      <c r="L155" s="1080"/>
      <c r="M155" s="1080"/>
      <c r="N155" s="1080"/>
      <c r="O155" s="1080"/>
      <c r="P155" s="1080"/>
      <c r="Q155" s="1080"/>
      <c r="R155" s="1080"/>
      <c r="S155" s="1080"/>
      <c r="T155" s="1080"/>
      <c r="U155" s="1080"/>
      <c r="V155" s="1080"/>
      <c r="W155" s="1080"/>
      <c r="X155" s="1080"/>
      <c r="Y155" s="1080"/>
      <c r="Z155" s="1080"/>
      <c r="AA155" s="1080"/>
      <c r="AB155" s="1080"/>
      <c r="AC155" s="1080"/>
    </row>
    <row r="156" spans="1:29" ht="12" hidden="1" customHeight="1">
      <c r="A156" s="1275" t="s">
        <v>974</v>
      </c>
      <c r="B156" s="1276" t="s">
        <v>801</v>
      </c>
      <c r="C156" s="1277" t="s">
        <v>828</v>
      </c>
      <c r="D156" s="1278">
        <f t="shared" si="0"/>
        <v>5.74819192369697E-2</v>
      </c>
      <c r="E156" s="1278">
        <f t="shared" si="1"/>
        <v>0.1101957739390316</v>
      </c>
      <c r="F156" s="1278">
        <f t="shared" si="2"/>
        <v>6.2995773939031607E-2</v>
      </c>
      <c r="G156" s="1278">
        <v>3.9499999999999993E-2</v>
      </c>
      <c r="H156" s="1278">
        <f t="shared" si="3"/>
        <v>9.0488969881704434E-2</v>
      </c>
      <c r="I156" s="1279">
        <f t="shared" si="4"/>
        <v>4.3288969881704435E-2</v>
      </c>
      <c r="J156" s="1080"/>
      <c r="K156" s="1080"/>
      <c r="L156" s="1080"/>
      <c r="M156" s="1080"/>
      <c r="N156" s="1080"/>
      <c r="O156" s="1080"/>
      <c r="P156" s="1080"/>
      <c r="Q156" s="1080"/>
      <c r="R156" s="1080"/>
      <c r="S156" s="1080"/>
      <c r="T156" s="1080"/>
      <c r="U156" s="1080"/>
      <c r="V156" s="1080"/>
      <c r="W156" s="1080"/>
      <c r="X156" s="1080"/>
      <c r="Y156" s="1080"/>
      <c r="Z156" s="1080"/>
      <c r="AA156" s="1080"/>
      <c r="AB156" s="1080"/>
      <c r="AC156" s="1080"/>
    </row>
    <row r="157" spans="1:29" ht="12" hidden="1" customHeight="1">
      <c r="A157" s="1275" t="s">
        <v>975</v>
      </c>
      <c r="B157" s="1276" t="s">
        <v>796</v>
      </c>
      <c r="C157" s="1277" t="s">
        <v>797</v>
      </c>
      <c r="D157" s="1278">
        <f t="shared" si="0"/>
        <v>4.3848898169671765E-3</v>
      </c>
      <c r="E157" s="1278">
        <f t="shared" si="1"/>
        <v>5.2005502866361637E-2</v>
      </c>
      <c r="F157" s="1278">
        <f t="shared" si="2"/>
        <v>4.8055028663616358E-3</v>
      </c>
      <c r="G157" s="1278" t="s">
        <v>113</v>
      </c>
      <c r="H157" s="1278" t="str">
        <f t="shared" si="3"/>
        <v>NA</v>
      </c>
      <c r="I157" s="1279" t="str">
        <f t="shared" si="4"/>
        <v>NA</v>
      </c>
      <c r="J157" s="1080"/>
      <c r="K157" s="1080"/>
      <c r="L157" s="1080"/>
      <c r="M157" s="1080"/>
      <c r="N157" s="1080"/>
      <c r="O157" s="1080"/>
      <c r="P157" s="1080"/>
      <c r="Q157" s="1080"/>
      <c r="R157" s="1080"/>
      <c r="S157" s="1080"/>
      <c r="T157" s="1080"/>
      <c r="U157" s="1080"/>
      <c r="V157" s="1080"/>
      <c r="W157" s="1080"/>
      <c r="X157" s="1080"/>
      <c r="Y157" s="1080"/>
      <c r="Z157" s="1080"/>
      <c r="AA157" s="1080"/>
      <c r="AB157" s="1080"/>
      <c r="AC157" s="1080"/>
    </row>
    <row r="158" spans="1:29" ht="12" hidden="1" customHeight="1">
      <c r="A158" s="1275" t="s">
        <v>976</v>
      </c>
      <c r="B158" s="1276" t="s">
        <v>805</v>
      </c>
      <c r="C158" s="1277" t="s">
        <v>819</v>
      </c>
      <c r="D158" s="1278">
        <f t="shared" si="0"/>
        <v>5.3415930497600151E-3</v>
      </c>
      <c r="E158" s="1278">
        <f t="shared" si="1"/>
        <v>5.3053976219022358E-2</v>
      </c>
      <c r="F158" s="1278">
        <f t="shared" si="2"/>
        <v>5.8539762190223561E-3</v>
      </c>
      <c r="G158" s="1278">
        <v>7.000000000000001E-4</v>
      </c>
      <c r="H158" s="1278">
        <f t="shared" si="3"/>
        <v>4.796714630170109E-2</v>
      </c>
      <c r="I158" s="1279">
        <f t="shared" si="4"/>
        <v>7.6714630170109154E-4</v>
      </c>
      <c r="J158" s="1080"/>
      <c r="K158" s="1080"/>
      <c r="L158" s="1080"/>
      <c r="M158" s="1080"/>
      <c r="N158" s="1080"/>
      <c r="O158" s="1080"/>
      <c r="P158" s="1080"/>
      <c r="Q158" s="1080"/>
      <c r="R158" s="1080"/>
      <c r="S158" s="1080"/>
      <c r="T158" s="1080"/>
      <c r="U158" s="1080"/>
      <c r="V158" s="1080"/>
      <c r="W158" s="1080"/>
      <c r="X158" s="1080"/>
      <c r="Y158" s="1080"/>
      <c r="Z158" s="1080"/>
      <c r="AA158" s="1080"/>
      <c r="AB158" s="1080"/>
      <c r="AC158" s="1080"/>
    </row>
    <row r="159" spans="1:29" ht="12" customHeight="1">
      <c r="A159" s="1275" t="s">
        <v>977</v>
      </c>
      <c r="B159" s="1276" t="s">
        <v>852</v>
      </c>
      <c r="C159" s="1277" t="s">
        <v>822</v>
      </c>
      <c r="D159" s="1278">
        <f t="shared" si="0"/>
        <v>0</v>
      </c>
      <c r="E159" s="1278">
        <f t="shared" si="1"/>
        <v>4.7199999999999999E-2</v>
      </c>
      <c r="F159" s="1278">
        <f t="shared" si="2"/>
        <v>0</v>
      </c>
      <c r="G159" s="1278">
        <v>0</v>
      </c>
      <c r="H159" s="1278">
        <f t="shared" si="3"/>
        <v>4.7199999999999999E-2</v>
      </c>
      <c r="I159" s="1279">
        <f t="shared" si="4"/>
        <v>0</v>
      </c>
      <c r="J159" s="1080"/>
      <c r="K159" s="1080"/>
      <c r="L159" s="1080"/>
      <c r="M159" s="1080"/>
      <c r="N159" s="1080"/>
      <c r="O159" s="1080"/>
      <c r="P159" s="1080"/>
      <c r="Q159" s="1080"/>
      <c r="R159" s="1080"/>
      <c r="S159" s="1080"/>
      <c r="T159" s="1080"/>
      <c r="U159" s="1080"/>
      <c r="V159" s="1080"/>
      <c r="W159" s="1080"/>
      <c r="X159" s="1080"/>
      <c r="Y159" s="1080"/>
      <c r="Z159" s="1080"/>
      <c r="AA159" s="1080"/>
      <c r="AB159" s="1080"/>
      <c r="AC159" s="1080"/>
    </row>
    <row r="160" spans="1:29" ht="12" hidden="1" customHeight="1">
      <c r="A160" s="1283" t="s">
        <v>978</v>
      </c>
      <c r="B160" s="1284" t="s">
        <v>811</v>
      </c>
      <c r="C160" s="1285" t="s">
        <v>836</v>
      </c>
      <c r="D160" s="1278">
        <f t="shared" si="0"/>
        <v>1.6822031843274077E-2</v>
      </c>
      <c r="E160" s="1286">
        <f t="shared" si="1"/>
        <v>6.5635656450950999E-2</v>
      </c>
      <c r="F160" s="1286">
        <f t="shared" si="2"/>
        <v>1.8435656450951004E-2</v>
      </c>
      <c r="G160" s="1286">
        <v>1.04E-2</v>
      </c>
      <c r="H160" s="1286">
        <f t="shared" si="3"/>
        <v>5.8597602196701931E-2</v>
      </c>
      <c r="I160" s="1287">
        <f t="shared" si="4"/>
        <v>1.1397602196701929E-2</v>
      </c>
      <c r="J160" s="1080"/>
      <c r="K160" s="1080"/>
      <c r="L160" s="1080"/>
      <c r="M160" s="1080"/>
      <c r="N160" s="1080"/>
      <c r="O160" s="1080"/>
      <c r="P160" s="1080"/>
      <c r="Q160" s="1080"/>
      <c r="R160" s="1080"/>
      <c r="S160" s="1080"/>
      <c r="T160" s="1080"/>
      <c r="U160" s="1080"/>
      <c r="V160" s="1080"/>
      <c r="W160" s="1080"/>
      <c r="X160" s="1080"/>
      <c r="Y160" s="1080"/>
      <c r="Z160" s="1080"/>
      <c r="AA160" s="1080"/>
      <c r="AB160" s="1080"/>
      <c r="AC160" s="1080"/>
    </row>
    <row r="161" spans="1:29" ht="12" customHeight="1">
      <c r="A161" s="1288" t="s">
        <v>979</v>
      </c>
      <c r="B161" s="1276" t="s">
        <v>801</v>
      </c>
      <c r="C161" s="1277" t="s">
        <v>802</v>
      </c>
      <c r="D161" s="1278">
        <f t="shared" si="0"/>
        <v>3.9782909430302202E-2</v>
      </c>
      <c r="E161" s="1278">
        <f t="shared" si="1"/>
        <v>9.0799016914808295E-2</v>
      </c>
      <c r="F161" s="1278">
        <f t="shared" si="2"/>
        <v>4.3599016914808296E-2</v>
      </c>
      <c r="G161" s="1278" t="s">
        <v>113</v>
      </c>
      <c r="H161" s="1278" t="str">
        <f t="shared" si="3"/>
        <v>NA</v>
      </c>
      <c r="I161" s="1278" t="str">
        <f t="shared" si="4"/>
        <v>NA</v>
      </c>
      <c r="J161" s="1080"/>
      <c r="K161" s="1080"/>
      <c r="L161" s="1080"/>
      <c r="M161" s="1080"/>
      <c r="N161" s="1080"/>
      <c r="O161" s="1080"/>
      <c r="P161" s="1080"/>
      <c r="Q161" s="1080"/>
      <c r="R161" s="1080"/>
      <c r="S161" s="1080"/>
      <c r="T161" s="1080"/>
      <c r="U161" s="1080"/>
      <c r="V161" s="1080"/>
      <c r="W161" s="1080"/>
      <c r="X161" s="1080"/>
      <c r="Y161" s="1080"/>
      <c r="Z161" s="1080"/>
      <c r="AA161" s="1080"/>
      <c r="AB161" s="1080"/>
      <c r="AC161" s="1080"/>
    </row>
    <row r="162" spans="1:29" ht="12" customHeight="1">
      <c r="A162" s="1288" t="s">
        <v>980</v>
      </c>
      <c r="B162" s="1276" t="s">
        <v>811</v>
      </c>
      <c r="C162" s="1277" t="s">
        <v>38</v>
      </c>
      <c r="D162" s="1278">
        <f t="shared" si="0"/>
        <v>0.17499999999999999</v>
      </c>
      <c r="E162" s="1278">
        <f t="shared" si="1"/>
        <v>0.23898657542527282</v>
      </c>
      <c r="F162" s="1278">
        <f t="shared" si="2"/>
        <v>0.19178657542527283</v>
      </c>
      <c r="G162" s="1278" t="s">
        <v>113</v>
      </c>
      <c r="H162" s="1278" t="str">
        <f t="shared" si="3"/>
        <v>NA</v>
      </c>
      <c r="I162" s="1278" t="str">
        <f t="shared" si="4"/>
        <v>NA</v>
      </c>
      <c r="J162" s="1080"/>
      <c r="K162" s="1080"/>
      <c r="L162" s="1080"/>
      <c r="M162" s="1080"/>
      <c r="N162" s="1080"/>
      <c r="O162" s="1080"/>
      <c r="P162" s="1080"/>
      <c r="Q162" s="1080"/>
      <c r="R162" s="1080"/>
      <c r="S162" s="1080"/>
      <c r="T162" s="1080"/>
      <c r="U162" s="1080"/>
      <c r="V162" s="1080"/>
      <c r="W162" s="1080"/>
      <c r="X162" s="1080"/>
      <c r="Y162" s="1080"/>
      <c r="Z162" s="1080"/>
      <c r="AA162" s="1080"/>
      <c r="AB162" s="1080"/>
      <c r="AC162" s="1080"/>
    </row>
    <row r="163" spans="1:29" ht="12" customHeight="1">
      <c r="A163" s="1288" t="s">
        <v>981</v>
      </c>
      <c r="B163" s="1276" t="s">
        <v>832</v>
      </c>
      <c r="C163" s="1277" t="s">
        <v>815</v>
      </c>
      <c r="D163" s="1278">
        <f t="shared" si="0"/>
        <v>3.1810382490361881E-2</v>
      </c>
      <c r="E163" s="1278">
        <f t="shared" si="1"/>
        <v>8.2061738975968967E-2</v>
      </c>
      <c r="F163" s="1278">
        <f t="shared" si="2"/>
        <v>3.4861738975968962E-2</v>
      </c>
      <c r="G163" s="1278">
        <v>1.26E-2</v>
      </c>
      <c r="H163" s="1278">
        <f t="shared" si="3"/>
        <v>6.1008633430619644E-2</v>
      </c>
      <c r="I163" s="1278">
        <f t="shared" si="4"/>
        <v>1.3808633430619645E-2</v>
      </c>
      <c r="J163" s="1080"/>
      <c r="K163" s="1080"/>
      <c r="L163" s="1080"/>
      <c r="M163" s="1080"/>
      <c r="N163" s="1080"/>
      <c r="O163" s="1080"/>
      <c r="P163" s="1080"/>
      <c r="Q163" s="1080"/>
      <c r="R163" s="1080"/>
      <c r="S163" s="1080"/>
      <c r="T163" s="1080"/>
      <c r="U163" s="1080"/>
      <c r="V163" s="1080"/>
      <c r="W163" s="1080"/>
      <c r="X163" s="1080"/>
      <c r="Y163" s="1080"/>
      <c r="Z163" s="1080"/>
      <c r="AA163" s="1080"/>
      <c r="AB163" s="1080"/>
      <c r="AC163" s="1080"/>
    </row>
    <row r="164" spans="1:29" ht="12" customHeight="1">
      <c r="A164" s="1288" t="s">
        <v>982</v>
      </c>
      <c r="B164" s="1276" t="s">
        <v>786</v>
      </c>
      <c r="C164" s="1277" t="s">
        <v>812</v>
      </c>
      <c r="D164" s="1278">
        <f t="shared" si="0"/>
        <v>0.10603460830120626</v>
      </c>
      <c r="E164" s="1278">
        <f t="shared" si="1"/>
        <v>0.16340579658656318</v>
      </c>
      <c r="F164" s="1278">
        <f t="shared" si="2"/>
        <v>0.11620579658656319</v>
      </c>
      <c r="G164" s="1278" t="s">
        <v>113</v>
      </c>
      <c r="H164" s="1278" t="str">
        <f t="shared" si="3"/>
        <v>NA</v>
      </c>
      <c r="I164" s="1278" t="str">
        <f t="shared" si="4"/>
        <v>NA</v>
      </c>
      <c r="J164" s="1080"/>
      <c r="K164" s="1080"/>
      <c r="L164" s="1080"/>
      <c r="M164" s="1080"/>
      <c r="N164" s="1080"/>
      <c r="O164" s="1080"/>
      <c r="P164" s="1080"/>
      <c r="Q164" s="1080"/>
      <c r="R164" s="1080"/>
      <c r="S164" s="1080"/>
      <c r="T164" s="1080"/>
      <c r="U164" s="1080"/>
      <c r="V164" s="1080"/>
      <c r="W164" s="1080"/>
      <c r="X164" s="1080"/>
      <c r="Y164" s="1080"/>
      <c r="Z164" s="1080"/>
      <c r="AA164" s="1080"/>
      <c r="AB164" s="1080"/>
      <c r="AC164" s="1080"/>
    </row>
    <row r="165" spans="1:29" ht="12" customHeight="1">
      <c r="A165" s="1480" t="s">
        <v>983</v>
      </c>
      <c r="B165" s="1334"/>
      <c r="C165" s="1334"/>
      <c r="D165" s="1334"/>
      <c r="E165" s="1334"/>
      <c r="F165" s="1289"/>
      <c r="G165" s="1289"/>
      <c r="H165" s="1289"/>
      <c r="I165" s="1289"/>
      <c r="J165" s="1080"/>
      <c r="K165" s="1080"/>
      <c r="L165" s="1080"/>
      <c r="M165" s="1080"/>
      <c r="N165" s="1080"/>
      <c r="O165" s="1080"/>
      <c r="P165" s="1080"/>
      <c r="Q165" s="1080"/>
      <c r="R165" s="1080"/>
      <c r="S165" s="1080"/>
      <c r="T165" s="1080"/>
      <c r="U165" s="1080"/>
      <c r="V165" s="1080"/>
      <c r="W165" s="1080"/>
      <c r="X165" s="1080"/>
      <c r="Y165" s="1080"/>
      <c r="Z165" s="1080"/>
      <c r="AA165" s="1080"/>
      <c r="AB165" s="1080"/>
      <c r="AC165" s="1080"/>
    </row>
    <row r="166" spans="1:29" ht="12" customHeight="1">
      <c r="A166" s="1268" t="s">
        <v>785</v>
      </c>
      <c r="B166" s="1268" t="s">
        <v>984</v>
      </c>
      <c r="C166" s="1290" t="s">
        <v>738</v>
      </c>
      <c r="D166" s="1290" t="s">
        <v>985</v>
      </c>
      <c r="E166" s="1290" t="s">
        <v>986</v>
      </c>
      <c r="F166" s="1291"/>
      <c r="G166" s="1291"/>
      <c r="H166" s="1291"/>
      <c r="I166" s="1291"/>
      <c r="J166" s="1080"/>
      <c r="K166" s="1080"/>
      <c r="L166" s="1290"/>
      <c r="M166" s="1290"/>
      <c r="N166" s="1290"/>
      <c r="O166" s="1290"/>
      <c r="P166" s="1290"/>
      <c r="Q166" s="1290"/>
      <c r="R166" s="1290"/>
      <c r="S166" s="1290"/>
      <c r="T166" s="1290"/>
      <c r="U166" s="1290"/>
      <c r="V166" s="1290"/>
      <c r="W166" s="1290"/>
      <c r="X166" s="1290"/>
      <c r="Y166" s="1290"/>
      <c r="Z166" s="1290"/>
      <c r="AA166" s="1290"/>
      <c r="AB166" s="1290"/>
      <c r="AC166" s="1290"/>
    </row>
    <row r="167" spans="1:29" ht="12" customHeight="1">
      <c r="A167" s="990" t="s">
        <v>987</v>
      </c>
      <c r="B167" s="100">
        <v>57.25</v>
      </c>
      <c r="C167" s="103">
        <v>0.1343980338296166</v>
      </c>
      <c r="D167" s="103">
        <v>8.7198033829616606E-2</v>
      </c>
      <c r="E167" s="103">
        <v>7.9565818860604418E-2</v>
      </c>
      <c r="F167" s="1289"/>
      <c r="G167" s="1289"/>
      <c r="H167" s="1289"/>
      <c r="I167" s="1080"/>
      <c r="J167" s="1290"/>
      <c r="K167" s="1290"/>
      <c r="L167" s="1080"/>
      <c r="M167" s="1080"/>
      <c r="N167" s="1080"/>
      <c r="O167" s="1080"/>
      <c r="P167" s="1080"/>
      <c r="Q167" s="1080"/>
      <c r="R167" s="1080"/>
      <c r="S167" s="1080"/>
      <c r="T167" s="1080"/>
      <c r="U167" s="1080"/>
      <c r="V167" s="1080"/>
      <c r="W167" s="1080"/>
      <c r="X167" s="1080"/>
      <c r="Y167" s="1080"/>
      <c r="Z167" s="1080"/>
      <c r="AA167" s="1080"/>
      <c r="AB167" s="1080"/>
      <c r="AC167" s="1080"/>
    </row>
    <row r="168" spans="1:29" ht="12" customHeight="1">
      <c r="A168" s="990" t="s">
        <v>988</v>
      </c>
      <c r="B168" s="100">
        <v>80</v>
      </c>
      <c r="C168" s="103">
        <v>5.5413041262508976E-2</v>
      </c>
      <c r="D168" s="103">
        <v>8.2130412625089771E-3</v>
      </c>
      <c r="E168" s="103">
        <v>7.4941753235439014E-3</v>
      </c>
      <c r="F168" s="1289"/>
      <c r="G168" s="1289"/>
      <c r="H168" s="1289"/>
      <c r="I168" s="1080"/>
      <c r="J168" s="1080"/>
      <c r="K168" s="1080"/>
      <c r="L168" s="1080"/>
      <c r="M168" s="1080"/>
      <c r="N168" s="1080"/>
      <c r="O168" s="1080"/>
      <c r="P168" s="1080"/>
      <c r="Q168" s="1080"/>
      <c r="R168" s="1080"/>
      <c r="S168" s="1080"/>
      <c r="T168" s="1080"/>
      <c r="U168" s="1080"/>
      <c r="V168" s="1080"/>
      <c r="W168" s="1080"/>
      <c r="X168" s="1080"/>
      <c r="Y168" s="1080"/>
      <c r="Z168" s="1080"/>
      <c r="AA168" s="1080"/>
      <c r="AB168" s="1080"/>
      <c r="AC168" s="1080"/>
    </row>
    <row r="169" spans="1:29" ht="12" customHeight="1">
      <c r="A169" s="990" t="s">
        <v>989</v>
      </c>
      <c r="B169" s="100">
        <v>63.75</v>
      </c>
      <c r="C169" s="103">
        <v>0.1101957739390316</v>
      </c>
      <c r="D169" s="103">
        <v>6.2995773939031607E-2</v>
      </c>
      <c r="E169" s="103">
        <v>5.7481919236969693E-2</v>
      </c>
      <c r="F169" s="1289"/>
      <c r="G169" s="1289"/>
      <c r="H169" s="1289"/>
      <c r="I169" s="1080"/>
      <c r="J169" s="1080"/>
      <c r="K169" s="1080"/>
      <c r="L169" s="1080"/>
      <c r="M169" s="1080"/>
      <c r="N169" s="1080"/>
      <c r="O169" s="1080"/>
      <c r="P169" s="1080"/>
      <c r="Q169" s="1080"/>
      <c r="R169" s="1080"/>
      <c r="S169" s="1080"/>
      <c r="T169" s="1080"/>
      <c r="U169" s="1080"/>
      <c r="V169" s="1080"/>
      <c r="W169" s="1080"/>
      <c r="X169" s="1080"/>
      <c r="Y169" s="1080"/>
      <c r="Z169" s="1080"/>
      <c r="AA169" s="1080"/>
      <c r="AB169" s="1080"/>
      <c r="AC169" s="1080"/>
    </row>
    <row r="170" spans="1:29" ht="12" customHeight="1">
      <c r="A170" s="990" t="s">
        <v>990</v>
      </c>
      <c r="B170" s="100">
        <v>53.5</v>
      </c>
      <c r="C170" s="103">
        <v>0.16340579658656318</v>
      </c>
      <c r="D170" s="103">
        <v>0.11620579658656319</v>
      </c>
      <c r="E170" s="103">
        <v>0.10603460830120626</v>
      </c>
      <c r="F170" s="1289"/>
      <c r="G170" s="1289"/>
      <c r="H170" s="1289"/>
      <c r="I170" s="1080"/>
      <c r="J170" s="1080"/>
      <c r="K170" s="1080"/>
      <c r="L170" s="1080"/>
      <c r="M170" s="1080"/>
      <c r="N170" s="1080"/>
      <c r="O170" s="1080"/>
      <c r="P170" s="1080"/>
      <c r="Q170" s="1080"/>
      <c r="R170" s="1080"/>
      <c r="S170" s="1080"/>
      <c r="T170" s="1080"/>
      <c r="U170" s="1080"/>
      <c r="V170" s="1080"/>
      <c r="W170" s="1080"/>
      <c r="X170" s="1080"/>
      <c r="Y170" s="1080"/>
      <c r="Z170" s="1080"/>
      <c r="AA170" s="1080"/>
      <c r="AB170" s="1080"/>
      <c r="AC170" s="1080"/>
    </row>
    <row r="171" spans="1:29" ht="12" customHeight="1">
      <c r="A171" s="990" t="s">
        <v>991</v>
      </c>
      <c r="B171" s="100">
        <v>62</v>
      </c>
      <c r="C171" s="103">
        <v>0.1198067796717549</v>
      </c>
      <c r="D171" s="103">
        <v>7.2606779671754912E-2</v>
      </c>
      <c r="E171" s="103">
        <v>6.6251698870904083E-2</v>
      </c>
      <c r="F171" s="1289"/>
      <c r="G171" s="1289"/>
      <c r="H171" s="1289"/>
      <c r="I171" s="1080"/>
      <c r="J171" s="1080"/>
      <c r="K171" s="1080"/>
      <c r="L171" s="1080"/>
      <c r="M171" s="1080"/>
      <c r="N171" s="1080"/>
      <c r="O171" s="1080"/>
      <c r="P171" s="1080"/>
      <c r="Q171" s="1080"/>
      <c r="R171" s="1080"/>
      <c r="S171" s="1080"/>
      <c r="T171" s="1080"/>
      <c r="U171" s="1080"/>
      <c r="V171" s="1080"/>
      <c r="W171" s="1080"/>
      <c r="X171" s="1080"/>
      <c r="Y171" s="1080"/>
      <c r="Z171" s="1080"/>
      <c r="AA171" s="1080"/>
      <c r="AB171" s="1080"/>
      <c r="AC171" s="1080"/>
    </row>
    <row r="172" spans="1:29" ht="12" customHeight="1">
      <c r="A172" s="990" t="s">
        <v>992</v>
      </c>
      <c r="B172" s="100">
        <v>65.75</v>
      </c>
      <c r="C172" s="103">
        <v>0.10049739542691996</v>
      </c>
      <c r="D172" s="103">
        <v>5.3297395426919962E-2</v>
      </c>
      <c r="E172" s="103">
        <v>4.8632414333635958E-2</v>
      </c>
      <c r="F172" s="1289"/>
      <c r="G172" s="1289"/>
      <c r="H172" s="1289"/>
      <c r="I172" s="1080"/>
      <c r="J172" s="1080"/>
      <c r="K172" s="1080"/>
      <c r="L172" s="1080"/>
      <c r="M172" s="1080"/>
      <c r="N172" s="1080"/>
      <c r="O172" s="1080"/>
      <c r="P172" s="1080"/>
      <c r="Q172" s="1080"/>
      <c r="R172" s="1080"/>
      <c r="S172" s="1080"/>
      <c r="T172" s="1080"/>
      <c r="U172" s="1080"/>
      <c r="V172" s="1080"/>
      <c r="W172" s="1080"/>
      <c r="X172" s="1080"/>
      <c r="Y172" s="1080"/>
      <c r="Z172" s="1080"/>
      <c r="AA172" s="1080"/>
      <c r="AB172" s="1080"/>
      <c r="AC172" s="1080"/>
    </row>
    <row r="173" spans="1:29" ht="12" customHeight="1">
      <c r="A173" s="990" t="s">
        <v>993</v>
      </c>
      <c r="B173" s="100">
        <v>52.75</v>
      </c>
      <c r="C173" s="103">
        <v>0.16340579658656318</v>
      </c>
      <c r="D173" s="103">
        <v>0.11620579658656319</v>
      </c>
      <c r="E173" s="103">
        <v>0.10603460830120626</v>
      </c>
      <c r="F173" s="1289"/>
      <c r="G173" s="1289"/>
      <c r="H173" s="1289"/>
      <c r="I173" s="1080"/>
      <c r="J173" s="1080"/>
      <c r="K173" s="1080"/>
      <c r="L173" s="1080"/>
      <c r="M173" s="1080"/>
      <c r="N173" s="1080"/>
      <c r="O173" s="1080"/>
      <c r="P173" s="1080"/>
      <c r="Q173" s="1080"/>
      <c r="R173" s="1080"/>
      <c r="S173" s="1080"/>
      <c r="T173" s="1080"/>
      <c r="U173" s="1080"/>
      <c r="V173" s="1080"/>
      <c r="W173" s="1080"/>
      <c r="X173" s="1080"/>
      <c r="Y173" s="1080"/>
      <c r="Z173" s="1080"/>
      <c r="AA173" s="1080"/>
      <c r="AB173" s="1080"/>
      <c r="AC173" s="1080"/>
    </row>
    <row r="174" spans="1:29" ht="12" customHeight="1">
      <c r="A174" s="990" t="s">
        <v>994</v>
      </c>
      <c r="B174" s="100">
        <v>59.25</v>
      </c>
      <c r="C174" s="103">
        <v>0.1343980338296166</v>
      </c>
      <c r="D174" s="103">
        <v>8.7198033829616606E-2</v>
      </c>
      <c r="E174" s="103">
        <v>7.9565818860604418E-2</v>
      </c>
      <c r="F174" s="1289"/>
      <c r="G174" s="1289"/>
      <c r="H174" s="1289"/>
      <c r="I174" s="1080"/>
      <c r="J174" s="1080"/>
      <c r="K174" s="1080"/>
      <c r="L174" s="1080"/>
      <c r="M174" s="1080"/>
      <c r="N174" s="1080"/>
      <c r="O174" s="1080"/>
      <c r="P174" s="1080"/>
      <c r="Q174" s="1080"/>
      <c r="R174" s="1080"/>
      <c r="S174" s="1080"/>
      <c r="T174" s="1080"/>
      <c r="U174" s="1080"/>
      <c r="V174" s="1080"/>
      <c r="W174" s="1080"/>
      <c r="X174" s="1080"/>
      <c r="Y174" s="1080"/>
      <c r="Z174" s="1080"/>
      <c r="AA174" s="1080"/>
      <c r="AB174" s="1080"/>
      <c r="AC174" s="1080"/>
    </row>
    <row r="175" spans="1:29" ht="12" customHeight="1">
      <c r="A175" s="990" t="s">
        <v>995</v>
      </c>
      <c r="B175" s="100">
        <v>50.75</v>
      </c>
      <c r="C175" s="103">
        <v>0.16340579658656318</v>
      </c>
      <c r="D175" s="103">
        <v>0.11620579658656319</v>
      </c>
      <c r="E175" s="103">
        <v>0.10603460830120626</v>
      </c>
      <c r="F175" s="1289"/>
      <c r="G175" s="1289"/>
      <c r="H175" s="1289"/>
      <c r="I175" s="1080"/>
      <c r="J175" s="1080"/>
      <c r="K175" s="1080"/>
      <c r="L175" s="1080"/>
      <c r="M175" s="1080"/>
      <c r="N175" s="1080"/>
      <c r="O175" s="1080"/>
      <c r="P175" s="1080"/>
      <c r="Q175" s="1080"/>
      <c r="R175" s="1080"/>
      <c r="S175" s="1080"/>
      <c r="T175" s="1080"/>
      <c r="U175" s="1080"/>
      <c r="V175" s="1080"/>
      <c r="W175" s="1080"/>
      <c r="X175" s="1080"/>
      <c r="Y175" s="1080"/>
      <c r="Z175" s="1080"/>
      <c r="AA175" s="1080"/>
      <c r="AB175" s="1080"/>
      <c r="AC175" s="1080"/>
    </row>
    <row r="176" spans="1:29" ht="12" customHeight="1">
      <c r="A176" s="990" t="s">
        <v>996</v>
      </c>
      <c r="B176" s="100">
        <v>53.5</v>
      </c>
      <c r="C176" s="103">
        <v>0.16340579658656318</v>
      </c>
      <c r="D176" s="103">
        <v>0.11620579658656319</v>
      </c>
      <c r="E176" s="103">
        <v>0.10603460830120626</v>
      </c>
      <c r="F176" s="1289"/>
      <c r="G176" s="1289"/>
      <c r="H176" s="1289"/>
      <c r="I176" s="1080"/>
      <c r="J176" s="1080"/>
      <c r="K176" s="1080"/>
      <c r="L176" s="1080"/>
      <c r="M176" s="1080"/>
      <c r="N176" s="1080"/>
      <c r="O176" s="1080"/>
      <c r="P176" s="1080"/>
      <c r="Q176" s="1080"/>
      <c r="R176" s="1080"/>
      <c r="S176" s="1080"/>
      <c r="T176" s="1080"/>
      <c r="U176" s="1080"/>
      <c r="V176" s="1080"/>
      <c r="W176" s="1080"/>
      <c r="X176" s="1080"/>
      <c r="Y176" s="1080"/>
      <c r="Z176" s="1080"/>
      <c r="AA176" s="1080"/>
      <c r="AB176" s="1080"/>
      <c r="AC176" s="1080"/>
    </row>
    <row r="177" spans="1:29" ht="12" customHeight="1">
      <c r="A177" s="990" t="s">
        <v>997</v>
      </c>
      <c r="B177" s="100">
        <v>58.25</v>
      </c>
      <c r="C177" s="103">
        <v>0.1343980338296166</v>
      </c>
      <c r="D177" s="103">
        <v>8.7198033829616606E-2</v>
      </c>
      <c r="E177" s="103">
        <v>7.9565818860604418E-2</v>
      </c>
      <c r="F177" s="1289"/>
      <c r="G177" s="1289"/>
      <c r="H177" s="1289"/>
      <c r="I177" s="1080"/>
      <c r="J177" s="1080"/>
      <c r="K177" s="1080"/>
      <c r="L177" s="1080"/>
      <c r="M177" s="1080"/>
      <c r="N177" s="1080"/>
      <c r="O177" s="1080"/>
      <c r="P177" s="1080"/>
      <c r="Q177" s="1080"/>
      <c r="R177" s="1080"/>
      <c r="S177" s="1080"/>
      <c r="T177" s="1080"/>
      <c r="U177" s="1080"/>
      <c r="V177" s="1080"/>
      <c r="W177" s="1080"/>
      <c r="X177" s="1080"/>
      <c r="Y177" s="1080"/>
      <c r="Z177" s="1080"/>
      <c r="AA177" s="1080"/>
      <c r="AB177" s="1080"/>
      <c r="AC177" s="1080"/>
    </row>
    <row r="178" spans="1:29" ht="12" customHeight="1">
      <c r="A178" s="990" t="s">
        <v>998</v>
      </c>
      <c r="B178" s="100">
        <v>63.25</v>
      </c>
      <c r="C178" s="103">
        <v>0.1101957739390316</v>
      </c>
      <c r="D178" s="103">
        <v>6.2995773939031607E-2</v>
      </c>
      <c r="E178" s="103">
        <v>5.7481919236969693E-2</v>
      </c>
      <c r="F178" s="1289"/>
      <c r="G178" s="1289"/>
      <c r="H178" s="1289"/>
      <c r="I178" s="1080"/>
      <c r="J178" s="1080"/>
      <c r="K178" s="1080"/>
      <c r="L178" s="1080"/>
      <c r="M178" s="1080"/>
      <c r="N178" s="1080"/>
      <c r="O178" s="1080"/>
      <c r="P178" s="1080"/>
      <c r="Q178" s="1080"/>
      <c r="R178" s="1080"/>
      <c r="S178" s="1080"/>
      <c r="T178" s="1080"/>
      <c r="U178" s="1080"/>
      <c r="V178" s="1080"/>
      <c r="W178" s="1080"/>
      <c r="X178" s="1080"/>
      <c r="Y178" s="1080"/>
      <c r="Z178" s="1080"/>
      <c r="AA178" s="1080"/>
      <c r="AB178" s="1080"/>
      <c r="AC178" s="1080"/>
    </row>
    <row r="179" spans="1:29" ht="12" customHeight="1">
      <c r="A179" s="990" t="s">
        <v>999</v>
      </c>
      <c r="B179" s="100">
        <v>58.75</v>
      </c>
      <c r="C179" s="103">
        <v>0.1343980338296166</v>
      </c>
      <c r="D179" s="103">
        <v>8.7198033829616606E-2</v>
      </c>
      <c r="E179" s="103">
        <v>7.9565818860604418E-2</v>
      </c>
      <c r="F179" s="1289"/>
      <c r="G179" s="1289"/>
      <c r="H179" s="1289"/>
      <c r="I179" s="1080"/>
      <c r="J179" s="1080"/>
      <c r="K179" s="1080"/>
      <c r="L179" s="1080"/>
      <c r="M179" s="1080"/>
      <c r="N179" s="1080"/>
      <c r="O179" s="1080"/>
      <c r="P179" s="1080"/>
      <c r="Q179" s="1080"/>
      <c r="R179" s="1080"/>
      <c r="S179" s="1080"/>
      <c r="T179" s="1080"/>
      <c r="U179" s="1080"/>
      <c r="V179" s="1080"/>
      <c r="W179" s="1080"/>
      <c r="X179" s="1080"/>
      <c r="Y179" s="1080"/>
      <c r="Z179" s="1080"/>
      <c r="AA179" s="1080"/>
      <c r="AB179" s="1080"/>
      <c r="AC179" s="1080"/>
    </row>
    <row r="180" spans="1:29" ht="12" customHeight="1">
      <c r="A180" s="990" t="s">
        <v>1000</v>
      </c>
      <c r="B180" s="100">
        <v>63.75</v>
      </c>
      <c r="C180" s="103">
        <v>0.1101957739390316</v>
      </c>
      <c r="D180" s="103">
        <v>6.2995773939031607E-2</v>
      </c>
      <c r="E180" s="103">
        <v>5.7481919236969693E-2</v>
      </c>
      <c r="F180" s="1289"/>
      <c r="G180" s="1289"/>
      <c r="H180" s="1289"/>
      <c r="I180" s="1080"/>
      <c r="J180" s="1080"/>
      <c r="K180" s="1080"/>
      <c r="L180" s="1080"/>
      <c r="M180" s="1080"/>
      <c r="N180" s="1080"/>
      <c r="O180" s="1080"/>
      <c r="P180" s="1080"/>
      <c r="Q180" s="1080"/>
      <c r="R180" s="1080"/>
      <c r="S180" s="1080"/>
      <c r="T180" s="1080"/>
      <c r="U180" s="1080"/>
      <c r="V180" s="1080"/>
      <c r="W180" s="1080"/>
      <c r="X180" s="1080"/>
      <c r="Y180" s="1080"/>
      <c r="Z180" s="1080"/>
      <c r="AA180" s="1080"/>
      <c r="AB180" s="1080"/>
      <c r="AC180" s="1080"/>
    </row>
    <row r="181" spans="1:29" ht="12" customHeight="1">
      <c r="A181" s="990" t="s">
        <v>1001</v>
      </c>
      <c r="B181" s="100">
        <v>58.75</v>
      </c>
      <c r="C181" s="103">
        <v>0.1343980338296166</v>
      </c>
      <c r="D181" s="103">
        <v>8.7198033829616606E-2</v>
      </c>
      <c r="E181" s="103">
        <v>7.9565818860604418E-2</v>
      </c>
      <c r="F181" s="1289"/>
      <c r="G181" s="1289"/>
      <c r="H181" s="1289"/>
      <c r="I181" s="1080"/>
      <c r="J181" s="1080"/>
      <c r="K181" s="1080"/>
      <c r="L181" s="1080"/>
      <c r="M181" s="1080"/>
      <c r="N181" s="1080"/>
      <c r="O181" s="1080"/>
      <c r="P181" s="1080"/>
      <c r="Q181" s="1080"/>
      <c r="R181" s="1080"/>
      <c r="S181" s="1080"/>
      <c r="T181" s="1080"/>
      <c r="U181" s="1080"/>
      <c r="V181" s="1080"/>
      <c r="W181" s="1080"/>
      <c r="X181" s="1080"/>
      <c r="Y181" s="1080"/>
      <c r="Z181" s="1080"/>
      <c r="AA181" s="1080"/>
      <c r="AB181" s="1080"/>
      <c r="AC181" s="1080"/>
    </row>
    <row r="182" spans="1:29" ht="12" customHeight="1">
      <c r="A182" s="990" t="s">
        <v>1002</v>
      </c>
      <c r="B182" s="100">
        <v>50.5</v>
      </c>
      <c r="C182" s="103">
        <v>0.16340579658656318</v>
      </c>
      <c r="D182" s="103">
        <v>0.11620579658656319</v>
      </c>
      <c r="E182" s="103">
        <v>0.10603460830120626</v>
      </c>
      <c r="F182" s="1289"/>
      <c r="G182" s="1289"/>
      <c r="H182" s="1289"/>
      <c r="I182" s="1080"/>
      <c r="J182" s="1080"/>
      <c r="K182" s="1080"/>
      <c r="L182" s="1080"/>
      <c r="M182" s="1080"/>
      <c r="N182" s="1080"/>
      <c r="O182" s="1080"/>
      <c r="P182" s="1080"/>
      <c r="Q182" s="1080"/>
      <c r="R182" s="1080"/>
      <c r="S182" s="1080"/>
      <c r="T182" s="1080"/>
      <c r="U182" s="1080"/>
      <c r="V182" s="1080"/>
      <c r="W182" s="1080"/>
      <c r="X182" s="1080"/>
      <c r="Y182" s="1080"/>
      <c r="Z182" s="1080"/>
      <c r="AA182" s="1080"/>
      <c r="AB182" s="1080"/>
      <c r="AC182" s="1080"/>
    </row>
    <row r="183" spans="1:29" ht="12" customHeight="1">
      <c r="A183" s="990" t="s">
        <v>1003</v>
      </c>
      <c r="B183" s="100">
        <v>38.25</v>
      </c>
      <c r="C183" s="103">
        <v>0.23898657542527282</v>
      </c>
      <c r="D183" s="103">
        <v>0.19178657542527283</v>
      </c>
      <c r="E183" s="103">
        <v>0.17499999999999999</v>
      </c>
      <c r="F183" s="1289"/>
      <c r="G183" s="1289"/>
      <c r="H183" s="1289"/>
      <c r="I183" s="1080"/>
      <c r="J183" s="1080"/>
      <c r="K183" s="1080"/>
      <c r="L183" s="1080"/>
      <c r="M183" s="1080"/>
      <c r="N183" s="1080"/>
      <c r="O183" s="1080"/>
      <c r="P183" s="1080"/>
      <c r="Q183" s="1080"/>
      <c r="R183" s="1080"/>
      <c r="S183" s="1080"/>
      <c r="T183" s="1080"/>
      <c r="U183" s="1080"/>
      <c r="V183" s="1080"/>
      <c r="W183" s="1080"/>
      <c r="X183" s="1080"/>
      <c r="Y183" s="1080"/>
      <c r="Z183" s="1080"/>
      <c r="AA183" s="1080"/>
      <c r="AB183" s="1080"/>
      <c r="AC183" s="1080"/>
    </row>
    <row r="184" spans="1:29" ht="12" customHeight="1">
      <c r="A184" s="990" t="s">
        <v>1004</v>
      </c>
      <c r="B184" s="100">
        <v>47</v>
      </c>
      <c r="C184" s="103">
        <v>0.23898657542527282</v>
      </c>
      <c r="D184" s="103">
        <v>0.19178657542527283</v>
      </c>
      <c r="E184" s="103">
        <v>0.17499999999999999</v>
      </c>
      <c r="F184" s="1289"/>
      <c r="G184" s="1289"/>
      <c r="H184" s="1289"/>
      <c r="I184" s="1080"/>
      <c r="J184" s="1080"/>
      <c r="K184" s="1080"/>
      <c r="L184" s="1080"/>
      <c r="M184" s="1080"/>
      <c r="N184" s="1080"/>
      <c r="O184" s="1080"/>
      <c r="P184" s="1080"/>
      <c r="Q184" s="1080"/>
      <c r="R184" s="1080"/>
      <c r="S184" s="1080"/>
      <c r="T184" s="1080"/>
      <c r="U184" s="1080"/>
      <c r="V184" s="1080"/>
      <c r="W184" s="1080"/>
      <c r="X184" s="1080"/>
      <c r="Y184" s="1080"/>
      <c r="Z184" s="1080"/>
      <c r="AA184" s="1080"/>
      <c r="AB184" s="1080"/>
      <c r="AC184" s="1080"/>
    </row>
    <row r="185" spans="1:29" ht="12" customHeight="1">
      <c r="A185" s="990" t="s">
        <v>1005</v>
      </c>
      <c r="B185" s="100">
        <v>50</v>
      </c>
      <c r="C185" s="103">
        <v>0.23898657542527282</v>
      </c>
      <c r="D185" s="103">
        <v>0.19178657542527283</v>
      </c>
      <c r="E185" s="103">
        <v>0.17499999999999999</v>
      </c>
      <c r="F185" s="1289"/>
      <c r="G185" s="1289"/>
      <c r="H185" s="1289"/>
      <c r="I185" s="1080"/>
      <c r="J185" s="1080"/>
      <c r="K185" s="1080"/>
      <c r="L185" s="1080"/>
      <c r="M185" s="1080"/>
      <c r="N185" s="1080"/>
      <c r="O185" s="1080"/>
      <c r="P185" s="1080"/>
      <c r="Q185" s="1080"/>
      <c r="R185" s="1080"/>
      <c r="S185" s="1080"/>
      <c r="T185" s="1080"/>
      <c r="U185" s="1080"/>
      <c r="V185" s="1080"/>
      <c r="W185" s="1080"/>
      <c r="X185" s="1080"/>
      <c r="Y185" s="1080"/>
      <c r="Z185" s="1080"/>
      <c r="AA185" s="1080"/>
      <c r="AB185" s="1080"/>
      <c r="AC185" s="1080"/>
    </row>
    <row r="186" spans="1:29" ht="12" customHeight="1">
      <c r="A186" s="990" t="s">
        <v>1006</v>
      </c>
      <c r="B186" s="100">
        <v>52.25</v>
      </c>
      <c r="C186" s="103">
        <v>0.16340579658656318</v>
      </c>
      <c r="D186" s="103">
        <v>0.11620579658656319</v>
      </c>
      <c r="E186" s="103">
        <v>0.10603460830120626</v>
      </c>
      <c r="F186" s="1289"/>
      <c r="G186" s="1289"/>
      <c r="H186" s="1289"/>
      <c r="I186" s="1080"/>
      <c r="J186" s="1080"/>
      <c r="K186" s="1080"/>
      <c r="L186" s="1080"/>
      <c r="M186" s="1080"/>
      <c r="N186" s="1080"/>
      <c r="O186" s="1080"/>
      <c r="P186" s="1080"/>
      <c r="Q186" s="1080"/>
      <c r="R186" s="1080"/>
      <c r="S186" s="1080"/>
      <c r="T186" s="1080"/>
      <c r="U186" s="1080"/>
      <c r="V186" s="1080"/>
      <c r="W186" s="1080"/>
      <c r="X186" s="1080"/>
      <c r="Y186" s="1080"/>
      <c r="Z186" s="1080"/>
      <c r="AA186" s="1080"/>
      <c r="AB186" s="1080"/>
      <c r="AC186" s="1080"/>
    </row>
    <row r="187" spans="1:29" ht="12" customHeight="1">
      <c r="A187" s="234"/>
      <c r="B187" s="1292"/>
      <c r="C187" s="1293"/>
      <c r="D187" s="1294"/>
      <c r="E187" s="1289"/>
      <c r="F187" s="1289"/>
      <c r="G187" s="1289"/>
      <c r="H187" s="1289"/>
      <c r="I187" s="1080"/>
      <c r="J187" s="1080"/>
      <c r="K187" s="1080"/>
      <c r="L187" s="1080"/>
      <c r="M187" s="1080"/>
      <c r="N187" s="1080"/>
      <c r="O187" s="1080"/>
      <c r="P187" s="1080"/>
      <c r="Q187" s="1080"/>
      <c r="R187" s="1080"/>
      <c r="S187" s="1080"/>
      <c r="T187" s="1080"/>
      <c r="U187" s="1080"/>
      <c r="V187" s="1080"/>
      <c r="W187" s="1080"/>
      <c r="X187" s="1080"/>
      <c r="Y187" s="1080"/>
      <c r="Z187" s="1080"/>
      <c r="AA187" s="1080"/>
      <c r="AB187" s="1080"/>
      <c r="AC187" s="1080"/>
    </row>
    <row r="188" spans="1:29" ht="12" customHeight="1">
      <c r="A188" s="1264"/>
      <c r="B188" s="1280" t="s">
        <v>798</v>
      </c>
      <c r="C188" s="1280" t="s">
        <v>799</v>
      </c>
      <c r="D188" s="1080"/>
      <c r="E188" s="1080"/>
      <c r="F188" s="1080"/>
      <c r="G188" s="1080"/>
      <c r="H188" s="1080"/>
      <c r="I188" s="1080"/>
      <c r="J188" s="1080"/>
      <c r="K188" s="1080"/>
      <c r="L188" s="1080"/>
      <c r="M188" s="1080"/>
      <c r="N188" s="1080"/>
      <c r="O188" s="1080"/>
      <c r="P188" s="1080"/>
      <c r="Q188" s="1080"/>
      <c r="R188" s="1080"/>
      <c r="S188" s="1080"/>
      <c r="T188" s="1080"/>
      <c r="U188" s="1080"/>
      <c r="V188" s="1080"/>
      <c r="W188" s="1080"/>
      <c r="X188" s="1080"/>
      <c r="Y188" s="1080"/>
      <c r="Z188" s="1080"/>
      <c r="AA188" s="1080"/>
      <c r="AB188" s="1080"/>
      <c r="AC188" s="1080"/>
    </row>
    <row r="189" spans="1:29" ht="12" customHeight="1">
      <c r="A189" s="1264"/>
      <c r="B189" s="1082" t="s">
        <v>803</v>
      </c>
      <c r="C189" s="1295">
        <v>62.185710131534506</v>
      </c>
      <c r="D189" s="1080"/>
      <c r="E189" s="1080"/>
      <c r="F189" s="1080"/>
      <c r="G189" s="1080"/>
      <c r="H189" s="1080"/>
      <c r="I189" s="1080"/>
      <c r="J189" s="1080"/>
      <c r="K189" s="1080"/>
      <c r="L189" s="1080"/>
      <c r="M189" s="1080"/>
      <c r="N189" s="1080"/>
      <c r="O189" s="1080"/>
      <c r="P189" s="1080"/>
      <c r="Q189" s="1080"/>
      <c r="R189" s="1080"/>
      <c r="S189" s="1080"/>
      <c r="T189" s="1080"/>
      <c r="U189" s="1080"/>
      <c r="V189" s="1080"/>
      <c r="W189" s="1080"/>
      <c r="X189" s="1080"/>
      <c r="Y189" s="1080"/>
      <c r="Z189" s="1080"/>
      <c r="AA189" s="1080"/>
      <c r="AB189" s="1080"/>
      <c r="AC189" s="1080"/>
    </row>
    <row r="190" spans="1:29" ht="12" customHeight="1">
      <c r="A190" s="1264"/>
      <c r="B190" s="1082" t="s">
        <v>807</v>
      </c>
      <c r="C190" s="1295">
        <v>74.941753235439009</v>
      </c>
      <c r="D190" s="1080"/>
      <c r="E190" s="1080"/>
      <c r="F190" s="1080"/>
      <c r="G190" s="1080"/>
      <c r="H190" s="1080"/>
      <c r="I190" s="1080"/>
      <c r="J190" s="1080"/>
      <c r="K190" s="1080"/>
      <c r="L190" s="1080"/>
      <c r="M190" s="1080"/>
      <c r="N190" s="1080"/>
      <c r="O190" s="1080"/>
      <c r="P190" s="1080"/>
      <c r="Q190" s="1080"/>
      <c r="R190" s="1080"/>
      <c r="S190" s="1080"/>
      <c r="T190" s="1080"/>
      <c r="U190" s="1080"/>
      <c r="V190" s="1080"/>
      <c r="W190" s="1080"/>
      <c r="X190" s="1080"/>
      <c r="Y190" s="1080"/>
      <c r="Z190" s="1080"/>
      <c r="AA190" s="1080"/>
      <c r="AB190" s="1080"/>
      <c r="AC190" s="1080"/>
    </row>
    <row r="191" spans="1:29" ht="12" customHeight="1">
      <c r="A191" s="1264"/>
      <c r="B191" s="1082" t="s">
        <v>809</v>
      </c>
      <c r="C191" s="1295">
        <v>106.03460830120628</v>
      </c>
      <c r="D191" s="1080"/>
      <c r="E191" s="1080"/>
      <c r="F191" s="1080"/>
      <c r="G191" s="1080"/>
      <c r="H191" s="1080"/>
      <c r="I191" s="1080"/>
      <c r="J191" s="1080"/>
      <c r="K191" s="1080"/>
      <c r="L191" s="1080"/>
      <c r="M191" s="1080"/>
      <c r="N191" s="1080"/>
      <c r="O191" s="1080"/>
      <c r="P191" s="1080"/>
      <c r="Q191" s="1080"/>
      <c r="R191" s="1080"/>
      <c r="S191" s="1080"/>
      <c r="T191" s="1080"/>
      <c r="U191" s="1080"/>
      <c r="V191" s="1080"/>
      <c r="W191" s="1080"/>
      <c r="X191" s="1080"/>
      <c r="Y191" s="1080"/>
      <c r="Z191" s="1080"/>
      <c r="AA191" s="1080"/>
      <c r="AB191" s="1080"/>
      <c r="AC191" s="1080"/>
    </row>
    <row r="192" spans="1:29" ht="12" customHeight="1">
      <c r="A192" s="1264"/>
      <c r="B192" s="1082" t="s">
        <v>813</v>
      </c>
      <c r="C192" s="1295">
        <v>35.079118535737408</v>
      </c>
      <c r="D192" s="1080"/>
      <c r="E192" s="1080"/>
      <c r="F192" s="1080"/>
      <c r="G192" s="1080"/>
      <c r="H192" s="1080"/>
      <c r="I192" s="1080"/>
      <c r="J192" s="1080"/>
      <c r="K192" s="1080"/>
      <c r="L192" s="1080"/>
      <c r="M192" s="1080"/>
      <c r="N192" s="1080"/>
      <c r="O192" s="1080"/>
      <c r="P192" s="1080"/>
      <c r="Q192" s="1080"/>
      <c r="R192" s="1080"/>
      <c r="S192" s="1080"/>
      <c r="T192" s="1080"/>
      <c r="U192" s="1080"/>
      <c r="V192" s="1080"/>
      <c r="W192" s="1080"/>
      <c r="X192" s="1080"/>
      <c r="Y192" s="1080"/>
      <c r="Z192" s="1080"/>
      <c r="AA192" s="1080"/>
      <c r="AB192" s="1080"/>
      <c r="AC192" s="1080"/>
    </row>
    <row r="193" spans="1:29" ht="12" customHeight="1">
      <c r="A193" s="1264"/>
      <c r="B193" s="1082" t="s">
        <v>797</v>
      </c>
      <c r="C193" s="1295">
        <v>43.848898169671763</v>
      </c>
      <c r="D193" s="1080"/>
      <c r="E193" s="1080"/>
      <c r="F193" s="1080"/>
      <c r="G193" s="1080"/>
      <c r="H193" s="1080"/>
      <c r="I193" s="1080"/>
      <c r="J193" s="1080"/>
      <c r="K193" s="1080"/>
      <c r="L193" s="1080"/>
      <c r="M193" s="1080"/>
      <c r="N193" s="1080"/>
      <c r="O193" s="1080"/>
      <c r="P193" s="1080"/>
      <c r="Q193" s="1080"/>
      <c r="R193" s="1080"/>
      <c r="S193" s="1080"/>
      <c r="T193" s="1080"/>
      <c r="U193" s="1080"/>
      <c r="V193" s="1080"/>
      <c r="W193" s="1080"/>
      <c r="X193" s="1080"/>
      <c r="Y193" s="1080"/>
      <c r="Z193" s="1080"/>
      <c r="AA193" s="1080"/>
      <c r="AB193" s="1080"/>
      <c r="AC193" s="1080"/>
    </row>
    <row r="194" spans="1:29" ht="12" customHeight="1">
      <c r="A194" s="1264"/>
      <c r="B194" s="1082" t="s">
        <v>819</v>
      </c>
      <c r="C194" s="1295">
        <v>53.415930497600151</v>
      </c>
      <c r="D194" s="1080"/>
      <c r="E194" s="1080"/>
      <c r="F194" s="1080"/>
      <c r="G194" s="1080"/>
      <c r="H194" s="1080"/>
      <c r="I194" s="1080"/>
      <c r="J194" s="1080"/>
      <c r="K194" s="1080"/>
      <c r="L194" s="1080"/>
      <c r="M194" s="1080"/>
      <c r="N194" s="1080"/>
      <c r="O194" s="1080"/>
      <c r="P194" s="1080"/>
      <c r="Q194" s="1080"/>
      <c r="R194" s="1080"/>
      <c r="S194" s="1080"/>
      <c r="T194" s="1080"/>
      <c r="U194" s="1080"/>
      <c r="V194" s="1080"/>
      <c r="W194" s="1080"/>
      <c r="X194" s="1080"/>
      <c r="Y194" s="1080"/>
      <c r="Z194" s="1080"/>
      <c r="AA194" s="1080"/>
      <c r="AB194" s="1080"/>
      <c r="AC194" s="1080"/>
    </row>
    <row r="195" spans="1:29" ht="12" customHeight="1">
      <c r="A195" s="1264"/>
      <c r="B195" s="1082" t="s">
        <v>822</v>
      </c>
      <c r="C195" s="1295">
        <v>0</v>
      </c>
      <c r="D195" s="1080"/>
      <c r="E195" s="1080"/>
      <c r="F195" s="1080"/>
      <c r="G195" s="1080"/>
      <c r="H195" s="1080"/>
      <c r="I195" s="1080"/>
      <c r="J195" s="1080"/>
      <c r="K195" s="1080"/>
      <c r="L195" s="1080"/>
      <c r="M195" s="1080"/>
      <c r="N195" s="1080"/>
      <c r="O195" s="1080"/>
      <c r="P195" s="1080"/>
      <c r="Q195" s="1080"/>
      <c r="R195" s="1080"/>
      <c r="S195" s="1080"/>
      <c r="T195" s="1080"/>
      <c r="U195" s="1080"/>
      <c r="V195" s="1080"/>
      <c r="W195" s="1080"/>
      <c r="X195" s="1080"/>
      <c r="Y195" s="1080"/>
      <c r="Z195" s="1080"/>
      <c r="AA195" s="1080"/>
      <c r="AB195" s="1080"/>
      <c r="AC195" s="1080"/>
    </row>
    <row r="196" spans="1:29" ht="12" customHeight="1">
      <c r="A196" s="1264"/>
      <c r="B196" s="1082" t="s">
        <v>802</v>
      </c>
      <c r="C196" s="1295">
        <v>397.82909430302203</v>
      </c>
      <c r="D196" s="1080"/>
      <c r="E196" s="1080"/>
      <c r="F196" s="1080"/>
      <c r="G196" s="1080"/>
      <c r="H196" s="1080"/>
      <c r="I196" s="1080"/>
      <c r="J196" s="1080"/>
      <c r="K196" s="1080"/>
      <c r="L196" s="1080"/>
      <c r="M196" s="1080"/>
      <c r="N196" s="1080"/>
      <c r="O196" s="1080"/>
      <c r="P196" s="1080"/>
      <c r="Q196" s="1080"/>
      <c r="R196" s="1080"/>
      <c r="S196" s="1080"/>
      <c r="T196" s="1080"/>
      <c r="U196" s="1080"/>
      <c r="V196" s="1080"/>
      <c r="W196" s="1080"/>
      <c r="X196" s="1080"/>
      <c r="Y196" s="1080"/>
      <c r="Z196" s="1080"/>
      <c r="AA196" s="1080"/>
      <c r="AB196" s="1080"/>
      <c r="AC196" s="1080"/>
    </row>
    <row r="197" spans="1:29" ht="12" customHeight="1">
      <c r="A197" s="1264"/>
      <c r="B197" s="1082" t="s">
        <v>826</v>
      </c>
      <c r="C197" s="1295">
        <v>486.3241433363595</v>
      </c>
      <c r="D197" s="1080"/>
      <c r="E197" s="1080"/>
      <c r="F197" s="1080"/>
      <c r="G197" s="1080"/>
      <c r="H197" s="1080"/>
      <c r="I197" s="1080"/>
      <c r="J197" s="1080"/>
      <c r="K197" s="1080"/>
      <c r="L197" s="1080"/>
      <c r="M197" s="1080"/>
      <c r="N197" s="1080"/>
      <c r="O197" s="1080"/>
      <c r="P197" s="1080"/>
      <c r="Q197" s="1080"/>
      <c r="R197" s="1080"/>
      <c r="S197" s="1080"/>
      <c r="T197" s="1080"/>
      <c r="U197" s="1080"/>
      <c r="V197" s="1080"/>
      <c r="W197" s="1080"/>
      <c r="X197" s="1080"/>
      <c r="Y197" s="1080"/>
      <c r="Z197" s="1080"/>
      <c r="AA197" s="1080"/>
      <c r="AB197" s="1080"/>
      <c r="AC197" s="1080"/>
    </row>
    <row r="198" spans="1:29" ht="12" customHeight="1">
      <c r="A198" s="1264"/>
      <c r="B198" s="1082" t="s">
        <v>828</v>
      </c>
      <c r="C198" s="1295">
        <v>574.81919236969702</v>
      </c>
      <c r="D198" s="1080"/>
      <c r="E198" s="1080"/>
      <c r="F198" s="1080"/>
      <c r="G198" s="1080"/>
      <c r="H198" s="1080"/>
      <c r="I198" s="1080"/>
      <c r="J198" s="1080"/>
      <c r="K198" s="1080"/>
      <c r="L198" s="1080"/>
      <c r="M198" s="1080"/>
      <c r="N198" s="1080"/>
      <c r="O198" s="1080"/>
      <c r="P198" s="1080"/>
      <c r="Q198" s="1080"/>
      <c r="R198" s="1080"/>
      <c r="S198" s="1080"/>
      <c r="T198" s="1080"/>
      <c r="U198" s="1080"/>
      <c r="V198" s="1080"/>
      <c r="W198" s="1080"/>
      <c r="X198" s="1080"/>
      <c r="Y198" s="1080"/>
      <c r="Z198" s="1080"/>
      <c r="AA198" s="1080"/>
      <c r="AB198" s="1080"/>
      <c r="AC198" s="1080"/>
    </row>
    <row r="199" spans="1:29" ht="12" customHeight="1">
      <c r="A199" s="1264"/>
      <c r="B199" s="1082" t="s">
        <v>830</v>
      </c>
      <c r="C199" s="1295">
        <v>220.8389962363469</v>
      </c>
      <c r="D199" s="1080"/>
      <c r="E199" s="1080"/>
      <c r="F199" s="1080"/>
      <c r="G199" s="1080"/>
      <c r="H199" s="1080"/>
      <c r="I199" s="1080"/>
      <c r="J199" s="1080"/>
      <c r="K199" s="1080"/>
      <c r="L199" s="1080"/>
      <c r="M199" s="1080"/>
      <c r="N199" s="1080"/>
      <c r="O199" s="1080"/>
      <c r="P199" s="1080"/>
      <c r="Q199" s="1080"/>
      <c r="R199" s="1080"/>
      <c r="S199" s="1080"/>
      <c r="T199" s="1080"/>
      <c r="U199" s="1080"/>
      <c r="V199" s="1080"/>
      <c r="W199" s="1080"/>
      <c r="X199" s="1080"/>
      <c r="Y199" s="1080"/>
      <c r="Z199" s="1080"/>
      <c r="AA199" s="1080"/>
      <c r="AB199" s="1080"/>
      <c r="AC199" s="1080"/>
    </row>
    <row r="200" spans="1:29" ht="12" customHeight="1">
      <c r="A200" s="1264"/>
      <c r="B200" s="1082" t="s">
        <v>825</v>
      </c>
      <c r="C200" s="1295">
        <v>265.48514710001263</v>
      </c>
      <c r="D200" s="1080"/>
      <c r="E200" s="1080"/>
      <c r="F200" s="1080"/>
      <c r="G200" s="1080"/>
      <c r="H200" s="1080"/>
      <c r="I200" s="1080"/>
      <c r="J200" s="1080"/>
      <c r="K200" s="1080"/>
      <c r="L200" s="1080"/>
      <c r="M200" s="1080"/>
      <c r="N200" s="1080"/>
      <c r="O200" s="1080"/>
      <c r="P200" s="1080"/>
      <c r="Q200" s="1080"/>
      <c r="R200" s="1080"/>
      <c r="S200" s="1080"/>
      <c r="T200" s="1080"/>
      <c r="U200" s="1080"/>
      <c r="V200" s="1080"/>
      <c r="W200" s="1080"/>
      <c r="X200" s="1080"/>
      <c r="Y200" s="1080"/>
      <c r="Z200" s="1080"/>
      <c r="AA200" s="1080"/>
      <c r="AB200" s="1080"/>
      <c r="AC200" s="1080"/>
    </row>
    <row r="201" spans="1:29" ht="12" customHeight="1">
      <c r="A201" s="1264"/>
      <c r="B201" s="1082" t="s">
        <v>815</v>
      </c>
      <c r="C201" s="1295">
        <v>318.10382490361883</v>
      </c>
      <c r="D201" s="1080"/>
      <c r="E201" s="1080"/>
      <c r="F201" s="1080"/>
      <c r="G201" s="1080"/>
      <c r="H201" s="1080"/>
      <c r="I201" s="1080"/>
      <c r="J201" s="1080"/>
      <c r="K201" s="1080"/>
      <c r="L201" s="1080"/>
      <c r="M201" s="1080"/>
      <c r="N201" s="1080"/>
      <c r="O201" s="1080"/>
      <c r="P201" s="1080"/>
      <c r="Q201" s="1080"/>
      <c r="R201" s="1080"/>
      <c r="S201" s="1080"/>
      <c r="T201" s="1080"/>
      <c r="U201" s="1080"/>
      <c r="V201" s="1080"/>
      <c r="W201" s="1080"/>
      <c r="X201" s="1080"/>
      <c r="Y201" s="1080"/>
      <c r="Z201" s="1080"/>
      <c r="AA201" s="1080"/>
      <c r="AB201" s="1080"/>
      <c r="AC201" s="1080"/>
    </row>
    <row r="202" spans="1:29" ht="12" customHeight="1">
      <c r="A202" s="1264"/>
      <c r="B202" s="1082" t="s">
        <v>818</v>
      </c>
      <c r="C202" s="1295">
        <v>141.11372683694367</v>
      </c>
      <c r="D202" s="1080"/>
      <c r="E202" s="1080"/>
      <c r="F202" s="1080"/>
      <c r="G202" s="1080"/>
      <c r="H202" s="1080"/>
      <c r="I202" s="1080"/>
      <c r="J202" s="1080"/>
      <c r="K202" s="1080"/>
      <c r="L202" s="1080"/>
      <c r="M202" s="1080"/>
      <c r="N202" s="1080"/>
      <c r="O202" s="1080"/>
      <c r="P202" s="1080"/>
      <c r="Q202" s="1080"/>
      <c r="R202" s="1080"/>
      <c r="S202" s="1080"/>
      <c r="T202" s="1080"/>
      <c r="U202" s="1080"/>
      <c r="V202" s="1080"/>
      <c r="W202" s="1080"/>
      <c r="X202" s="1080"/>
      <c r="Y202" s="1080"/>
      <c r="Z202" s="1080"/>
      <c r="AA202" s="1080"/>
      <c r="AB202" s="1080"/>
      <c r="AC202" s="1080"/>
    </row>
    <row r="203" spans="1:29" ht="12" customHeight="1">
      <c r="A203" s="1264"/>
      <c r="B203" s="1082" t="s">
        <v>836</v>
      </c>
      <c r="C203" s="1295">
        <v>168.22031843274075</v>
      </c>
      <c r="D203" s="1080"/>
      <c r="E203" s="1080"/>
      <c r="F203" s="1080"/>
      <c r="G203" s="1080"/>
      <c r="H203" s="1080"/>
      <c r="I203" s="1080"/>
      <c r="J203" s="1080"/>
      <c r="K203" s="1080"/>
      <c r="L203" s="1080"/>
      <c r="M203" s="1080"/>
      <c r="N203" s="1080"/>
      <c r="O203" s="1080"/>
      <c r="P203" s="1080"/>
      <c r="Q203" s="1080"/>
      <c r="R203" s="1080"/>
      <c r="S203" s="1080"/>
      <c r="T203" s="1080"/>
      <c r="U203" s="1080"/>
      <c r="V203" s="1080"/>
      <c r="W203" s="1080"/>
      <c r="X203" s="1080"/>
      <c r="Y203" s="1080"/>
      <c r="Z203" s="1080"/>
      <c r="AA203" s="1080"/>
      <c r="AB203" s="1080"/>
      <c r="AC203" s="1080"/>
    </row>
    <row r="204" spans="1:29" ht="12" customHeight="1">
      <c r="A204" s="1264"/>
      <c r="B204" s="1082" t="s">
        <v>839</v>
      </c>
      <c r="C204" s="1295">
        <v>194.52965733454383</v>
      </c>
      <c r="D204" s="1080"/>
      <c r="E204" s="1080"/>
      <c r="F204" s="1080"/>
      <c r="G204" s="1080"/>
      <c r="H204" s="1080"/>
      <c r="I204" s="1080"/>
      <c r="J204" s="1080"/>
      <c r="K204" s="1080"/>
      <c r="L204" s="1080"/>
      <c r="M204" s="1080"/>
      <c r="N204" s="1080"/>
      <c r="O204" s="1080"/>
      <c r="P204" s="1080"/>
      <c r="Q204" s="1080"/>
      <c r="R204" s="1080"/>
      <c r="S204" s="1080"/>
      <c r="T204" s="1080"/>
      <c r="U204" s="1080"/>
      <c r="V204" s="1080"/>
      <c r="W204" s="1080"/>
      <c r="X204" s="1080"/>
      <c r="Y204" s="1080"/>
      <c r="Z204" s="1080"/>
      <c r="AA204" s="1080"/>
      <c r="AB204" s="1080"/>
      <c r="AC204" s="1080"/>
    </row>
    <row r="205" spans="1:29" ht="12" customHeight="1">
      <c r="A205" s="1264"/>
      <c r="B205" s="1082" t="s">
        <v>38</v>
      </c>
      <c r="C205" s="1295">
        <v>1750</v>
      </c>
      <c r="D205" s="1080"/>
      <c r="E205" s="1080"/>
      <c r="F205" s="1080"/>
      <c r="G205" s="1080"/>
      <c r="H205" s="1080"/>
      <c r="I205" s="1080"/>
      <c r="J205" s="1080"/>
      <c r="K205" s="1080"/>
      <c r="L205" s="1080"/>
      <c r="M205" s="1080"/>
      <c r="N205" s="1080"/>
      <c r="O205" s="1080"/>
      <c r="P205" s="1080"/>
      <c r="Q205" s="1080"/>
      <c r="R205" s="1080"/>
      <c r="S205" s="1080"/>
      <c r="T205" s="1080"/>
      <c r="U205" s="1080"/>
      <c r="V205" s="1080"/>
      <c r="W205" s="1080"/>
      <c r="X205" s="1080"/>
      <c r="Y205" s="1080"/>
      <c r="Z205" s="1080"/>
      <c r="AA205" s="1080"/>
      <c r="AB205" s="1080"/>
      <c r="AC205" s="1080"/>
    </row>
    <row r="206" spans="1:29" ht="12" customHeight="1">
      <c r="A206" s="1264"/>
      <c r="B206" s="1082" t="s">
        <v>812</v>
      </c>
      <c r="C206" s="1295">
        <v>1060.3460830120625</v>
      </c>
      <c r="D206" s="1080"/>
      <c r="E206" s="1080"/>
      <c r="F206" s="1080"/>
      <c r="G206" s="1080"/>
      <c r="H206" s="1080"/>
      <c r="I206" s="1080"/>
      <c r="J206" s="1080"/>
      <c r="K206" s="1080"/>
      <c r="L206" s="1080"/>
      <c r="M206" s="1080"/>
      <c r="N206" s="1080"/>
      <c r="O206" s="1080"/>
      <c r="P206" s="1080"/>
      <c r="Q206" s="1080"/>
      <c r="R206" s="1080"/>
      <c r="S206" s="1080"/>
      <c r="T206" s="1080"/>
      <c r="U206" s="1080"/>
      <c r="V206" s="1080"/>
      <c r="W206" s="1080"/>
      <c r="X206" s="1080"/>
      <c r="Y206" s="1080"/>
      <c r="Z206" s="1080"/>
      <c r="AA206" s="1080"/>
      <c r="AB206" s="1080"/>
      <c r="AC206" s="1080"/>
    </row>
    <row r="207" spans="1:29" ht="12" customHeight="1">
      <c r="A207" s="1264"/>
      <c r="B207" s="1082" t="s">
        <v>806</v>
      </c>
      <c r="C207" s="1295">
        <v>662.51698870904067</v>
      </c>
      <c r="D207" s="1080"/>
      <c r="E207" s="1080"/>
      <c r="F207" s="1080"/>
      <c r="G207" s="1080"/>
      <c r="H207" s="1080"/>
      <c r="I207" s="1080"/>
      <c r="J207" s="1080"/>
      <c r="K207" s="1080"/>
      <c r="L207" s="1080"/>
      <c r="M207" s="1080"/>
      <c r="N207" s="1080"/>
      <c r="O207" s="1080"/>
      <c r="P207" s="1080"/>
      <c r="Q207" s="1080"/>
      <c r="R207" s="1080"/>
      <c r="S207" s="1080"/>
      <c r="T207" s="1080"/>
      <c r="U207" s="1080"/>
      <c r="V207" s="1080"/>
      <c r="W207" s="1080"/>
      <c r="X207" s="1080"/>
      <c r="Y207" s="1080"/>
      <c r="Z207" s="1080"/>
      <c r="AA207" s="1080"/>
      <c r="AB207" s="1080"/>
      <c r="AC207" s="1080"/>
    </row>
    <row r="208" spans="1:29" ht="12" customHeight="1">
      <c r="A208" s="1264"/>
      <c r="B208" s="1082" t="s">
        <v>860</v>
      </c>
      <c r="C208" s="1295">
        <v>795.65818860604406</v>
      </c>
      <c r="D208" s="1080"/>
      <c r="E208" s="1080"/>
      <c r="F208" s="1080"/>
      <c r="G208" s="1080"/>
      <c r="H208" s="1080"/>
      <c r="I208" s="1080"/>
      <c r="J208" s="1080"/>
      <c r="K208" s="1080"/>
      <c r="L208" s="1080"/>
      <c r="M208" s="1080"/>
      <c r="N208" s="1080"/>
      <c r="O208" s="1080"/>
      <c r="P208" s="1080"/>
      <c r="Q208" s="1080"/>
      <c r="R208" s="1080"/>
      <c r="S208" s="1080"/>
      <c r="T208" s="1080"/>
      <c r="U208" s="1080"/>
      <c r="V208" s="1080"/>
      <c r="W208" s="1080"/>
      <c r="X208" s="1080"/>
      <c r="Y208" s="1080"/>
      <c r="Z208" s="1080"/>
      <c r="AA208" s="1080"/>
      <c r="AB208" s="1080"/>
      <c r="AC208" s="1080"/>
    </row>
    <row r="209" spans="1:29" ht="12" customHeight="1">
      <c r="A209" s="1264"/>
      <c r="B209" s="1082" t="s">
        <v>838</v>
      </c>
      <c r="C209" s="1295">
        <v>883.3559849453876</v>
      </c>
      <c r="D209" s="1080"/>
      <c r="E209" s="1080"/>
      <c r="F209" s="1080"/>
      <c r="G209" s="1080"/>
      <c r="H209" s="1080"/>
      <c r="I209" s="1080"/>
      <c r="J209" s="1080"/>
      <c r="K209" s="1080"/>
      <c r="L209" s="1080"/>
      <c r="M209" s="1080"/>
      <c r="N209" s="1080"/>
      <c r="O209" s="1080"/>
      <c r="P209" s="1080"/>
      <c r="Q209" s="1080"/>
      <c r="R209" s="1080"/>
      <c r="S209" s="1080"/>
      <c r="T209" s="1080"/>
      <c r="U209" s="1080"/>
      <c r="V209" s="1080"/>
      <c r="W209" s="1080"/>
      <c r="X209" s="1080"/>
      <c r="Y209" s="1080"/>
      <c r="Z209" s="1080"/>
      <c r="AA209" s="1080"/>
      <c r="AB209" s="1080"/>
      <c r="AC209" s="1080"/>
    </row>
    <row r="210" spans="1:29" ht="12" customHeight="1">
      <c r="A210" s="1264"/>
      <c r="B210" s="1082" t="s">
        <v>846</v>
      </c>
      <c r="C210" s="1082" t="s">
        <v>113</v>
      </c>
      <c r="D210" s="1080"/>
      <c r="E210" s="1080"/>
      <c r="F210" s="1080"/>
      <c r="G210" s="1080"/>
      <c r="H210" s="1080"/>
      <c r="I210" s="1080"/>
      <c r="J210" s="1080"/>
      <c r="K210" s="1080"/>
      <c r="L210" s="1080"/>
      <c r="M210" s="1080"/>
      <c r="N210" s="1080"/>
      <c r="O210" s="1080"/>
      <c r="P210" s="1080"/>
      <c r="Q210" s="1080"/>
      <c r="R210" s="1080"/>
      <c r="S210" s="1080"/>
      <c r="T210" s="1080"/>
      <c r="U210" s="1080"/>
      <c r="V210" s="1080"/>
      <c r="W210" s="1080"/>
      <c r="X210" s="1080"/>
      <c r="Y210" s="1080"/>
      <c r="Z210" s="1080"/>
      <c r="AA210" s="1080"/>
      <c r="AB210" s="1080"/>
      <c r="AC210" s="1080"/>
    </row>
    <row r="211" spans="1:29" ht="12" customHeight="1">
      <c r="A211" s="1264"/>
      <c r="B211" s="1264"/>
      <c r="C211" s="1080"/>
      <c r="D211" s="1080"/>
      <c r="E211" s="1080"/>
      <c r="F211" s="1080"/>
      <c r="G211" s="1080"/>
      <c r="H211" s="1080"/>
      <c r="I211" s="1080"/>
      <c r="J211" s="1080"/>
      <c r="K211" s="1080"/>
      <c r="L211" s="1080"/>
      <c r="M211" s="1080"/>
      <c r="N211" s="1080"/>
      <c r="O211" s="1080"/>
      <c r="P211" s="1080"/>
      <c r="Q211" s="1080"/>
      <c r="R211" s="1080"/>
      <c r="S211" s="1080"/>
      <c r="T211" s="1080"/>
      <c r="U211" s="1080"/>
      <c r="V211" s="1080"/>
      <c r="W211" s="1080"/>
      <c r="X211" s="1080"/>
      <c r="Y211" s="1080"/>
      <c r="Z211" s="1080"/>
      <c r="AA211" s="1080"/>
      <c r="AB211" s="1080"/>
      <c r="AC211" s="1080"/>
    </row>
    <row r="212" spans="1:29" ht="12" customHeight="1">
      <c r="A212" s="1264"/>
      <c r="B212" s="1264"/>
      <c r="C212" s="1080"/>
      <c r="D212" s="1080"/>
      <c r="E212" s="1080"/>
      <c r="F212" s="1080"/>
      <c r="G212" s="1080"/>
      <c r="H212" s="1080"/>
      <c r="I212" s="1080"/>
      <c r="J212" s="1080"/>
      <c r="K212" s="1080"/>
      <c r="L212" s="1080"/>
      <c r="M212" s="1080"/>
      <c r="N212" s="1080"/>
      <c r="O212" s="1080"/>
      <c r="P212" s="1080"/>
      <c r="Q212" s="1080"/>
      <c r="R212" s="1080"/>
      <c r="S212" s="1080"/>
      <c r="T212" s="1080"/>
      <c r="U212" s="1080"/>
      <c r="V212" s="1080"/>
      <c r="W212" s="1080"/>
      <c r="X212" s="1080"/>
      <c r="Y212" s="1080"/>
      <c r="Z212" s="1080"/>
      <c r="AA212" s="1080"/>
      <c r="AB212" s="1080"/>
      <c r="AC212" s="1080"/>
    </row>
    <row r="213" spans="1:29" ht="12" customHeight="1">
      <c r="A213" s="1264"/>
      <c r="B213" s="1264"/>
      <c r="C213" s="1080"/>
      <c r="D213" s="1080"/>
      <c r="E213" s="1080"/>
      <c r="F213" s="1080"/>
      <c r="G213" s="1080"/>
      <c r="H213" s="1080"/>
      <c r="I213" s="1080"/>
      <c r="J213" s="1080"/>
      <c r="K213" s="1080"/>
      <c r="L213" s="1080"/>
      <c r="M213" s="1080"/>
      <c r="N213" s="1080"/>
      <c r="O213" s="1080"/>
      <c r="P213" s="1080"/>
      <c r="Q213" s="1080"/>
      <c r="R213" s="1080"/>
      <c r="S213" s="1080"/>
      <c r="T213" s="1080"/>
      <c r="U213" s="1080"/>
      <c r="V213" s="1080"/>
      <c r="W213" s="1080"/>
      <c r="X213" s="1080"/>
      <c r="Y213" s="1080"/>
      <c r="Z213" s="1080"/>
      <c r="AA213" s="1080"/>
      <c r="AB213" s="1080"/>
      <c r="AC213" s="1080"/>
    </row>
    <row r="214" spans="1:29" ht="12" customHeight="1">
      <c r="A214" s="1264"/>
      <c r="B214" s="1264"/>
      <c r="C214" s="1080"/>
      <c r="D214" s="1080"/>
      <c r="E214" s="1080"/>
      <c r="F214" s="1080"/>
      <c r="G214" s="1080"/>
      <c r="H214" s="1080"/>
      <c r="I214" s="1080"/>
      <c r="J214" s="1080"/>
      <c r="K214" s="1080"/>
      <c r="L214" s="1080"/>
      <c r="M214" s="1080"/>
      <c r="N214" s="1080"/>
      <c r="O214" s="1080"/>
      <c r="P214" s="1080"/>
      <c r="Q214" s="1080"/>
      <c r="R214" s="1080"/>
      <c r="S214" s="1080"/>
      <c r="T214" s="1080"/>
      <c r="U214" s="1080"/>
      <c r="V214" s="1080"/>
      <c r="W214" s="1080"/>
      <c r="X214" s="1080"/>
      <c r="Y214" s="1080"/>
      <c r="Z214" s="1080"/>
      <c r="AA214" s="1080"/>
      <c r="AB214" s="1080"/>
      <c r="AC214" s="1080"/>
    </row>
    <row r="215" spans="1:29" ht="12" customHeight="1">
      <c r="A215" s="1264"/>
      <c r="B215" s="1264"/>
      <c r="C215" s="1080"/>
      <c r="D215" s="1080"/>
      <c r="E215" s="1080"/>
      <c r="F215" s="1080"/>
      <c r="G215" s="1080"/>
      <c r="H215" s="1080"/>
      <c r="I215" s="1080"/>
      <c r="J215" s="1080"/>
      <c r="K215" s="1080"/>
      <c r="L215" s="1080"/>
      <c r="M215" s="1080"/>
      <c r="N215" s="1080"/>
      <c r="O215" s="1080"/>
      <c r="P215" s="1080"/>
      <c r="Q215" s="1080"/>
      <c r="R215" s="1080"/>
      <c r="S215" s="1080"/>
      <c r="T215" s="1080"/>
      <c r="U215" s="1080"/>
      <c r="V215" s="1080"/>
      <c r="W215" s="1080"/>
      <c r="X215" s="1080"/>
      <c r="Y215" s="1080"/>
      <c r="Z215" s="1080"/>
      <c r="AA215" s="1080"/>
      <c r="AB215" s="1080"/>
      <c r="AC215" s="1080"/>
    </row>
    <row r="216" spans="1:29" ht="12" customHeight="1">
      <c r="A216" s="1264"/>
      <c r="B216" s="1264"/>
      <c r="C216" s="1080"/>
      <c r="D216" s="1080"/>
      <c r="E216" s="1080"/>
      <c r="F216" s="1080"/>
      <c r="G216" s="1080"/>
      <c r="H216" s="1080"/>
      <c r="I216" s="1080"/>
      <c r="J216" s="1080"/>
      <c r="K216" s="1080"/>
      <c r="L216" s="1080"/>
      <c r="M216" s="1080"/>
      <c r="N216" s="1080"/>
      <c r="O216" s="1080"/>
      <c r="P216" s="1080"/>
      <c r="Q216" s="1080"/>
      <c r="R216" s="1080"/>
      <c r="S216" s="1080"/>
      <c r="T216" s="1080"/>
      <c r="U216" s="1080"/>
      <c r="V216" s="1080"/>
      <c r="W216" s="1080"/>
      <c r="X216" s="1080"/>
      <c r="Y216" s="1080"/>
      <c r="Z216" s="1080"/>
      <c r="AA216" s="1080"/>
      <c r="AB216" s="1080"/>
      <c r="AC216" s="1080"/>
    </row>
    <row r="217" spans="1:29" ht="12" customHeight="1">
      <c r="A217" s="1264"/>
      <c r="B217" s="1264"/>
      <c r="C217" s="1080"/>
      <c r="D217" s="1080"/>
      <c r="E217" s="1080"/>
      <c r="F217" s="1080"/>
      <c r="G217" s="1080"/>
      <c r="H217" s="1080"/>
      <c r="I217" s="1080"/>
      <c r="J217" s="1080"/>
      <c r="K217" s="1080"/>
      <c r="L217" s="1080"/>
      <c r="M217" s="1080"/>
      <c r="N217" s="1080"/>
      <c r="O217" s="1080"/>
      <c r="P217" s="1080"/>
      <c r="Q217" s="1080"/>
      <c r="R217" s="1080"/>
      <c r="S217" s="1080"/>
      <c r="T217" s="1080"/>
      <c r="U217" s="1080"/>
      <c r="V217" s="1080"/>
      <c r="W217" s="1080"/>
      <c r="X217" s="1080"/>
      <c r="Y217" s="1080"/>
      <c r="Z217" s="1080"/>
      <c r="AA217" s="1080"/>
      <c r="AB217" s="1080"/>
      <c r="AC217" s="1080"/>
    </row>
    <row r="218" spans="1:29" ht="12" customHeight="1">
      <c r="A218" s="1264"/>
      <c r="B218" s="1264"/>
      <c r="C218" s="1080"/>
      <c r="D218" s="1080"/>
      <c r="E218" s="1080"/>
      <c r="F218" s="1080"/>
      <c r="G218" s="1080"/>
      <c r="H218" s="1080"/>
      <c r="I218" s="1080"/>
      <c r="J218" s="1080"/>
      <c r="K218" s="1080"/>
      <c r="L218" s="1080"/>
      <c r="M218" s="1080"/>
      <c r="N218" s="1080"/>
      <c r="O218" s="1080"/>
      <c r="P218" s="1080"/>
      <c r="Q218" s="1080"/>
      <c r="R218" s="1080"/>
      <c r="S218" s="1080"/>
      <c r="T218" s="1080"/>
      <c r="U218" s="1080"/>
      <c r="V218" s="1080"/>
      <c r="W218" s="1080"/>
      <c r="X218" s="1080"/>
      <c r="Y218" s="1080"/>
      <c r="Z218" s="1080"/>
      <c r="AA218" s="1080"/>
      <c r="AB218" s="1080"/>
      <c r="AC218" s="1080"/>
    </row>
    <row r="219" spans="1:29" ht="12" customHeight="1">
      <c r="A219" s="1264"/>
      <c r="B219" s="1264"/>
      <c r="C219" s="1080"/>
      <c r="D219" s="1080"/>
      <c r="E219" s="1080"/>
      <c r="F219" s="1080"/>
      <c r="G219" s="1080"/>
      <c r="H219" s="1080"/>
      <c r="I219" s="1080"/>
      <c r="J219" s="1080"/>
      <c r="K219" s="1080"/>
      <c r="L219" s="1080"/>
      <c r="M219" s="1080"/>
      <c r="N219" s="1080"/>
      <c r="O219" s="1080"/>
      <c r="P219" s="1080"/>
      <c r="Q219" s="1080"/>
      <c r="R219" s="1080"/>
      <c r="S219" s="1080"/>
      <c r="T219" s="1080"/>
      <c r="U219" s="1080"/>
      <c r="V219" s="1080"/>
      <c r="W219" s="1080"/>
      <c r="X219" s="1080"/>
      <c r="Y219" s="1080"/>
      <c r="Z219" s="1080"/>
      <c r="AA219" s="1080"/>
      <c r="AB219" s="1080"/>
      <c r="AC219" s="1080"/>
    </row>
    <row r="220" spans="1:29" ht="12" customHeight="1">
      <c r="A220" s="1264"/>
      <c r="B220" s="1264"/>
      <c r="C220" s="1080"/>
      <c r="D220" s="1080"/>
      <c r="E220" s="1080"/>
      <c r="F220" s="1080"/>
      <c r="G220" s="1080"/>
      <c r="H220" s="1080"/>
      <c r="I220" s="1080"/>
      <c r="J220" s="1080"/>
      <c r="K220" s="1080"/>
      <c r="L220" s="1080"/>
      <c r="M220" s="1080"/>
      <c r="N220" s="1080"/>
      <c r="O220" s="1080"/>
      <c r="P220" s="1080"/>
      <c r="Q220" s="1080"/>
      <c r="R220" s="1080"/>
      <c r="S220" s="1080"/>
      <c r="T220" s="1080"/>
      <c r="U220" s="1080"/>
      <c r="V220" s="1080"/>
      <c r="W220" s="1080"/>
      <c r="X220" s="1080"/>
      <c r="Y220" s="1080"/>
      <c r="Z220" s="1080"/>
      <c r="AA220" s="1080"/>
      <c r="AB220" s="1080"/>
      <c r="AC220" s="1080"/>
    </row>
    <row r="221" spans="1:29" ht="12" customHeight="1">
      <c r="A221" s="1264"/>
      <c r="B221" s="1264"/>
      <c r="C221" s="1080"/>
      <c r="D221" s="1080"/>
      <c r="E221" s="1080"/>
      <c r="F221" s="1080"/>
      <c r="G221" s="1080"/>
      <c r="H221" s="1080"/>
      <c r="I221" s="1080"/>
      <c r="J221" s="1080"/>
      <c r="K221" s="1080"/>
      <c r="L221" s="1080"/>
      <c r="M221" s="1080"/>
      <c r="N221" s="1080"/>
      <c r="O221" s="1080"/>
      <c r="P221" s="1080"/>
      <c r="Q221" s="1080"/>
      <c r="R221" s="1080"/>
      <c r="S221" s="1080"/>
      <c r="T221" s="1080"/>
      <c r="U221" s="1080"/>
      <c r="V221" s="1080"/>
      <c r="W221" s="1080"/>
      <c r="X221" s="1080"/>
      <c r="Y221" s="1080"/>
      <c r="Z221" s="1080"/>
      <c r="AA221" s="1080"/>
      <c r="AB221" s="1080"/>
      <c r="AC221" s="1080"/>
    </row>
    <row r="222" spans="1:29" ht="12" customHeight="1">
      <c r="A222" s="1264"/>
      <c r="B222" s="1264"/>
      <c r="C222" s="1080"/>
      <c r="D222" s="1080"/>
      <c r="E222" s="1080"/>
      <c r="F222" s="1080"/>
      <c r="G222" s="1080"/>
      <c r="H222" s="1080"/>
      <c r="I222" s="1080"/>
      <c r="J222" s="1080"/>
      <c r="K222" s="1080"/>
      <c r="L222" s="1080"/>
      <c r="M222" s="1080"/>
      <c r="N222" s="1080"/>
      <c r="O222" s="1080"/>
      <c r="P222" s="1080"/>
      <c r="Q222" s="1080"/>
      <c r="R222" s="1080"/>
      <c r="S222" s="1080"/>
      <c r="T222" s="1080"/>
      <c r="U222" s="1080"/>
      <c r="V222" s="1080"/>
      <c r="W222" s="1080"/>
      <c r="X222" s="1080"/>
      <c r="Y222" s="1080"/>
      <c r="Z222" s="1080"/>
      <c r="AA222" s="1080"/>
      <c r="AB222" s="1080"/>
      <c r="AC222" s="1080"/>
    </row>
    <row r="223" spans="1:29" ht="12" customHeight="1">
      <c r="A223" s="1264"/>
      <c r="B223" s="1264"/>
      <c r="C223" s="1080"/>
      <c r="D223" s="1080"/>
      <c r="E223" s="1080"/>
      <c r="F223" s="1080"/>
      <c r="G223" s="1080"/>
      <c r="H223" s="1080"/>
      <c r="I223" s="1080"/>
      <c r="J223" s="1080"/>
      <c r="K223" s="1080"/>
      <c r="L223" s="1080"/>
      <c r="M223" s="1080"/>
      <c r="N223" s="1080"/>
      <c r="O223" s="1080"/>
      <c r="P223" s="1080"/>
      <c r="Q223" s="1080"/>
      <c r="R223" s="1080"/>
      <c r="S223" s="1080"/>
      <c r="T223" s="1080"/>
      <c r="U223" s="1080"/>
      <c r="V223" s="1080"/>
      <c r="W223" s="1080"/>
      <c r="X223" s="1080"/>
      <c r="Y223" s="1080"/>
      <c r="Z223" s="1080"/>
      <c r="AA223" s="1080"/>
      <c r="AB223" s="1080"/>
      <c r="AC223" s="1080"/>
    </row>
    <row r="224" spans="1:29" ht="12" customHeight="1">
      <c r="A224" s="1264"/>
      <c r="B224" s="1264"/>
      <c r="C224" s="1080"/>
      <c r="D224" s="1080"/>
      <c r="E224" s="1080"/>
      <c r="F224" s="1080"/>
      <c r="G224" s="1080"/>
      <c r="H224" s="1080"/>
      <c r="I224" s="1080"/>
      <c r="J224" s="1080"/>
      <c r="K224" s="1080"/>
      <c r="L224" s="1080"/>
      <c r="M224" s="1080"/>
      <c r="N224" s="1080"/>
      <c r="O224" s="1080"/>
      <c r="P224" s="1080"/>
      <c r="Q224" s="1080"/>
      <c r="R224" s="1080"/>
      <c r="S224" s="1080"/>
      <c r="T224" s="1080"/>
      <c r="U224" s="1080"/>
      <c r="V224" s="1080"/>
      <c r="W224" s="1080"/>
      <c r="X224" s="1080"/>
      <c r="Y224" s="1080"/>
      <c r="Z224" s="1080"/>
      <c r="AA224" s="1080"/>
      <c r="AB224" s="1080"/>
      <c r="AC224" s="1080"/>
    </row>
    <row r="225" spans="1:29" ht="12" customHeight="1">
      <c r="A225" s="1264"/>
      <c r="B225" s="1264"/>
      <c r="C225" s="1080"/>
      <c r="D225" s="1080"/>
      <c r="E225" s="1080"/>
      <c r="F225" s="1080"/>
      <c r="G225" s="1080"/>
      <c r="H225" s="1080"/>
      <c r="I225" s="1080"/>
      <c r="J225" s="1080"/>
      <c r="K225" s="1080"/>
      <c r="L225" s="1080"/>
      <c r="M225" s="1080"/>
      <c r="N225" s="1080"/>
      <c r="O225" s="1080"/>
      <c r="P225" s="1080"/>
      <c r="Q225" s="1080"/>
      <c r="R225" s="1080"/>
      <c r="S225" s="1080"/>
      <c r="T225" s="1080"/>
      <c r="U225" s="1080"/>
      <c r="V225" s="1080"/>
      <c r="W225" s="1080"/>
      <c r="X225" s="1080"/>
      <c r="Y225" s="1080"/>
      <c r="Z225" s="1080"/>
      <c r="AA225" s="1080"/>
      <c r="AB225" s="1080"/>
      <c r="AC225" s="1080"/>
    </row>
    <row r="226" spans="1:29" ht="12" customHeight="1">
      <c r="A226" s="1264"/>
      <c r="B226" s="1264"/>
      <c r="C226" s="1080"/>
      <c r="D226" s="1080"/>
      <c r="E226" s="1080"/>
      <c r="F226" s="1080"/>
      <c r="G226" s="1080"/>
      <c r="H226" s="1080"/>
      <c r="I226" s="1080"/>
      <c r="J226" s="1080"/>
      <c r="K226" s="1080"/>
      <c r="L226" s="1080"/>
      <c r="M226" s="1080"/>
      <c r="N226" s="1080"/>
      <c r="O226" s="1080"/>
      <c r="P226" s="1080"/>
      <c r="Q226" s="1080"/>
      <c r="R226" s="1080"/>
      <c r="S226" s="1080"/>
      <c r="T226" s="1080"/>
      <c r="U226" s="1080"/>
      <c r="V226" s="1080"/>
      <c r="W226" s="1080"/>
      <c r="X226" s="1080"/>
      <c r="Y226" s="1080"/>
      <c r="Z226" s="1080"/>
      <c r="AA226" s="1080"/>
      <c r="AB226" s="1080"/>
      <c r="AC226" s="1080"/>
    </row>
    <row r="227" spans="1:29" ht="12" customHeight="1">
      <c r="A227" s="1264"/>
      <c r="B227" s="1264"/>
      <c r="C227" s="1080"/>
      <c r="D227" s="1080"/>
      <c r="E227" s="1080"/>
      <c r="F227" s="1080"/>
      <c r="G227" s="1080"/>
      <c r="H227" s="1080"/>
      <c r="I227" s="1080"/>
      <c r="J227" s="1080"/>
      <c r="K227" s="1080"/>
      <c r="L227" s="1080"/>
      <c r="M227" s="1080"/>
      <c r="N227" s="1080"/>
      <c r="O227" s="1080"/>
      <c r="P227" s="1080"/>
      <c r="Q227" s="1080"/>
      <c r="R227" s="1080"/>
      <c r="S227" s="1080"/>
      <c r="T227" s="1080"/>
      <c r="U227" s="1080"/>
      <c r="V227" s="1080"/>
      <c r="W227" s="1080"/>
      <c r="X227" s="1080"/>
      <c r="Y227" s="1080"/>
      <c r="Z227" s="1080"/>
      <c r="AA227" s="1080"/>
      <c r="AB227" s="1080"/>
      <c r="AC227" s="1080"/>
    </row>
    <row r="228" spans="1:29" ht="12" customHeight="1">
      <c r="A228" s="1264"/>
      <c r="B228" s="1264"/>
      <c r="C228" s="1080"/>
      <c r="D228" s="1080"/>
      <c r="E228" s="1080"/>
      <c r="F228" s="1080"/>
      <c r="G228" s="1080"/>
      <c r="H228" s="1080"/>
      <c r="I228" s="1080"/>
      <c r="J228" s="1080"/>
      <c r="K228" s="1080"/>
      <c r="L228" s="1080"/>
      <c r="M228" s="1080"/>
      <c r="N228" s="1080"/>
      <c r="O228" s="1080"/>
      <c r="P228" s="1080"/>
      <c r="Q228" s="1080"/>
      <c r="R228" s="1080"/>
      <c r="S228" s="1080"/>
      <c r="T228" s="1080"/>
      <c r="U228" s="1080"/>
      <c r="V228" s="1080"/>
      <c r="W228" s="1080"/>
      <c r="X228" s="1080"/>
      <c r="Y228" s="1080"/>
      <c r="Z228" s="1080"/>
      <c r="AA228" s="1080"/>
      <c r="AB228" s="1080"/>
      <c r="AC228" s="1080"/>
    </row>
    <row r="229" spans="1:29" ht="12" customHeight="1">
      <c r="A229" s="1264"/>
      <c r="B229" s="1264"/>
      <c r="C229" s="1080"/>
      <c r="D229" s="1080"/>
      <c r="E229" s="1080"/>
      <c r="F229" s="1080"/>
      <c r="G229" s="1080"/>
      <c r="H229" s="1080"/>
      <c r="I229" s="1080"/>
      <c r="J229" s="1080"/>
      <c r="K229" s="1080"/>
      <c r="L229" s="1080"/>
      <c r="M229" s="1080"/>
      <c r="N229" s="1080"/>
      <c r="O229" s="1080"/>
      <c r="P229" s="1080"/>
      <c r="Q229" s="1080"/>
      <c r="R229" s="1080"/>
      <c r="S229" s="1080"/>
      <c r="T229" s="1080"/>
      <c r="U229" s="1080"/>
      <c r="V229" s="1080"/>
      <c r="W229" s="1080"/>
      <c r="X229" s="1080"/>
      <c r="Y229" s="1080"/>
      <c r="Z229" s="1080"/>
      <c r="AA229" s="1080"/>
      <c r="AB229" s="1080"/>
      <c r="AC229" s="1080"/>
    </row>
    <row r="230" spans="1:29" ht="12" customHeight="1">
      <c r="A230" s="1264"/>
      <c r="B230" s="1264"/>
      <c r="C230" s="1080"/>
      <c r="D230" s="1080"/>
      <c r="E230" s="1080"/>
      <c r="F230" s="1080"/>
      <c r="G230" s="1080"/>
      <c r="H230" s="1080"/>
      <c r="I230" s="1080"/>
      <c r="J230" s="1080"/>
      <c r="K230" s="1080"/>
      <c r="L230" s="1080"/>
      <c r="M230" s="1080"/>
      <c r="N230" s="1080"/>
      <c r="O230" s="1080"/>
      <c r="P230" s="1080"/>
      <c r="Q230" s="1080"/>
      <c r="R230" s="1080"/>
      <c r="S230" s="1080"/>
      <c r="T230" s="1080"/>
      <c r="U230" s="1080"/>
      <c r="V230" s="1080"/>
      <c r="W230" s="1080"/>
      <c r="X230" s="1080"/>
      <c r="Y230" s="1080"/>
      <c r="Z230" s="1080"/>
      <c r="AA230" s="1080"/>
      <c r="AB230" s="1080"/>
      <c r="AC230" s="1080"/>
    </row>
    <row r="231" spans="1:29" ht="12" customHeight="1">
      <c r="A231" s="1264"/>
      <c r="B231" s="1264"/>
      <c r="C231" s="1080"/>
      <c r="D231" s="1080"/>
      <c r="E231" s="1080"/>
      <c r="F231" s="1080"/>
      <c r="G231" s="1080"/>
      <c r="H231" s="1080"/>
      <c r="I231" s="1080"/>
      <c r="J231" s="1080"/>
      <c r="K231" s="1080"/>
      <c r="L231" s="1080"/>
      <c r="M231" s="1080"/>
      <c r="N231" s="1080"/>
      <c r="O231" s="1080"/>
      <c r="P231" s="1080"/>
      <c r="Q231" s="1080"/>
      <c r="R231" s="1080"/>
      <c r="S231" s="1080"/>
      <c r="T231" s="1080"/>
      <c r="U231" s="1080"/>
      <c r="V231" s="1080"/>
      <c r="W231" s="1080"/>
      <c r="X231" s="1080"/>
      <c r="Y231" s="1080"/>
      <c r="Z231" s="1080"/>
      <c r="AA231" s="1080"/>
      <c r="AB231" s="1080"/>
      <c r="AC231" s="1080"/>
    </row>
    <row r="232" spans="1:29" ht="12" customHeight="1">
      <c r="A232" s="1264"/>
      <c r="B232" s="1264"/>
      <c r="C232" s="1080"/>
      <c r="D232" s="1080"/>
      <c r="E232" s="1080"/>
      <c r="F232" s="1080"/>
      <c r="G232" s="1080"/>
      <c r="H232" s="1080"/>
      <c r="I232" s="1080"/>
      <c r="J232" s="1080"/>
      <c r="K232" s="1080"/>
      <c r="L232" s="1080"/>
      <c r="M232" s="1080"/>
      <c r="N232" s="1080"/>
      <c r="O232" s="1080"/>
      <c r="P232" s="1080"/>
      <c r="Q232" s="1080"/>
      <c r="R232" s="1080"/>
      <c r="S232" s="1080"/>
      <c r="T232" s="1080"/>
      <c r="U232" s="1080"/>
      <c r="V232" s="1080"/>
      <c r="W232" s="1080"/>
      <c r="X232" s="1080"/>
      <c r="Y232" s="1080"/>
      <c r="Z232" s="1080"/>
      <c r="AA232" s="1080"/>
      <c r="AB232" s="1080"/>
      <c r="AC232" s="1080"/>
    </row>
    <row r="233" spans="1:29" ht="12" customHeight="1">
      <c r="A233" s="1264"/>
      <c r="B233" s="1264"/>
      <c r="C233" s="1080"/>
      <c r="D233" s="1080"/>
      <c r="E233" s="1080"/>
      <c r="F233" s="1080"/>
      <c r="G233" s="1080"/>
      <c r="H233" s="1080"/>
      <c r="I233" s="1080"/>
      <c r="J233" s="1080"/>
      <c r="K233" s="1080"/>
      <c r="L233" s="1080"/>
      <c r="M233" s="1080"/>
      <c r="N233" s="1080"/>
      <c r="O233" s="1080"/>
      <c r="P233" s="1080"/>
      <c r="Q233" s="1080"/>
      <c r="R233" s="1080"/>
      <c r="S233" s="1080"/>
      <c r="T233" s="1080"/>
      <c r="U233" s="1080"/>
      <c r="V233" s="1080"/>
      <c r="W233" s="1080"/>
      <c r="X233" s="1080"/>
      <c r="Y233" s="1080"/>
      <c r="Z233" s="1080"/>
      <c r="AA233" s="1080"/>
      <c r="AB233" s="1080"/>
      <c r="AC233" s="1080"/>
    </row>
    <row r="234" spans="1:29" ht="12" customHeight="1">
      <c r="A234" s="1264"/>
      <c r="B234" s="1264"/>
      <c r="C234" s="1080"/>
      <c r="D234" s="1080"/>
      <c r="E234" s="1080"/>
      <c r="F234" s="1080"/>
      <c r="G234" s="1080"/>
      <c r="H234" s="1080"/>
      <c r="I234" s="1080"/>
      <c r="J234" s="1080"/>
      <c r="K234" s="1080"/>
      <c r="L234" s="1080"/>
      <c r="M234" s="1080"/>
      <c r="N234" s="1080"/>
      <c r="O234" s="1080"/>
      <c r="P234" s="1080"/>
      <c r="Q234" s="1080"/>
      <c r="R234" s="1080"/>
      <c r="S234" s="1080"/>
      <c r="T234" s="1080"/>
      <c r="U234" s="1080"/>
      <c r="V234" s="1080"/>
      <c r="W234" s="1080"/>
      <c r="X234" s="1080"/>
      <c r="Y234" s="1080"/>
      <c r="Z234" s="1080"/>
      <c r="AA234" s="1080"/>
      <c r="AB234" s="1080"/>
      <c r="AC234" s="1080"/>
    </row>
    <row r="235" spans="1:29" ht="12" customHeight="1">
      <c r="A235" s="1264"/>
      <c r="B235" s="1264"/>
      <c r="C235" s="1080"/>
      <c r="D235" s="1080"/>
      <c r="E235" s="1080"/>
      <c r="F235" s="1080"/>
      <c r="G235" s="1080"/>
      <c r="H235" s="1080"/>
      <c r="I235" s="1080"/>
      <c r="J235" s="1080"/>
      <c r="K235" s="1080"/>
      <c r="L235" s="1080"/>
      <c r="M235" s="1080"/>
      <c r="N235" s="1080"/>
      <c r="O235" s="1080"/>
      <c r="P235" s="1080"/>
      <c r="Q235" s="1080"/>
      <c r="R235" s="1080"/>
      <c r="S235" s="1080"/>
      <c r="T235" s="1080"/>
      <c r="U235" s="1080"/>
      <c r="V235" s="1080"/>
      <c r="W235" s="1080"/>
      <c r="X235" s="1080"/>
      <c r="Y235" s="1080"/>
      <c r="Z235" s="1080"/>
      <c r="AA235" s="1080"/>
      <c r="AB235" s="1080"/>
      <c r="AC235" s="1080"/>
    </row>
    <row r="236" spans="1:29" ht="12" customHeight="1">
      <c r="A236" s="1264"/>
      <c r="B236" s="1264"/>
      <c r="C236" s="1080"/>
      <c r="D236" s="1080"/>
      <c r="E236" s="1080"/>
      <c r="F236" s="1080"/>
      <c r="G236" s="1080"/>
      <c r="H236" s="1080"/>
      <c r="I236" s="1080"/>
      <c r="J236" s="1080"/>
      <c r="K236" s="1080"/>
      <c r="L236" s="1080"/>
      <c r="M236" s="1080"/>
      <c r="N236" s="1080"/>
      <c r="O236" s="1080"/>
      <c r="P236" s="1080"/>
      <c r="Q236" s="1080"/>
      <c r="R236" s="1080"/>
      <c r="S236" s="1080"/>
      <c r="T236" s="1080"/>
      <c r="U236" s="1080"/>
      <c r="V236" s="1080"/>
      <c r="W236" s="1080"/>
      <c r="X236" s="1080"/>
      <c r="Y236" s="1080"/>
      <c r="Z236" s="1080"/>
      <c r="AA236" s="1080"/>
      <c r="AB236" s="1080"/>
      <c r="AC236" s="1080"/>
    </row>
    <row r="237" spans="1:29" ht="12" customHeight="1">
      <c r="A237" s="1264"/>
      <c r="B237" s="1264"/>
      <c r="C237" s="1080"/>
      <c r="D237" s="1080"/>
      <c r="E237" s="1080"/>
      <c r="F237" s="1080"/>
      <c r="G237" s="1080"/>
      <c r="H237" s="1080"/>
      <c r="I237" s="1080"/>
      <c r="J237" s="1080"/>
      <c r="K237" s="1080"/>
      <c r="L237" s="1080"/>
      <c r="M237" s="1080"/>
      <c r="N237" s="1080"/>
      <c r="O237" s="1080"/>
      <c r="P237" s="1080"/>
      <c r="Q237" s="1080"/>
      <c r="R237" s="1080"/>
      <c r="S237" s="1080"/>
      <c r="T237" s="1080"/>
      <c r="U237" s="1080"/>
      <c r="V237" s="1080"/>
      <c r="W237" s="1080"/>
      <c r="X237" s="1080"/>
      <c r="Y237" s="1080"/>
      <c r="Z237" s="1080"/>
      <c r="AA237" s="1080"/>
      <c r="AB237" s="1080"/>
      <c r="AC237" s="1080"/>
    </row>
    <row r="238" spans="1:29" ht="12" customHeight="1">
      <c r="A238" s="1264"/>
      <c r="B238" s="1264"/>
      <c r="C238" s="1080"/>
      <c r="D238" s="1080"/>
      <c r="E238" s="1080"/>
      <c r="F238" s="1080"/>
      <c r="G238" s="1080"/>
      <c r="H238" s="1080"/>
      <c r="I238" s="1080"/>
      <c r="J238" s="1080"/>
      <c r="K238" s="1080"/>
      <c r="L238" s="1080"/>
      <c r="M238" s="1080"/>
      <c r="N238" s="1080"/>
      <c r="O238" s="1080"/>
      <c r="P238" s="1080"/>
      <c r="Q238" s="1080"/>
      <c r="R238" s="1080"/>
      <c r="S238" s="1080"/>
      <c r="T238" s="1080"/>
      <c r="U238" s="1080"/>
      <c r="V238" s="1080"/>
      <c r="W238" s="1080"/>
      <c r="X238" s="1080"/>
      <c r="Y238" s="1080"/>
      <c r="Z238" s="1080"/>
      <c r="AA238" s="1080"/>
      <c r="AB238" s="1080"/>
      <c r="AC238" s="1080"/>
    </row>
    <row r="239" spans="1:29" ht="12" customHeight="1">
      <c r="A239" s="1264"/>
      <c r="B239" s="1264"/>
      <c r="C239" s="1080"/>
      <c r="D239" s="1080"/>
      <c r="E239" s="1080"/>
      <c r="F239" s="1080"/>
      <c r="G239" s="1080"/>
      <c r="H239" s="1080"/>
      <c r="I239" s="1080"/>
      <c r="J239" s="1080"/>
      <c r="K239" s="1080"/>
      <c r="L239" s="1080"/>
      <c r="M239" s="1080"/>
      <c r="N239" s="1080"/>
      <c r="O239" s="1080"/>
      <c r="P239" s="1080"/>
      <c r="Q239" s="1080"/>
      <c r="R239" s="1080"/>
      <c r="S239" s="1080"/>
      <c r="T239" s="1080"/>
      <c r="U239" s="1080"/>
      <c r="V239" s="1080"/>
      <c r="W239" s="1080"/>
      <c r="X239" s="1080"/>
      <c r="Y239" s="1080"/>
      <c r="Z239" s="1080"/>
      <c r="AA239" s="1080"/>
      <c r="AB239" s="1080"/>
      <c r="AC239" s="1080"/>
    </row>
    <row r="240" spans="1:29" ht="12" customHeight="1">
      <c r="A240" s="1264"/>
      <c r="B240" s="1264"/>
      <c r="C240" s="1080"/>
      <c r="D240" s="1080"/>
      <c r="E240" s="1080"/>
      <c r="F240" s="1080"/>
      <c r="G240" s="1080"/>
      <c r="H240" s="1080"/>
      <c r="I240" s="1080"/>
      <c r="J240" s="1080"/>
      <c r="K240" s="1080"/>
      <c r="L240" s="1080"/>
      <c r="M240" s="1080"/>
      <c r="N240" s="1080"/>
      <c r="O240" s="1080"/>
      <c r="P240" s="1080"/>
      <c r="Q240" s="1080"/>
      <c r="R240" s="1080"/>
      <c r="S240" s="1080"/>
      <c r="T240" s="1080"/>
      <c r="U240" s="1080"/>
      <c r="V240" s="1080"/>
      <c r="W240" s="1080"/>
      <c r="X240" s="1080"/>
      <c r="Y240" s="1080"/>
      <c r="Z240" s="1080"/>
      <c r="AA240" s="1080"/>
      <c r="AB240" s="1080"/>
      <c r="AC240" s="1080"/>
    </row>
    <row r="241" spans="1:29" ht="12" customHeight="1">
      <c r="A241" s="1264"/>
      <c r="B241" s="1264"/>
      <c r="C241" s="1080"/>
      <c r="D241" s="1080"/>
      <c r="E241" s="1080"/>
      <c r="F241" s="1080"/>
      <c r="G241" s="1080"/>
      <c r="H241" s="1080"/>
      <c r="I241" s="1080"/>
      <c r="J241" s="1080"/>
      <c r="K241" s="1080"/>
      <c r="L241" s="1080"/>
      <c r="M241" s="1080"/>
      <c r="N241" s="1080"/>
      <c r="O241" s="1080"/>
      <c r="P241" s="1080"/>
      <c r="Q241" s="1080"/>
      <c r="R241" s="1080"/>
      <c r="S241" s="1080"/>
      <c r="T241" s="1080"/>
      <c r="U241" s="1080"/>
      <c r="V241" s="1080"/>
      <c r="W241" s="1080"/>
      <c r="X241" s="1080"/>
      <c r="Y241" s="1080"/>
      <c r="Z241" s="1080"/>
      <c r="AA241" s="1080"/>
      <c r="AB241" s="1080"/>
      <c r="AC241" s="1080"/>
    </row>
    <row r="242" spans="1:29" ht="12" customHeight="1">
      <c r="A242" s="1264"/>
      <c r="B242" s="1264"/>
      <c r="C242" s="1080"/>
      <c r="D242" s="1080"/>
      <c r="E242" s="1080"/>
      <c r="F242" s="1080"/>
      <c r="G242" s="1080"/>
      <c r="H242" s="1080"/>
      <c r="I242" s="1080"/>
      <c r="J242" s="1080"/>
      <c r="K242" s="1080"/>
      <c r="L242" s="1080"/>
      <c r="M242" s="1080"/>
      <c r="N242" s="1080"/>
      <c r="O242" s="1080"/>
      <c r="P242" s="1080"/>
      <c r="Q242" s="1080"/>
      <c r="R242" s="1080"/>
      <c r="S242" s="1080"/>
      <c r="T242" s="1080"/>
      <c r="U242" s="1080"/>
      <c r="V242" s="1080"/>
      <c r="W242" s="1080"/>
      <c r="X242" s="1080"/>
      <c r="Y242" s="1080"/>
      <c r="Z242" s="1080"/>
      <c r="AA242" s="1080"/>
      <c r="AB242" s="1080"/>
      <c r="AC242" s="1080"/>
    </row>
    <row r="243" spans="1:29" ht="12" customHeight="1">
      <c r="A243" s="1264"/>
      <c r="B243" s="1264"/>
      <c r="C243" s="1080"/>
      <c r="D243" s="1080"/>
      <c r="E243" s="1080"/>
      <c r="F243" s="1080"/>
      <c r="G243" s="1080"/>
      <c r="H243" s="1080"/>
      <c r="I243" s="1080"/>
      <c r="J243" s="1080"/>
      <c r="K243" s="1080"/>
      <c r="L243" s="1080"/>
      <c r="M243" s="1080"/>
      <c r="N243" s="1080"/>
      <c r="O243" s="1080"/>
      <c r="P243" s="1080"/>
      <c r="Q243" s="1080"/>
      <c r="R243" s="1080"/>
      <c r="S243" s="1080"/>
      <c r="T243" s="1080"/>
      <c r="U243" s="1080"/>
      <c r="V243" s="1080"/>
      <c r="W243" s="1080"/>
      <c r="X243" s="1080"/>
      <c r="Y243" s="1080"/>
      <c r="Z243" s="1080"/>
      <c r="AA243" s="1080"/>
      <c r="AB243" s="1080"/>
      <c r="AC243" s="1080"/>
    </row>
    <row r="244" spans="1:29" ht="12" customHeight="1">
      <c r="A244" s="1264"/>
      <c r="B244" s="1264"/>
      <c r="C244" s="1080"/>
      <c r="D244" s="1080"/>
      <c r="E244" s="1080"/>
      <c r="F244" s="1080"/>
      <c r="G244" s="1080"/>
      <c r="H244" s="1080"/>
      <c r="I244" s="1080"/>
      <c r="J244" s="1080"/>
      <c r="K244" s="1080"/>
      <c r="L244" s="1080"/>
      <c r="M244" s="1080"/>
      <c r="N244" s="1080"/>
      <c r="O244" s="1080"/>
      <c r="P244" s="1080"/>
      <c r="Q244" s="1080"/>
      <c r="R244" s="1080"/>
      <c r="S244" s="1080"/>
      <c r="T244" s="1080"/>
      <c r="U244" s="1080"/>
      <c r="V244" s="1080"/>
      <c r="W244" s="1080"/>
      <c r="X244" s="1080"/>
      <c r="Y244" s="1080"/>
      <c r="Z244" s="1080"/>
      <c r="AA244" s="1080"/>
      <c r="AB244" s="1080"/>
      <c r="AC244" s="1080"/>
    </row>
    <row r="245" spans="1:29" ht="12" customHeight="1">
      <c r="A245" s="1264"/>
      <c r="B245" s="1264"/>
      <c r="C245" s="1080"/>
      <c r="D245" s="1080"/>
      <c r="E245" s="1080"/>
      <c r="F245" s="1080"/>
      <c r="G245" s="1080"/>
      <c r="H245" s="1080"/>
      <c r="I245" s="1080"/>
      <c r="J245" s="1080"/>
      <c r="K245" s="1080"/>
      <c r="L245" s="1080"/>
      <c r="M245" s="1080"/>
      <c r="N245" s="1080"/>
      <c r="O245" s="1080"/>
      <c r="P245" s="1080"/>
      <c r="Q245" s="1080"/>
      <c r="R245" s="1080"/>
      <c r="S245" s="1080"/>
      <c r="T245" s="1080"/>
      <c r="U245" s="1080"/>
      <c r="V245" s="1080"/>
      <c r="W245" s="1080"/>
      <c r="X245" s="1080"/>
      <c r="Y245" s="1080"/>
      <c r="Z245" s="1080"/>
      <c r="AA245" s="1080"/>
      <c r="AB245" s="1080"/>
      <c r="AC245" s="1080"/>
    </row>
    <row r="246" spans="1:29" ht="12" customHeight="1">
      <c r="A246" s="1264"/>
      <c r="B246" s="1264"/>
      <c r="C246" s="1080"/>
      <c r="D246" s="1080"/>
      <c r="E246" s="1080"/>
      <c r="F246" s="1080"/>
      <c r="G246" s="1080"/>
      <c r="H246" s="1080"/>
      <c r="I246" s="1080"/>
      <c r="J246" s="1080"/>
      <c r="K246" s="1080"/>
      <c r="L246" s="1080"/>
      <c r="M246" s="1080"/>
      <c r="N246" s="1080"/>
      <c r="O246" s="1080"/>
      <c r="P246" s="1080"/>
      <c r="Q246" s="1080"/>
      <c r="R246" s="1080"/>
      <c r="S246" s="1080"/>
      <c r="T246" s="1080"/>
      <c r="U246" s="1080"/>
      <c r="V246" s="1080"/>
      <c r="W246" s="1080"/>
      <c r="X246" s="1080"/>
      <c r="Y246" s="1080"/>
      <c r="Z246" s="1080"/>
      <c r="AA246" s="1080"/>
      <c r="AB246" s="1080"/>
      <c r="AC246" s="1080"/>
    </row>
    <row r="247" spans="1:29" ht="12" customHeight="1">
      <c r="A247" s="1264"/>
      <c r="B247" s="1264"/>
      <c r="C247" s="1080"/>
      <c r="D247" s="1080"/>
      <c r="E247" s="1080"/>
      <c r="F247" s="1080"/>
      <c r="G247" s="1080"/>
      <c r="H247" s="1080"/>
      <c r="I247" s="1080"/>
      <c r="J247" s="1080"/>
      <c r="K247" s="1080"/>
      <c r="L247" s="1080"/>
      <c r="M247" s="1080"/>
      <c r="N247" s="1080"/>
      <c r="O247" s="1080"/>
      <c r="P247" s="1080"/>
      <c r="Q247" s="1080"/>
      <c r="R247" s="1080"/>
      <c r="S247" s="1080"/>
      <c r="T247" s="1080"/>
      <c r="U247" s="1080"/>
      <c r="V247" s="1080"/>
      <c r="W247" s="1080"/>
      <c r="X247" s="1080"/>
      <c r="Y247" s="1080"/>
      <c r="Z247" s="1080"/>
      <c r="AA247" s="1080"/>
      <c r="AB247" s="1080"/>
      <c r="AC247" s="1080"/>
    </row>
    <row r="248" spans="1:29" ht="12" customHeight="1">
      <c r="A248" s="1264"/>
      <c r="B248" s="1264"/>
      <c r="C248" s="1080"/>
      <c r="D248" s="1080"/>
      <c r="E248" s="1080"/>
      <c r="F248" s="1080"/>
      <c r="G248" s="1080"/>
      <c r="H248" s="1080"/>
      <c r="I248" s="1080"/>
      <c r="J248" s="1080"/>
      <c r="K248" s="1080"/>
      <c r="L248" s="1080"/>
      <c r="M248" s="1080"/>
      <c r="N248" s="1080"/>
      <c r="O248" s="1080"/>
      <c r="P248" s="1080"/>
      <c r="Q248" s="1080"/>
      <c r="R248" s="1080"/>
      <c r="S248" s="1080"/>
      <c r="T248" s="1080"/>
      <c r="U248" s="1080"/>
      <c r="V248" s="1080"/>
      <c r="W248" s="1080"/>
      <c r="X248" s="1080"/>
      <c r="Y248" s="1080"/>
      <c r="Z248" s="1080"/>
      <c r="AA248" s="1080"/>
      <c r="AB248" s="1080"/>
      <c r="AC248" s="1080"/>
    </row>
    <row r="249" spans="1:29" ht="12" customHeight="1">
      <c r="A249" s="1264"/>
      <c r="B249" s="1264"/>
      <c r="C249" s="1080"/>
      <c r="D249" s="1080"/>
      <c r="E249" s="1080"/>
      <c r="F249" s="1080"/>
      <c r="G249" s="1080"/>
      <c r="H249" s="1080"/>
      <c r="I249" s="1080"/>
      <c r="J249" s="1080"/>
      <c r="K249" s="1080"/>
      <c r="L249" s="1080"/>
      <c r="M249" s="1080"/>
      <c r="N249" s="1080"/>
      <c r="O249" s="1080"/>
      <c r="P249" s="1080"/>
      <c r="Q249" s="1080"/>
      <c r="R249" s="1080"/>
      <c r="S249" s="1080"/>
      <c r="T249" s="1080"/>
      <c r="U249" s="1080"/>
      <c r="V249" s="1080"/>
      <c r="W249" s="1080"/>
      <c r="X249" s="1080"/>
      <c r="Y249" s="1080"/>
      <c r="Z249" s="1080"/>
      <c r="AA249" s="1080"/>
      <c r="AB249" s="1080"/>
      <c r="AC249" s="1080"/>
    </row>
    <row r="250" spans="1:29" ht="12" customHeight="1">
      <c r="A250" s="1264"/>
      <c r="B250" s="1264"/>
      <c r="C250" s="1080"/>
      <c r="D250" s="1080"/>
      <c r="E250" s="1080"/>
      <c r="F250" s="1080"/>
      <c r="G250" s="1080"/>
      <c r="H250" s="1080"/>
      <c r="I250" s="1080"/>
      <c r="J250" s="1080"/>
      <c r="K250" s="1080"/>
      <c r="L250" s="1080"/>
      <c r="M250" s="1080"/>
      <c r="N250" s="1080"/>
      <c r="O250" s="1080"/>
      <c r="P250" s="1080"/>
      <c r="Q250" s="1080"/>
      <c r="R250" s="1080"/>
      <c r="S250" s="1080"/>
      <c r="T250" s="1080"/>
      <c r="U250" s="1080"/>
      <c r="V250" s="1080"/>
      <c r="W250" s="1080"/>
      <c r="X250" s="1080"/>
      <c r="Y250" s="1080"/>
      <c r="Z250" s="1080"/>
      <c r="AA250" s="1080"/>
      <c r="AB250" s="1080"/>
      <c r="AC250" s="1080"/>
    </row>
    <row r="251" spans="1:29" ht="12" customHeight="1">
      <c r="A251" s="1264"/>
      <c r="B251" s="1264"/>
      <c r="C251" s="1080"/>
      <c r="D251" s="1080"/>
      <c r="E251" s="1080"/>
      <c r="F251" s="1080"/>
      <c r="G251" s="1080"/>
      <c r="H251" s="1080"/>
      <c r="I251" s="1080"/>
      <c r="J251" s="1080"/>
      <c r="K251" s="1080"/>
      <c r="L251" s="1080"/>
      <c r="M251" s="1080"/>
      <c r="N251" s="1080"/>
      <c r="O251" s="1080"/>
      <c r="P251" s="1080"/>
      <c r="Q251" s="1080"/>
      <c r="R251" s="1080"/>
      <c r="S251" s="1080"/>
      <c r="T251" s="1080"/>
      <c r="U251" s="1080"/>
      <c r="V251" s="1080"/>
      <c r="W251" s="1080"/>
      <c r="X251" s="1080"/>
      <c r="Y251" s="1080"/>
      <c r="Z251" s="1080"/>
      <c r="AA251" s="1080"/>
      <c r="AB251" s="1080"/>
      <c r="AC251" s="1080"/>
    </row>
    <row r="252" spans="1:29" ht="12" customHeight="1">
      <c r="A252" s="1264"/>
      <c r="B252" s="1264"/>
      <c r="C252" s="1080"/>
      <c r="D252" s="1080"/>
      <c r="E252" s="1080"/>
      <c r="F252" s="1080"/>
      <c r="G252" s="1080"/>
      <c r="H252" s="1080"/>
      <c r="I252" s="1080"/>
      <c r="J252" s="1080"/>
      <c r="K252" s="1080"/>
      <c r="L252" s="1080"/>
      <c r="M252" s="1080"/>
      <c r="N252" s="1080"/>
      <c r="O252" s="1080"/>
      <c r="P252" s="1080"/>
      <c r="Q252" s="1080"/>
      <c r="R252" s="1080"/>
      <c r="S252" s="1080"/>
      <c r="T252" s="1080"/>
      <c r="U252" s="1080"/>
      <c r="V252" s="1080"/>
      <c r="W252" s="1080"/>
      <c r="X252" s="1080"/>
      <c r="Y252" s="1080"/>
      <c r="Z252" s="1080"/>
      <c r="AA252" s="1080"/>
      <c r="AB252" s="1080"/>
      <c r="AC252" s="1080"/>
    </row>
    <row r="253" spans="1:29" ht="12" customHeight="1">
      <c r="A253" s="1264"/>
      <c r="B253" s="1264"/>
      <c r="C253" s="1080"/>
      <c r="D253" s="1080"/>
      <c r="E253" s="1080"/>
      <c r="F253" s="1080"/>
      <c r="G253" s="1080"/>
      <c r="H253" s="1080"/>
      <c r="I253" s="1080"/>
      <c r="J253" s="1080"/>
      <c r="K253" s="1080"/>
      <c r="L253" s="1080"/>
      <c r="M253" s="1080"/>
      <c r="N253" s="1080"/>
      <c r="O253" s="1080"/>
      <c r="P253" s="1080"/>
      <c r="Q253" s="1080"/>
      <c r="R253" s="1080"/>
      <c r="S253" s="1080"/>
      <c r="T253" s="1080"/>
      <c r="U253" s="1080"/>
      <c r="V253" s="1080"/>
      <c r="W253" s="1080"/>
      <c r="X253" s="1080"/>
      <c r="Y253" s="1080"/>
      <c r="Z253" s="1080"/>
      <c r="AA253" s="1080"/>
      <c r="AB253" s="1080"/>
      <c r="AC253" s="1080"/>
    </row>
    <row r="254" spans="1:29" ht="12" customHeight="1">
      <c r="A254" s="1264"/>
      <c r="B254" s="1264"/>
      <c r="C254" s="1080"/>
      <c r="D254" s="1080"/>
      <c r="E254" s="1080"/>
      <c r="F254" s="1080"/>
      <c r="G254" s="1080"/>
      <c r="H254" s="1080"/>
      <c r="I254" s="1080"/>
      <c r="J254" s="1080"/>
      <c r="K254" s="1080"/>
      <c r="L254" s="1080"/>
      <c r="M254" s="1080"/>
      <c r="N254" s="1080"/>
      <c r="O254" s="1080"/>
      <c r="P254" s="1080"/>
      <c r="Q254" s="1080"/>
      <c r="R254" s="1080"/>
      <c r="S254" s="1080"/>
      <c r="T254" s="1080"/>
      <c r="U254" s="1080"/>
      <c r="V254" s="1080"/>
      <c r="W254" s="1080"/>
      <c r="X254" s="1080"/>
      <c r="Y254" s="1080"/>
      <c r="Z254" s="1080"/>
      <c r="AA254" s="1080"/>
      <c r="AB254" s="1080"/>
      <c r="AC254" s="1080"/>
    </row>
    <row r="255" spans="1:29" ht="12" customHeight="1">
      <c r="A255" s="1264"/>
      <c r="B255" s="1264"/>
      <c r="C255" s="1080"/>
      <c r="D255" s="1080"/>
      <c r="E255" s="1080"/>
      <c r="F255" s="1080"/>
      <c r="G255" s="1080"/>
      <c r="H255" s="1080"/>
      <c r="I255" s="1080"/>
      <c r="J255" s="1080"/>
      <c r="K255" s="1080"/>
      <c r="L255" s="1080"/>
      <c r="M255" s="1080"/>
      <c r="N255" s="1080"/>
      <c r="O255" s="1080"/>
      <c r="P255" s="1080"/>
      <c r="Q255" s="1080"/>
      <c r="R255" s="1080"/>
      <c r="S255" s="1080"/>
      <c r="T255" s="1080"/>
      <c r="U255" s="1080"/>
      <c r="V255" s="1080"/>
      <c r="W255" s="1080"/>
      <c r="X255" s="1080"/>
      <c r="Y255" s="1080"/>
      <c r="Z255" s="1080"/>
      <c r="AA255" s="1080"/>
      <c r="AB255" s="1080"/>
      <c r="AC255" s="1080"/>
    </row>
    <row r="256" spans="1:29" ht="12" customHeight="1">
      <c r="A256" s="1264"/>
      <c r="B256" s="1264"/>
      <c r="C256" s="1080"/>
      <c r="D256" s="1080"/>
      <c r="E256" s="1080"/>
      <c r="F256" s="1080"/>
      <c r="G256" s="1080"/>
      <c r="H256" s="1080"/>
      <c r="I256" s="1080"/>
      <c r="J256" s="1080"/>
      <c r="K256" s="1080"/>
      <c r="L256" s="1080"/>
      <c r="M256" s="1080"/>
      <c r="N256" s="1080"/>
      <c r="O256" s="1080"/>
      <c r="P256" s="1080"/>
      <c r="Q256" s="1080"/>
      <c r="R256" s="1080"/>
      <c r="S256" s="1080"/>
      <c r="T256" s="1080"/>
      <c r="U256" s="1080"/>
      <c r="V256" s="1080"/>
      <c r="W256" s="1080"/>
      <c r="X256" s="1080"/>
      <c r="Y256" s="1080"/>
      <c r="Z256" s="1080"/>
      <c r="AA256" s="1080"/>
      <c r="AB256" s="1080"/>
      <c r="AC256" s="1080"/>
    </row>
    <row r="257" spans="1:29" ht="12" customHeight="1">
      <c r="A257" s="1264"/>
      <c r="B257" s="1264"/>
      <c r="C257" s="1080"/>
      <c r="D257" s="1080"/>
      <c r="E257" s="1080"/>
      <c r="F257" s="1080"/>
      <c r="G257" s="1080"/>
      <c r="H257" s="1080"/>
      <c r="I257" s="1080"/>
      <c r="J257" s="1080"/>
      <c r="K257" s="1080"/>
      <c r="L257" s="1080"/>
      <c r="M257" s="1080"/>
      <c r="N257" s="1080"/>
      <c r="O257" s="1080"/>
      <c r="P257" s="1080"/>
      <c r="Q257" s="1080"/>
      <c r="R257" s="1080"/>
      <c r="S257" s="1080"/>
      <c r="T257" s="1080"/>
      <c r="U257" s="1080"/>
      <c r="V257" s="1080"/>
      <c r="W257" s="1080"/>
      <c r="X257" s="1080"/>
      <c r="Y257" s="1080"/>
      <c r="Z257" s="1080"/>
      <c r="AA257" s="1080"/>
      <c r="AB257" s="1080"/>
      <c r="AC257" s="1080"/>
    </row>
    <row r="258" spans="1:29" ht="12" customHeight="1">
      <c r="A258" s="1264"/>
      <c r="B258" s="1264"/>
      <c r="C258" s="1080"/>
      <c r="D258" s="1080"/>
      <c r="E258" s="1080"/>
      <c r="F258" s="1080"/>
      <c r="G258" s="1080"/>
      <c r="H258" s="1080"/>
      <c r="I258" s="1080"/>
      <c r="J258" s="1080"/>
      <c r="K258" s="1080"/>
      <c r="L258" s="1080"/>
      <c r="M258" s="1080"/>
      <c r="N258" s="1080"/>
      <c r="O258" s="1080"/>
      <c r="P258" s="1080"/>
      <c r="Q258" s="1080"/>
      <c r="R258" s="1080"/>
      <c r="S258" s="1080"/>
      <c r="T258" s="1080"/>
      <c r="U258" s="1080"/>
      <c r="V258" s="1080"/>
      <c r="W258" s="1080"/>
      <c r="X258" s="1080"/>
      <c r="Y258" s="1080"/>
      <c r="Z258" s="1080"/>
      <c r="AA258" s="1080"/>
      <c r="AB258" s="1080"/>
      <c r="AC258" s="1080"/>
    </row>
    <row r="259" spans="1:29" ht="12" customHeight="1">
      <c r="A259" s="1264"/>
      <c r="B259" s="1264"/>
      <c r="C259" s="1080"/>
      <c r="D259" s="1080"/>
      <c r="E259" s="1080"/>
      <c r="F259" s="1080"/>
      <c r="G259" s="1080"/>
      <c r="H259" s="1080"/>
      <c r="I259" s="1080"/>
      <c r="J259" s="1080"/>
      <c r="K259" s="1080"/>
      <c r="L259" s="1080"/>
      <c r="M259" s="1080"/>
      <c r="N259" s="1080"/>
      <c r="O259" s="1080"/>
      <c r="P259" s="1080"/>
      <c r="Q259" s="1080"/>
      <c r="R259" s="1080"/>
      <c r="S259" s="1080"/>
      <c r="T259" s="1080"/>
      <c r="U259" s="1080"/>
      <c r="V259" s="1080"/>
      <c r="W259" s="1080"/>
      <c r="X259" s="1080"/>
      <c r="Y259" s="1080"/>
      <c r="Z259" s="1080"/>
      <c r="AA259" s="1080"/>
      <c r="AB259" s="1080"/>
      <c r="AC259" s="1080"/>
    </row>
    <row r="260" spans="1:29" ht="12" customHeight="1">
      <c r="A260" s="1264"/>
      <c r="B260" s="1264"/>
      <c r="C260" s="1080"/>
      <c r="D260" s="1080"/>
      <c r="E260" s="1080"/>
      <c r="F260" s="1080"/>
      <c r="G260" s="1080"/>
      <c r="H260" s="1080"/>
      <c r="I260" s="1080"/>
      <c r="J260" s="1080"/>
      <c r="K260" s="1080"/>
      <c r="L260" s="1080"/>
      <c r="M260" s="1080"/>
      <c r="N260" s="1080"/>
      <c r="O260" s="1080"/>
      <c r="P260" s="1080"/>
      <c r="Q260" s="1080"/>
      <c r="R260" s="1080"/>
      <c r="S260" s="1080"/>
      <c r="T260" s="1080"/>
      <c r="U260" s="1080"/>
      <c r="V260" s="1080"/>
      <c r="W260" s="1080"/>
      <c r="X260" s="1080"/>
      <c r="Y260" s="1080"/>
      <c r="Z260" s="1080"/>
      <c r="AA260" s="1080"/>
      <c r="AB260" s="1080"/>
      <c r="AC260" s="1080"/>
    </row>
    <row r="261" spans="1:29" ht="12" customHeight="1">
      <c r="A261" s="1264"/>
      <c r="B261" s="1264"/>
      <c r="C261" s="1080"/>
      <c r="D261" s="1080"/>
      <c r="E261" s="1080"/>
      <c r="F261" s="1080"/>
      <c r="G261" s="1080"/>
      <c r="H261" s="1080"/>
      <c r="I261" s="1080"/>
      <c r="J261" s="1080"/>
      <c r="K261" s="1080"/>
      <c r="L261" s="1080"/>
      <c r="M261" s="1080"/>
      <c r="N261" s="1080"/>
      <c r="O261" s="1080"/>
      <c r="P261" s="1080"/>
      <c r="Q261" s="1080"/>
      <c r="R261" s="1080"/>
      <c r="S261" s="1080"/>
      <c r="T261" s="1080"/>
      <c r="U261" s="1080"/>
      <c r="V261" s="1080"/>
      <c r="W261" s="1080"/>
      <c r="X261" s="1080"/>
      <c r="Y261" s="1080"/>
      <c r="Z261" s="1080"/>
      <c r="AA261" s="1080"/>
      <c r="AB261" s="1080"/>
      <c r="AC261" s="1080"/>
    </row>
    <row r="262" spans="1:29" ht="12" customHeight="1">
      <c r="A262" s="1264"/>
      <c r="B262" s="1264"/>
      <c r="C262" s="1080"/>
      <c r="D262" s="1080"/>
      <c r="E262" s="1080"/>
      <c r="F262" s="1080"/>
      <c r="G262" s="1080"/>
      <c r="H262" s="1080"/>
      <c r="I262" s="1080"/>
      <c r="J262" s="1080"/>
      <c r="K262" s="1080"/>
      <c r="L262" s="1080"/>
      <c r="M262" s="1080"/>
      <c r="N262" s="1080"/>
      <c r="O262" s="1080"/>
      <c r="P262" s="1080"/>
      <c r="Q262" s="1080"/>
      <c r="R262" s="1080"/>
      <c r="S262" s="1080"/>
      <c r="T262" s="1080"/>
      <c r="U262" s="1080"/>
      <c r="V262" s="1080"/>
      <c r="W262" s="1080"/>
      <c r="X262" s="1080"/>
      <c r="Y262" s="1080"/>
      <c r="Z262" s="1080"/>
      <c r="AA262" s="1080"/>
      <c r="AB262" s="1080"/>
      <c r="AC262" s="1080"/>
    </row>
    <row r="263" spans="1:29" ht="12" customHeight="1">
      <c r="A263" s="1264"/>
      <c r="B263" s="1264"/>
      <c r="C263" s="1080"/>
      <c r="D263" s="1080"/>
      <c r="E263" s="1080"/>
      <c r="F263" s="1080"/>
      <c r="G263" s="1080"/>
      <c r="H263" s="1080"/>
      <c r="I263" s="1080"/>
      <c r="J263" s="1080"/>
      <c r="K263" s="1080"/>
      <c r="L263" s="1080"/>
      <c r="M263" s="1080"/>
      <c r="N263" s="1080"/>
      <c r="O263" s="1080"/>
      <c r="P263" s="1080"/>
      <c r="Q263" s="1080"/>
      <c r="R263" s="1080"/>
      <c r="S263" s="1080"/>
      <c r="T263" s="1080"/>
      <c r="U263" s="1080"/>
      <c r="V263" s="1080"/>
      <c r="W263" s="1080"/>
      <c r="X263" s="1080"/>
      <c r="Y263" s="1080"/>
      <c r="Z263" s="1080"/>
      <c r="AA263" s="1080"/>
      <c r="AB263" s="1080"/>
      <c r="AC263" s="1080"/>
    </row>
    <row r="264" spans="1:29" ht="12" customHeight="1">
      <c r="A264" s="1264"/>
      <c r="B264" s="1264"/>
      <c r="C264" s="1080"/>
      <c r="D264" s="1080"/>
      <c r="E264" s="1080"/>
      <c r="F264" s="1080"/>
      <c r="G264" s="1080"/>
      <c r="H264" s="1080"/>
      <c r="I264" s="1080"/>
      <c r="J264" s="1080"/>
      <c r="K264" s="1080"/>
      <c r="L264" s="1080"/>
      <c r="M264" s="1080"/>
      <c r="N264" s="1080"/>
      <c r="O264" s="1080"/>
      <c r="P264" s="1080"/>
      <c r="Q264" s="1080"/>
      <c r="R264" s="1080"/>
      <c r="S264" s="1080"/>
      <c r="T264" s="1080"/>
      <c r="U264" s="1080"/>
      <c r="V264" s="1080"/>
      <c r="W264" s="1080"/>
      <c r="X264" s="1080"/>
      <c r="Y264" s="1080"/>
      <c r="Z264" s="1080"/>
      <c r="AA264" s="1080"/>
      <c r="AB264" s="1080"/>
      <c r="AC264" s="1080"/>
    </row>
    <row r="265" spans="1:29" ht="12" customHeight="1">
      <c r="A265" s="1264"/>
      <c r="B265" s="1264"/>
      <c r="C265" s="1080"/>
      <c r="D265" s="1080"/>
      <c r="E265" s="1080"/>
      <c r="F265" s="1080"/>
      <c r="G265" s="1080"/>
      <c r="H265" s="1080"/>
      <c r="I265" s="1080"/>
      <c r="J265" s="1080"/>
      <c r="K265" s="1080"/>
      <c r="L265" s="1080"/>
      <c r="M265" s="1080"/>
      <c r="N265" s="1080"/>
      <c r="O265" s="1080"/>
      <c r="P265" s="1080"/>
      <c r="Q265" s="1080"/>
      <c r="R265" s="1080"/>
      <c r="S265" s="1080"/>
      <c r="T265" s="1080"/>
      <c r="U265" s="1080"/>
      <c r="V265" s="1080"/>
      <c r="W265" s="1080"/>
      <c r="X265" s="1080"/>
      <c r="Y265" s="1080"/>
      <c r="Z265" s="1080"/>
      <c r="AA265" s="1080"/>
      <c r="AB265" s="1080"/>
      <c r="AC265" s="1080"/>
    </row>
    <row r="266" spans="1:29" ht="12" customHeight="1">
      <c r="A266" s="1264"/>
      <c r="B266" s="1264"/>
      <c r="C266" s="1080"/>
      <c r="D266" s="1080"/>
      <c r="E266" s="1080"/>
      <c r="F266" s="1080"/>
      <c r="G266" s="1080"/>
      <c r="H266" s="1080"/>
      <c r="I266" s="1080"/>
      <c r="J266" s="1080"/>
      <c r="K266" s="1080"/>
      <c r="L266" s="1080"/>
      <c r="M266" s="1080"/>
      <c r="N266" s="1080"/>
      <c r="O266" s="1080"/>
      <c r="P266" s="1080"/>
      <c r="Q266" s="1080"/>
      <c r="R266" s="1080"/>
      <c r="S266" s="1080"/>
      <c r="T266" s="1080"/>
      <c r="U266" s="1080"/>
      <c r="V266" s="1080"/>
      <c r="W266" s="1080"/>
      <c r="X266" s="1080"/>
      <c r="Y266" s="1080"/>
      <c r="Z266" s="1080"/>
      <c r="AA266" s="1080"/>
      <c r="AB266" s="1080"/>
      <c r="AC266" s="1080"/>
    </row>
    <row r="267" spans="1:29" ht="12" customHeight="1">
      <c r="A267" s="1264"/>
      <c r="B267" s="1264"/>
      <c r="C267" s="1080"/>
      <c r="D267" s="1080"/>
      <c r="E267" s="1080"/>
      <c r="F267" s="1080"/>
      <c r="G267" s="1080"/>
      <c r="H267" s="1080"/>
      <c r="I267" s="1080"/>
      <c r="J267" s="1080"/>
      <c r="K267" s="1080"/>
      <c r="L267" s="1080"/>
      <c r="M267" s="1080"/>
      <c r="N267" s="1080"/>
      <c r="O267" s="1080"/>
      <c r="P267" s="1080"/>
      <c r="Q267" s="1080"/>
      <c r="R267" s="1080"/>
      <c r="S267" s="1080"/>
      <c r="T267" s="1080"/>
      <c r="U267" s="1080"/>
      <c r="V267" s="1080"/>
      <c r="W267" s="1080"/>
      <c r="X267" s="1080"/>
      <c r="Y267" s="1080"/>
      <c r="Z267" s="1080"/>
      <c r="AA267" s="1080"/>
      <c r="AB267" s="1080"/>
      <c r="AC267" s="1080"/>
    </row>
    <row r="268" spans="1:29" ht="12" customHeight="1">
      <c r="A268" s="1264"/>
      <c r="B268" s="1264"/>
      <c r="C268" s="1080"/>
      <c r="D268" s="1080"/>
      <c r="E268" s="1080"/>
      <c r="F268" s="1080"/>
      <c r="G268" s="1080"/>
      <c r="H268" s="1080"/>
      <c r="I268" s="1080"/>
      <c r="J268" s="1080"/>
      <c r="K268" s="1080"/>
      <c r="L268" s="1080"/>
      <c r="M268" s="1080"/>
      <c r="N268" s="1080"/>
      <c r="O268" s="1080"/>
      <c r="P268" s="1080"/>
      <c r="Q268" s="1080"/>
      <c r="R268" s="1080"/>
      <c r="S268" s="1080"/>
      <c r="T268" s="1080"/>
      <c r="U268" s="1080"/>
      <c r="V268" s="1080"/>
      <c r="W268" s="1080"/>
      <c r="X268" s="1080"/>
      <c r="Y268" s="1080"/>
      <c r="Z268" s="1080"/>
      <c r="AA268" s="1080"/>
      <c r="AB268" s="1080"/>
      <c r="AC268" s="1080"/>
    </row>
    <row r="269" spans="1:29" ht="12" customHeight="1">
      <c r="A269" s="1264"/>
      <c r="B269" s="1264"/>
      <c r="C269" s="1080"/>
      <c r="D269" s="1080"/>
      <c r="E269" s="1080"/>
      <c r="F269" s="1080"/>
      <c r="G269" s="1080"/>
      <c r="H269" s="1080"/>
      <c r="I269" s="1080"/>
      <c r="J269" s="1080"/>
      <c r="K269" s="1080"/>
      <c r="L269" s="1080"/>
      <c r="M269" s="1080"/>
      <c r="N269" s="1080"/>
      <c r="O269" s="1080"/>
      <c r="P269" s="1080"/>
      <c r="Q269" s="1080"/>
      <c r="R269" s="1080"/>
      <c r="S269" s="1080"/>
      <c r="T269" s="1080"/>
      <c r="U269" s="1080"/>
      <c r="V269" s="1080"/>
      <c r="W269" s="1080"/>
      <c r="X269" s="1080"/>
      <c r="Y269" s="1080"/>
      <c r="Z269" s="1080"/>
      <c r="AA269" s="1080"/>
      <c r="AB269" s="1080"/>
      <c r="AC269" s="1080"/>
    </row>
    <row r="270" spans="1:29" ht="12" customHeight="1">
      <c r="A270" s="1264"/>
      <c r="B270" s="1264"/>
      <c r="C270" s="1080"/>
      <c r="D270" s="1080"/>
      <c r="E270" s="1080"/>
      <c r="F270" s="1080"/>
      <c r="G270" s="1080"/>
      <c r="H270" s="1080"/>
      <c r="I270" s="1080"/>
      <c r="J270" s="1080"/>
      <c r="K270" s="1080"/>
      <c r="L270" s="1080"/>
      <c r="M270" s="1080"/>
      <c r="N270" s="1080"/>
      <c r="O270" s="1080"/>
      <c r="P270" s="1080"/>
      <c r="Q270" s="1080"/>
      <c r="R270" s="1080"/>
      <c r="S270" s="1080"/>
      <c r="T270" s="1080"/>
      <c r="U270" s="1080"/>
      <c r="V270" s="1080"/>
      <c r="W270" s="1080"/>
      <c r="X270" s="1080"/>
      <c r="Y270" s="1080"/>
      <c r="Z270" s="1080"/>
      <c r="AA270" s="1080"/>
      <c r="AB270" s="1080"/>
      <c r="AC270" s="1080"/>
    </row>
    <row r="271" spans="1:29" ht="12" customHeight="1">
      <c r="A271" s="1264"/>
      <c r="B271" s="1264"/>
      <c r="C271" s="1080"/>
      <c r="D271" s="1080"/>
      <c r="E271" s="1080"/>
      <c r="F271" s="1080"/>
      <c r="G271" s="1080"/>
      <c r="H271" s="1080"/>
      <c r="I271" s="1080"/>
      <c r="J271" s="1080"/>
      <c r="K271" s="1080"/>
      <c r="L271" s="1080"/>
      <c r="M271" s="1080"/>
      <c r="N271" s="1080"/>
      <c r="O271" s="1080"/>
      <c r="P271" s="1080"/>
      <c r="Q271" s="1080"/>
      <c r="R271" s="1080"/>
      <c r="S271" s="1080"/>
      <c r="T271" s="1080"/>
      <c r="U271" s="1080"/>
      <c r="V271" s="1080"/>
      <c r="W271" s="1080"/>
      <c r="X271" s="1080"/>
      <c r="Y271" s="1080"/>
      <c r="Z271" s="1080"/>
      <c r="AA271" s="1080"/>
      <c r="AB271" s="1080"/>
      <c r="AC271" s="1080"/>
    </row>
    <row r="272" spans="1:29" ht="12" customHeight="1">
      <c r="A272" s="1264"/>
      <c r="B272" s="1264"/>
      <c r="C272" s="1080"/>
      <c r="D272" s="1080"/>
      <c r="E272" s="1080"/>
      <c r="F272" s="1080"/>
      <c r="G272" s="1080"/>
      <c r="H272" s="1080"/>
      <c r="I272" s="1080"/>
      <c r="J272" s="1080"/>
      <c r="K272" s="1080"/>
      <c r="L272" s="1080"/>
      <c r="M272" s="1080"/>
      <c r="N272" s="1080"/>
      <c r="O272" s="1080"/>
      <c r="P272" s="1080"/>
      <c r="Q272" s="1080"/>
      <c r="R272" s="1080"/>
      <c r="S272" s="1080"/>
      <c r="T272" s="1080"/>
      <c r="U272" s="1080"/>
      <c r="V272" s="1080"/>
      <c r="W272" s="1080"/>
      <c r="X272" s="1080"/>
      <c r="Y272" s="1080"/>
      <c r="Z272" s="1080"/>
      <c r="AA272" s="1080"/>
      <c r="AB272" s="1080"/>
      <c r="AC272" s="1080"/>
    </row>
    <row r="273" spans="1:29" ht="12" customHeight="1">
      <c r="A273" s="1264"/>
      <c r="B273" s="1264"/>
      <c r="C273" s="1080"/>
      <c r="D273" s="1080"/>
      <c r="E273" s="1080"/>
      <c r="F273" s="1080"/>
      <c r="G273" s="1080"/>
      <c r="H273" s="1080"/>
      <c r="I273" s="1080"/>
      <c r="J273" s="1080"/>
      <c r="K273" s="1080"/>
      <c r="L273" s="1080"/>
      <c r="M273" s="1080"/>
      <c r="N273" s="1080"/>
      <c r="O273" s="1080"/>
      <c r="P273" s="1080"/>
      <c r="Q273" s="1080"/>
      <c r="R273" s="1080"/>
      <c r="S273" s="1080"/>
      <c r="T273" s="1080"/>
      <c r="U273" s="1080"/>
      <c r="V273" s="1080"/>
      <c r="W273" s="1080"/>
      <c r="X273" s="1080"/>
      <c r="Y273" s="1080"/>
      <c r="Z273" s="1080"/>
      <c r="AA273" s="1080"/>
      <c r="AB273" s="1080"/>
      <c r="AC273" s="1080"/>
    </row>
    <row r="274" spans="1:29" ht="12" customHeight="1">
      <c r="A274" s="1264"/>
      <c r="B274" s="1264"/>
      <c r="C274" s="1080"/>
      <c r="D274" s="1080"/>
      <c r="E274" s="1080"/>
      <c r="F274" s="1080"/>
      <c r="G274" s="1080"/>
      <c r="H274" s="1080"/>
      <c r="I274" s="1080"/>
      <c r="J274" s="1080"/>
      <c r="K274" s="1080"/>
      <c r="L274" s="1080"/>
      <c r="M274" s="1080"/>
      <c r="N274" s="1080"/>
      <c r="O274" s="1080"/>
      <c r="P274" s="1080"/>
      <c r="Q274" s="1080"/>
      <c r="R274" s="1080"/>
      <c r="S274" s="1080"/>
      <c r="T274" s="1080"/>
      <c r="U274" s="1080"/>
      <c r="V274" s="1080"/>
      <c r="W274" s="1080"/>
      <c r="X274" s="1080"/>
      <c r="Y274" s="1080"/>
      <c r="Z274" s="1080"/>
      <c r="AA274" s="1080"/>
      <c r="AB274" s="1080"/>
      <c r="AC274" s="1080"/>
    </row>
    <row r="275" spans="1:29" ht="12" customHeight="1">
      <c r="A275" s="1264"/>
      <c r="B275" s="1264"/>
      <c r="C275" s="1080"/>
      <c r="D275" s="1080"/>
      <c r="E275" s="1080"/>
      <c r="F275" s="1080"/>
      <c r="G275" s="1080"/>
      <c r="H275" s="1080"/>
      <c r="I275" s="1080"/>
      <c r="J275" s="1080"/>
      <c r="K275" s="1080"/>
      <c r="L275" s="1080"/>
      <c r="M275" s="1080"/>
      <c r="N275" s="1080"/>
      <c r="O275" s="1080"/>
      <c r="P275" s="1080"/>
      <c r="Q275" s="1080"/>
      <c r="R275" s="1080"/>
      <c r="S275" s="1080"/>
      <c r="T275" s="1080"/>
      <c r="U275" s="1080"/>
      <c r="V275" s="1080"/>
      <c r="W275" s="1080"/>
      <c r="X275" s="1080"/>
      <c r="Y275" s="1080"/>
      <c r="Z275" s="1080"/>
      <c r="AA275" s="1080"/>
      <c r="AB275" s="1080"/>
      <c r="AC275" s="1080"/>
    </row>
    <row r="276" spans="1:29" ht="12" customHeight="1">
      <c r="A276" s="1264"/>
      <c r="B276" s="1264"/>
      <c r="C276" s="1080"/>
      <c r="D276" s="1080"/>
      <c r="E276" s="1080"/>
      <c r="F276" s="1080"/>
      <c r="G276" s="1080"/>
      <c r="H276" s="1080"/>
      <c r="I276" s="1080"/>
      <c r="J276" s="1080"/>
      <c r="K276" s="1080"/>
      <c r="L276" s="1080"/>
      <c r="M276" s="1080"/>
      <c r="N276" s="1080"/>
      <c r="O276" s="1080"/>
      <c r="P276" s="1080"/>
      <c r="Q276" s="1080"/>
      <c r="R276" s="1080"/>
      <c r="S276" s="1080"/>
      <c r="T276" s="1080"/>
      <c r="U276" s="1080"/>
      <c r="V276" s="1080"/>
      <c r="W276" s="1080"/>
      <c r="X276" s="1080"/>
      <c r="Y276" s="1080"/>
      <c r="Z276" s="1080"/>
      <c r="AA276" s="1080"/>
      <c r="AB276" s="1080"/>
      <c r="AC276" s="1080"/>
    </row>
    <row r="277" spans="1:29" ht="12" customHeight="1">
      <c r="A277" s="1264"/>
      <c r="B277" s="1264"/>
      <c r="C277" s="1080"/>
      <c r="D277" s="1080"/>
      <c r="E277" s="1080"/>
      <c r="F277" s="1080"/>
      <c r="G277" s="1080"/>
      <c r="H277" s="1080"/>
      <c r="I277" s="1080"/>
      <c r="J277" s="1080"/>
      <c r="K277" s="1080"/>
      <c r="L277" s="1080"/>
      <c r="M277" s="1080"/>
      <c r="N277" s="1080"/>
      <c r="O277" s="1080"/>
      <c r="P277" s="1080"/>
      <c r="Q277" s="1080"/>
      <c r="R277" s="1080"/>
      <c r="S277" s="1080"/>
      <c r="T277" s="1080"/>
      <c r="U277" s="1080"/>
      <c r="V277" s="1080"/>
      <c r="W277" s="1080"/>
      <c r="X277" s="1080"/>
      <c r="Y277" s="1080"/>
      <c r="Z277" s="1080"/>
      <c r="AA277" s="1080"/>
      <c r="AB277" s="1080"/>
      <c r="AC277" s="1080"/>
    </row>
    <row r="278" spans="1:29" ht="12" customHeight="1">
      <c r="A278" s="1264"/>
      <c r="B278" s="1264"/>
      <c r="C278" s="1080"/>
      <c r="D278" s="1080"/>
      <c r="E278" s="1080"/>
      <c r="F278" s="1080"/>
      <c r="G278" s="1080"/>
      <c r="H278" s="1080"/>
      <c r="I278" s="1080"/>
      <c r="J278" s="1080"/>
      <c r="K278" s="1080"/>
      <c r="L278" s="1080"/>
      <c r="M278" s="1080"/>
      <c r="N278" s="1080"/>
      <c r="O278" s="1080"/>
      <c r="P278" s="1080"/>
      <c r="Q278" s="1080"/>
      <c r="R278" s="1080"/>
      <c r="S278" s="1080"/>
      <c r="T278" s="1080"/>
      <c r="U278" s="1080"/>
      <c r="V278" s="1080"/>
      <c r="W278" s="1080"/>
      <c r="X278" s="1080"/>
      <c r="Y278" s="1080"/>
      <c r="Z278" s="1080"/>
      <c r="AA278" s="1080"/>
      <c r="AB278" s="1080"/>
      <c r="AC278" s="1080"/>
    </row>
    <row r="279" spans="1:29" ht="12" customHeight="1">
      <c r="A279" s="1264"/>
      <c r="B279" s="1264"/>
      <c r="C279" s="1080"/>
      <c r="D279" s="1080"/>
      <c r="E279" s="1080"/>
      <c r="F279" s="1080"/>
      <c r="G279" s="1080"/>
      <c r="H279" s="1080"/>
      <c r="I279" s="1080"/>
      <c r="J279" s="1080"/>
      <c r="K279" s="1080"/>
      <c r="L279" s="1080"/>
      <c r="M279" s="1080"/>
      <c r="N279" s="1080"/>
      <c r="O279" s="1080"/>
      <c r="P279" s="1080"/>
      <c r="Q279" s="1080"/>
      <c r="R279" s="1080"/>
      <c r="S279" s="1080"/>
      <c r="T279" s="1080"/>
      <c r="U279" s="1080"/>
      <c r="V279" s="1080"/>
      <c r="W279" s="1080"/>
      <c r="X279" s="1080"/>
      <c r="Y279" s="1080"/>
      <c r="Z279" s="1080"/>
      <c r="AA279" s="1080"/>
      <c r="AB279" s="1080"/>
      <c r="AC279" s="1080"/>
    </row>
    <row r="280" spans="1:29" ht="12" customHeight="1">
      <c r="A280" s="1264"/>
      <c r="B280" s="1264"/>
      <c r="C280" s="1080"/>
      <c r="D280" s="1080"/>
      <c r="E280" s="1080"/>
      <c r="F280" s="1080"/>
      <c r="G280" s="1080"/>
      <c r="H280" s="1080"/>
      <c r="I280" s="1080"/>
      <c r="J280" s="1080"/>
      <c r="K280" s="1080"/>
      <c r="L280" s="1080"/>
      <c r="M280" s="1080"/>
      <c r="N280" s="1080"/>
      <c r="O280" s="1080"/>
      <c r="P280" s="1080"/>
      <c r="Q280" s="1080"/>
      <c r="R280" s="1080"/>
      <c r="S280" s="1080"/>
      <c r="T280" s="1080"/>
      <c r="U280" s="1080"/>
      <c r="V280" s="1080"/>
      <c r="W280" s="1080"/>
      <c r="X280" s="1080"/>
      <c r="Y280" s="1080"/>
      <c r="Z280" s="1080"/>
      <c r="AA280" s="1080"/>
      <c r="AB280" s="1080"/>
      <c r="AC280" s="1080"/>
    </row>
    <row r="281" spans="1:29" ht="12" customHeight="1">
      <c r="A281" s="1264"/>
      <c r="B281" s="1264"/>
      <c r="C281" s="1080"/>
      <c r="D281" s="1080"/>
      <c r="E281" s="1080"/>
      <c r="F281" s="1080"/>
      <c r="G281" s="1080"/>
      <c r="H281" s="1080"/>
      <c r="I281" s="1080"/>
      <c r="J281" s="1080"/>
      <c r="K281" s="1080"/>
      <c r="L281" s="1080"/>
      <c r="M281" s="1080"/>
      <c r="N281" s="1080"/>
      <c r="O281" s="1080"/>
      <c r="P281" s="1080"/>
      <c r="Q281" s="1080"/>
      <c r="R281" s="1080"/>
      <c r="S281" s="1080"/>
      <c r="T281" s="1080"/>
      <c r="U281" s="1080"/>
      <c r="V281" s="1080"/>
      <c r="W281" s="1080"/>
      <c r="X281" s="1080"/>
      <c r="Y281" s="1080"/>
      <c r="Z281" s="1080"/>
      <c r="AA281" s="1080"/>
      <c r="AB281" s="1080"/>
      <c r="AC281" s="1080"/>
    </row>
    <row r="282" spans="1:29" ht="12" customHeight="1">
      <c r="A282" s="1264"/>
      <c r="B282" s="1264"/>
      <c r="C282" s="1080"/>
      <c r="D282" s="1080"/>
      <c r="E282" s="1080"/>
      <c r="F282" s="1080"/>
      <c r="G282" s="1080"/>
      <c r="H282" s="1080"/>
      <c r="I282" s="1080"/>
      <c r="J282" s="1080"/>
      <c r="K282" s="1080"/>
      <c r="L282" s="1080"/>
      <c r="M282" s="1080"/>
      <c r="N282" s="1080"/>
      <c r="O282" s="1080"/>
      <c r="P282" s="1080"/>
      <c r="Q282" s="1080"/>
      <c r="R282" s="1080"/>
      <c r="S282" s="1080"/>
      <c r="T282" s="1080"/>
      <c r="U282" s="1080"/>
      <c r="V282" s="1080"/>
      <c r="W282" s="1080"/>
      <c r="X282" s="1080"/>
      <c r="Y282" s="1080"/>
      <c r="Z282" s="1080"/>
      <c r="AA282" s="1080"/>
      <c r="AB282" s="1080"/>
      <c r="AC282" s="1080"/>
    </row>
    <row r="283" spans="1:29" ht="12" customHeight="1">
      <c r="A283" s="1264"/>
      <c r="B283" s="1264"/>
      <c r="C283" s="1080"/>
      <c r="D283" s="1080"/>
      <c r="E283" s="1080"/>
      <c r="F283" s="1080"/>
      <c r="G283" s="1080"/>
      <c r="H283" s="1080"/>
      <c r="I283" s="1080"/>
      <c r="J283" s="1080"/>
      <c r="K283" s="1080"/>
      <c r="L283" s="1080"/>
      <c r="M283" s="1080"/>
      <c r="N283" s="1080"/>
      <c r="O283" s="1080"/>
      <c r="P283" s="1080"/>
      <c r="Q283" s="1080"/>
      <c r="R283" s="1080"/>
      <c r="S283" s="1080"/>
      <c r="T283" s="1080"/>
      <c r="U283" s="1080"/>
      <c r="V283" s="1080"/>
      <c r="W283" s="1080"/>
      <c r="X283" s="1080"/>
      <c r="Y283" s="1080"/>
      <c r="Z283" s="1080"/>
      <c r="AA283" s="1080"/>
      <c r="AB283" s="1080"/>
      <c r="AC283" s="1080"/>
    </row>
    <row r="284" spans="1:29" ht="12" customHeight="1">
      <c r="A284" s="1264"/>
      <c r="B284" s="1264"/>
      <c r="C284" s="1080"/>
      <c r="D284" s="1080"/>
      <c r="E284" s="1080"/>
      <c r="F284" s="1080"/>
      <c r="G284" s="1080"/>
      <c r="H284" s="1080"/>
      <c r="I284" s="1080"/>
      <c r="J284" s="1080"/>
      <c r="K284" s="1080"/>
      <c r="L284" s="1080"/>
      <c r="M284" s="1080"/>
      <c r="N284" s="1080"/>
      <c r="O284" s="1080"/>
      <c r="P284" s="1080"/>
      <c r="Q284" s="1080"/>
      <c r="R284" s="1080"/>
      <c r="S284" s="1080"/>
      <c r="T284" s="1080"/>
      <c r="U284" s="1080"/>
      <c r="V284" s="1080"/>
      <c r="W284" s="1080"/>
      <c r="X284" s="1080"/>
      <c r="Y284" s="1080"/>
      <c r="Z284" s="1080"/>
      <c r="AA284" s="1080"/>
      <c r="AB284" s="1080"/>
      <c r="AC284" s="1080"/>
    </row>
    <row r="285" spans="1:29" ht="12" customHeight="1">
      <c r="A285" s="1264"/>
      <c r="B285" s="1264"/>
      <c r="C285" s="1080"/>
      <c r="D285" s="1080"/>
      <c r="E285" s="1080"/>
      <c r="F285" s="1080"/>
      <c r="G285" s="1080"/>
      <c r="H285" s="1080"/>
      <c r="I285" s="1080"/>
      <c r="J285" s="1080"/>
      <c r="K285" s="1080"/>
      <c r="L285" s="1080"/>
      <c r="M285" s="1080"/>
      <c r="N285" s="1080"/>
      <c r="O285" s="1080"/>
      <c r="P285" s="1080"/>
      <c r="Q285" s="1080"/>
      <c r="R285" s="1080"/>
      <c r="S285" s="1080"/>
      <c r="T285" s="1080"/>
      <c r="U285" s="1080"/>
      <c r="V285" s="1080"/>
      <c r="W285" s="1080"/>
      <c r="X285" s="1080"/>
      <c r="Y285" s="1080"/>
      <c r="Z285" s="1080"/>
      <c r="AA285" s="1080"/>
      <c r="AB285" s="1080"/>
      <c r="AC285" s="1080"/>
    </row>
    <row r="286" spans="1:29" ht="12" customHeight="1">
      <c r="A286" s="1264"/>
      <c r="B286" s="1264"/>
      <c r="C286" s="1080"/>
      <c r="D286" s="1080"/>
      <c r="E286" s="1080"/>
      <c r="F286" s="1080"/>
      <c r="G286" s="1080"/>
      <c r="H286" s="1080"/>
      <c r="I286" s="1080"/>
      <c r="J286" s="1080"/>
      <c r="K286" s="1080"/>
      <c r="L286" s="1080"/>
      <c r="M286" s="1080"/>
      <c r="N286" s="1080"/>
      <c r="O286" s="1080"/>
      <c r="P286" s="1080"/>
      <c r="Q286" s="1080"/>
      <c r="R286" s="1080"/>
      <c r="S286" s="1080"/>
      <c r="T286" s="1080"/>
      <c r="U286" s="1080"/>
      <c r="V286" s="1080"/>
      <c r="W286" s="1080"/>
      <c r="X286" s="1080"/>
      <c r="Y286" s="1080"/>
      <c r="Z286" s="1080"/>
      <c r="AA286" s="1080"/>
      <c r="AB286" s="1080"/>
      <c r="AC286" s="1080"/>
    </row>
    <row r="287" spans="1:29" ht="12" customHeight="1">
      <c r="A287" s="1264"/>
      <c r="B287" s="1264"/>
      <c r="C287" s="1080"/>
      <c r="D287" s="1080"/>
      <c r="E287" s="1080"/>
      <c r="F287" s="1080"/>
      <c r="G287" s="1080"/>
      <c r="H287" s="1080"/>
      <c r="I287" s="1080"/>
      <c r="J287" s="1080"/>
      <c r="K287" s="1080"/>
      <c r="L287" s="1080"/>
      <c r="M287" s="1080"/>
      <c r="N287" s="1080"/>
      <c r="O287" s="1080"/>
      <c r="P287" s="1080"/>
      <c r="Q287" s="1080"/>
      <c r="R287" s="1080"/>
      <c r="S287" s="1080"/>
      <c r="T287" s="1080"/>
      <c r="U287" s="1080"/>
      <c r="V287" s="1080"/>
      <c r="W287" s="1080"/>
      <c r="X287" s="1080"/>
      <c r="Y287" s="1080"/>
      <c r="Z287" s="1080"/>
      <c r="AA287" s="1080"/>
      <c r="AB287" s="1080"/>
      <c r="AC287" s="1080"/>
    </row>
    <row r="288" spans="1:29" ht="12" customHeight="1">
      <c r="A288" s="1264"/>
      <c r="B288" s="1264"/>
      <c r="C288" s="1080"/>
      <c r="D288" s="1080"/>
      <c r="E288" s="1080"/>
      <c r="F288" s="1080"/>
      <c r="G288" s="1080"/>
      <c r="H288" s="1080"/>
      <c r="I288" s="1080"/>
      <c r="J288" s="1080"/>
      <c r="K288" s="1080"/>
      <c r="L288" s="1080"/>
      <c r="M288" s="1080"/>
      <c r="N288" s="1080"/>
      <c r="O288" s="1080"/>
      <c r="P288" s="1080"/>
      <c r="Q288" s="1080"/>
      <c r="R288" s="1080"/>
      <c r="S288" s="1080"/>
      <c r="T288" s="1080"/>
      <c r="U288" s="1080"/>
      <c r="V288" s="1080"/>
      <c r="W288" s="1080"/>
      <c r="X288" s="1080"/>
      <c r="Y288" s="1080"/>
      <c r="Z288" s="1080"/>
      <c r="AA288" s="1080"/>
      <c r="AB288" s="1080"/>
      <c r="AC288" s="1080"/>
    </row>
    <row r="289" spans="1:29" ht="12" customHeight="1">
      <c r="A289" s="1264"/>
      <c r="B289" s="1264"/>
      <c r="C289" s="1080"/>
      <c r="D289" s="1080"/>
      <c r="E289" s="1080"/>
      <c r="F289" s="1080"/>
      <c r="G289" s="1080"/>
      <c r="H289" s="1080"/>
      <c r="I289" s="1080"/>
      <c r="J289" s="1080"/>
      <c r="K289" s="1080"/>
      <c r="L289" s="1080"/>
      <c r="M289" s="1080"/>
      <c r="N289" s="1080"/>
      <c r="O289" s="1080"/>
      <c r="P289" s="1080"/>
      <c r="Q289" s="1080"/>
      <c r="R289" s="1080"/>
      <c r="S289" s="1080"/>
      <c r="T289" s="1080"/>
      <c r="U289" s="1080"/>
      <c r="V289" s="1080"/>
      <c r="W289" s="1080"/>
      <c r="X289" s="1080"/>
      <c r="Y289" s="1080"/>
      <c r="Z289" s="1080"/>
      <c r="AA289" s="1080"/>
      <c r="AB289" s="1080"/>
      <c r="AC289" s="1080"/>
    </row>
    <row r="290" spans="1:29" ht="12" customHeight="1">
      <c r="A290" s="1264"/>
      <c r="B290" s="1264"/>
      <c r="C290" s="1080"/>
      <c r="D290" s="1080"/>
      <c r="E290" s="1080"/>
      <c r="F290" s="1080"/>
      <c r="G290" s="1080"/>
      <c r="H290" s="1080"/>
      <c r="I290" s="1080"/>
      <c r="J290" s="1080"/>
      <c r="K290" s="1080"/>
      <c r="L290" s="1080"/>
      <c r="M290" s="1080"/>
      <c r="N290" s="1080"/>
      <c r="O290" s="1080"/>
      <c r="P290" s="1080"/>
      <c r="Q290" s="1080"/>
      <c r="R290" s="1080"/>
      <c r="S290" s="1080"/>
      <c r="T290" s="1080"/>
      <c r="U290" s="1080"/>
      <c r="V290" s="1080"/>
      <c r="W290" s="1080"/>
      <c r="X290" s="1080"/>
      <c r="Y290" s="1080"/>
      <c r="Z290" s="1080"/>
      <c r="AA290" s="1080"/>
      <c r="AB290" s="1080"/>
      <c r="AC290" s="1080"/>
    </row>
    <row r="291" spans="1:29" ht="12" customHeight="1">
      <c r="A291" s="1264"/>
      <c r="B291" s="1264"/>
      <c r="C291" s="1080"/>
      <c r="D291" s="1080"/>
      <c r="E291" s="1080"/>
      <c r="F291" s="1080"/>
      <c r="G291" s="1080"/>
      <c r="H291" s="1080"/>
      <c r="I291" s="1080"/>
      <c r="J291" s="1080"/>
      <c r="K291" s="1080"/>
      <c r="L291" s="1080"/>
      <c r="M291" s="1080"/>
      <c r="N291" s="1080"/>
      <c r="O291" s="1080"/>
      <c r="P291" s="1080"/>
      <c r="Q291" s="1080"/>
      <c r="R291" s="1080"/>
      <c r="S291" s="1080"/>
      <c r="T291" s="1080"/>
      <c r="U291" s="1080"/>
      <c r="V291" s="1080"/>
      <c r="W291" s="1080"/>
      <c r="X291" s="1080"/>
      <c r="Y291" s="1080"/>
      <c r="Z291" s="1080"/>
      <c r="AA291" s="1080"/>
      <c r="AB291" s="1080"/>
      <c r="AC291" s="1080"/>
    </row>
    <row r="292" spans="1:29" ht="12" customHeight="1">
      <c r="A292" s="1264"/>
      <c r="B292" s="1264"/>
      <c r="C292" s="1080"/>
      <c r="D292" s="1080"/>
      <c r="E292" s="1080"/>
      <c r="F292" s="1080"/>
      <c r="G292" s="1080"/>
      <c r="H292" s="1080"/>
      <c r="I292" s="1080"/>
      <c r="J292" s="1080"/>
      <c r="K292" s="1080"/>
      <c r="L292" s="1080"/>
      <c r="M292" s="1080"/>
      <c r="N292" s="1080"/>
      <c r="O292" s="1080"/>
      <c r="P292" s="1080"/>
      <c r="Q292" s="1080"/>
      <c r="R292" s="1080"/>
      <c r="S292" s="1080"/>
      <c r="T292" s="1080"/>
      <c r="U292" s="1080"/>
      <c r="V292" s="1080"/>
      <c r="W292" s="1080"/>
      <c r="X292" s="1080"/>
      <c r="Y292" s="1080"/>
      <c r="Z292" s="1080"/>
      <c r="AA292" s="1080"/>
      <c r="AB292" s="1080"/>
      <c r="AC292" s="1080"/>
    </row>
    <row r="293" spans="1:29" ht="12" customHeight="1">
      <c r="A293" s="1264"/>
      <c r="B293" s="1264"/>
      <c r="C293" s="1080"/>
      <c r="D293" s="1080"/>
      <c r="E293" s="1080"/>
      <c r="F293" s="1080"/>
      <c r="G293" s="1080"/>
      <c r="H293" s="1080"/>
      <c r="I293" s="1080"/>
      <c r="J293" s="1080"/>
      <c r="K293" s="1080"/>
      <c r="L293" s="1080"/>
      <c r="M293" s="1080"/>
      <c r="N293" s="1080"/>
      <c r="O293" s="1080"/>
      <c r="P293" s="1080"/>
      <c r="Q293" s="1080"/>
      <c r="R293" s="1080"/>
      <c r="S293" s="1080"/>
      <c r="T293" s="1080"/>
      <c r="U293" s="1080"/>
      <c r="V293" s="1080"/>
      <c r="W293" s="1080"/>
      <c r="X293" s="1080"/>
      <c r="Y293" s="1080"/>
      <c r="Z293" s="1080"/>
      <c r="AA293" s="1080"/>
      <c r="AB293" s="1080"/>
      <c r="AC293" s="1080"/>
    </row>
    <row r="294" spans="1:29" ht="12" customHeight="1">
      <c r="A294" s="1264"/>
      <c r="B294" s="1264"/>
      <c r="C294" s="1080"/>
      <c r="D294" s="1080"/>
      <c r="E294" s="1080"/>
      <c r="F294" s="1080"/>
      <c r="G294" s="1080"/>
      <c r="H294" s="1080"/>
      <c r="I294" s="1080"/>
      <c r="J294" s="1080"/>
      <c r="K294" s="1080"/>
      <c r="L294" s="1080"/>
      <c r="M294" s="1080"/>
      <c r="N294" s="1080"/>
      <c r="O294" s="1080"/>
      <c r="P294" s="1080"/>
      <c r="Q294" s="1080"/>
      <c r="R294" s="1080"/>
      <c r="S294" s="1080"/>
      <c r="T294" s="1080"/>
      <c r="U294" s="1080"/>
      <c r="V294" s="1080"/>
      <c r="W294" s="1080"/>
      <c r="X294" s="1080"/>
      <c r="Y294" s="1080"/>
      <c r="Z294" s="1080"/>
      <c r="AA294" s="1080"/>
      <c r="AB294" s="1080"/>
      <c r="AC294" s="1080"/>
    </row>
    <row r="295" spans="1:29" ht="12" customHeight="1">
      <c r="A295" s="1264"/>
      <c r="B295" s="1264"/>
      <c r="C295" s="1080"/>
      <c r="D295" s="1080"/>
      <c r="E295" s="1080"/>
      <c r="F295" s="1080"/>
      <c r="G295" s="1080"/>
      <c r="H295" s="1080"/>
      <c r="I295" s="1080"/>
      <c r="J295" s="1080"/>
      <c r="K295" s="1080"/>
      <c r="L295" s="1080"/>
      <c r="M295" s="1080"/>
      <c r="N295" s="1080"/>
      <c r="O295" s="1080"/>
      <c r="P295" s="1080"/>
      <c r="Q295" s="1080"/>
      <c r="R295" s="1080"/>
      <c r="S295" s="1080"/>
      <c r="T295" s="1080"/>
      <c r="U295" s="1080"/>
      <c r="V295" s="1080"/>
      <c r="W295" s="1080"/>
      <c r="X295" s="1080"/>
      <c r="Y295" s="1080"/>
      <c r="Z295" s="1080"/>
      <c r="AA295" s="1080"/>
      <c r="AB295" s="1080"/>
      <c r="AC295" s="1080"/>
    </row>
    <row r="296" spans="1:29" ht="12" customHeight="1">
      <c r="A296" s="1264"/>
      <c r="B296" s="1264"/>
      <c r="C296" s="1080"/>
      <c r="D296" s="1080"/>
      <c r="E296" s="1080"/>
      <c r="F296" s="1080"/>
      <c r="G296" s="1080"/>
      <c r="H296" s="1080"/>
      <c r="I296" s="1080"/>
      <c r="J296" s="1080"/>
      <c r="K296" s="1080"/>
      <c r="L296" s="1080"/>
      <c r="M296" s="1080"/>
      <c r="N296" s="1080"/>
      <c r="O296" s="1080"/>
      <c r="P296" s="1080"/>
      <c r="Q296" s="1080"/>
      <c r="R296" s="1080"/>
      <c r="S296" s="1080"/>
      <c r="T296" s="1080"/>
      <c r="U296" s="1080"/>
      <c r="V296" s="1080"/>
      <c r="W296" s="1080"/>
      <c r="X296" s="1080"/>
      <c r="Y296" s="1080"/>
      <c r="Z296" s="1080"/>
      <c r="AA296" s="1080"/>
      <c r="AB296" s="1080"/>
      <c r="AC296" s="1080"/>
    </row>
    <row r="297" spans="1:29" ht="12" customHeight="1">
      <c r="A297" s="1264"/>
      <c r="B297" s="1264"/>
      <c r="C297" s="1080"/>
      <c r="D297" s="1080"/>
      <c r="E297" s="1080"/>
      <c r="F297" s="1080"/>
      <c r="G297" s="1080"/>
      <c r="H297" s="1080"/>
      <c r="I297" s="1080"/>
      <c r="J297" s="1080"/>
      <c r="K297" s="1080"/>
      <c r="L297" s="1080"/>
      <c r="M297" s="1080"/>
      <c r="N297" s="1080"/>
      <c r="O297" s="1080"/>
      <c r="P297" s="1080"/>
      <c r="Q297" s="1080"/>
      <c r="R297" s="1080"/>
      <c r="S297" s="1080"/>
      <c r="T297" s="1080"/>
      <c r="U297" s="1080"/>
      <c r="V297" s="1080"/>
      <c r="W297" s="1080"/>
      <c r="X297" s="1080"/>
      <c r="Y297" s="1080"/>
      <c r="Z297" s="1080"/>
      <c r="AA297" s="1080"/>
      <c r="AB297" s="1080"/>
      <c r="AC297" s="1080"/>
    </row>
    <row r="298" spans="1:29" ht="12" customHeight="1">
      <c r="A298" s="1264"/>
      <c r="B298" s="1264"/>
      <c r="C298" s="1080"/>
      <c r="D298" s="1080"/>
      <c r="E298" s="1080"/>
      <c r="F298" s="1080"/>
      <c r="G298" s="1080"/>
      <c r="H298" s="1080"/>
      <c r="I298" s="1080"/>
      <c r="J298" s="1080"/>
      <c r="K298" s="1080"/>
      <c r="L298" s="1080"/>
      <c r="M298" s="1080"/>
      <c r="N298" s="1080"/>
      <c r="O298" s="1080"/>
      <c r="P298" s="1080"/>
      <c r="Q298" s="1080"/>
      <c r="R298" s="1080"/>
      <c r="S298" s="1080"/>
      <c r="T298" s="1080"/>
      <c r="U298" s="1080"/>
      <c r="V298" s="1080"/>
      <c r="W298" s="1080"/>
      <c r="X298" s="1080"/>
      <c r="Y298" s="1080"/>
      <c r="Z298" s="1080"/>
      <c r="AA298" s="1080"/>
      <c r="AB298" s="1080"/>
      <c r="AC298" s="1080"/>
    </row>
    <row r="299" spans="1:29" ht="12" customHeight="1">
      <c r="A299" s="1264"/>
      <c r="B299" s="1264"/>
      <c r="C299" s="1080"/>
      <c r="D299" s="1080"/>
      <c r="E299" s="1080"/>
      <c r="F299" s="1080"/>
      <c r="G299" s="1080"/>
      <c r="H299" s="1080"/>
      <c r="I299" s="1080"/>
      <c r="J299" s="1080"/>
      <c r="K299" s="1080"/>
      <c r="L299" s="1080"/>
      <c r="M299" s="1080"/>
      <c r="N299" s="1080"/>
      <c r="O299" s="1080"/>
      <c r="P299" s="1080"/>
      <c r="Q299" s="1080"/>
      <c r="R299" s="1080"/>
      <c r="S299" s="1080"/>
      <c r="T299" s="1080"/>
      <c r="U299" s="1080"/>
      <c r="V299" s="1080"/>
      <c r="W299" s="1080"/>
      <c r="X299" s="1080"/>
      <c r="Y299" s="1080"/>
      <c r="Z299" s="1080"/>
      <c r="AA299" s="1080"/>
      <c r="AB299" s="1080"/>
      <c r="AC299" s="1080"/>
    </row>
    <row r="300" spans="1:29" ht="12" customHeight="1">
      <c r="A300" s="1264"/>
      <c r="B300" s="1264"/>
      <c r="C300" s="1080"/>
      <c r="D300" s="1080"/>
      <c r="E300" s="1080"/>
      <c r="F300" s="1080"/>
      <c r="G300" s="1080"/>
      <c r="H300" s="1080"/>
      <c r="I300" s="1080"/>
      <c r="J300" s="1080"/>
      <c r="K300" s="1080"/>
      <c r="L300" s="1080"/>
      <c r="M300" s="1080"/>
      <c r="N300" s="1080"/>
      <c r="O300" s="1080"/>
      <c r="P300" s="1080"/>
      <c r="Q300" s="1080"/>
      <c r="R300" s="1080"/>
      <c r="S300" s="1080"/>
      <c r="T300" s="1080"/>
      <c r="U300" s="1080"/>
      <c r="V300" s="1080"/>
      <c r="W300" s="1080"/>
      <c r="X300" s="1080"/>
      <c r="Y300" s="1080"/>
      <c r="Z300" s="1080"/>
      <c r="AA300" s="1080"/>
      <c r="AB300" s="1080"/>
      <c r="AC300" s="1080"/>
    </row>
    <row r="301" spans="1:29" ht="12" customHeight="1">
      <c r="A301" s="1264"/>
      <c r="B301" s="1264"/>
      <c r="C301" s="1080"/>
      <c r="D301" s="1080"/>
      <c r="E301" s="1080"/>
      <c r="F301" s="1080"/>
      <c r="G301" s="1080"/>
      <c r="H301" s="1080"/>
      <c r="I301" s="1080"/>
      <c r="J301" s="1080"/>
      <c r="K301" s="1080"/>
      <c r="L301" s="1080"/>
      <c r="M301" s="1080"/>
      <c r="N301" s="1080"/>
      <c r="O301" s="1080"/>
      <c r="P301" s="1080"/>
      <c r="Q301" s="1080"/>
      <c r="R301" s="1080"/>
      <c r="S301" s="1080"/>
      <c r="T301" s="1080"/>
      <c r="U301" s="1080"/>
      <c r="V301" s="1080"/>
      <c r="W301" s="1080"/>
      <c r="X301" s="1080"/>
      <c r="Y301" s="1080"/>
      <c r="Z301" s="1080"/>
      <c r="AA301" s="1080"/>
      <c r="AB301" s="1080"/>
      <c r="AC301" s="1080"/>
    </row>
    <row r="302" spans="1:29" ht="12" customHeight="1">
      <c r="A302" s="1264"/>
      <c r="B302" s="1264"/>
      <c r="C302" s="1080"/>
      <c r="D302" s="1080"/>
      <c r="E302" s="1080"/>
      <c r="F302" s="1080"/>
      <c r="G302" s="1080"/>
      <c r="H302" s="1080"/>
      <c r="I302" s="1080"/>
      <c r="J302" s="1080"/>
      <c r="K302" s="1080"/>
      <c r="L302" s="1080"/>
      <c r="M302" s="1080"/>
      <c r="N302" s="1080"/>
      <c r="O302" s="1080"/>
      <c r="P302" s="1080"/>
      <c r="Q302" s="1080"/>
      <c r="R302" s="1080"/>
      <c r="S302" s="1080"/>
      <c r="T302" s="1080"/>
      <c r="U302" s="1080"/>
      <c r="V302" s="1080"/>
      <c r="W302" s="1080"/>
      <c r="X302" s="1080"/>
      <c r="Y302" s="1080"/>
      <c r="Z302" s="1080"/>
      <c r="AA302" s="1080"/>
      <c r="AB302" s="1080"/>
      <c r="AC302" s="1080"/>
    </row>
    <row r="303" spans="1:29" ht="12" customHeight="1">
      <c r="A303" s="1264"/>
      <c r="B303" s="1264"/>
      <c r="C303" s="1080"/>
      <c r="D303" s="1080"/>
      <c r="E303" s="1080"/>
      <c r="F303" s="1080"/>
      <c r="G303" s="1080"/>
      <c r="H303" s="1080"/>
      <c r="I303" s="1080"/>
      <c r="J303" s="1080"/>
      <c r="K303" s="1080"/>
      <c r="L303" s="1080"/>
      <c r="M303" s="1080"/>
      <c r="N303" s="1080"/>
      <c r="O303" s="1080"/>
      <c r="P303" s="1080"/>
      <c r="Q303" s="1080"/>
      <c r="R303" s="1080"/>
      <c r="S303" s="1080"/>
      <c r="T303" s="1080"/>
      <c r="U303" s="1080"/>
      <c r="V303" s="1080"/>
      <c r="W303" s="1080"/>
      <c r="X303" s="1080"/>
      <c r="Y303" s="1080"/>
      <c r="Z303" s="1080"/>
      <c r="AA303" s="1080"/>
      <c r="AB303" s="1080"/>
      <c r="AC303" s="1080"/>
    </row>
    <row r="304" spans="1:29" ht="12" customHeight="1">
      <c r="A304" s="1264"/>
      <c r="B304" s="1264"/>
      <c r="C304" s="1080"/>
      <c r="D304" s="1080"/>
      <c r="E304" s="1080"/>
      <c r="F304" s="1080"/>
      <c r="G304" s="1080"/>
      <c r="H304" s="1080"/>
      <c r="I304" s="1080"/>
      <c r="J304" s="1080"/>
      <c r="K304" s="1080"/>
      <c r="L304" s="1080"/>
      <c r="M304" s="1080"/>
      <c r="N304" s="1080"/>
      <c r="O304" s="1080"/>
      <c r="P304" s="1080"/>
      <c r="Q304" s="1080"/>
      <c r="R304" s="1080"/>
      <c r="S304" s="1080"/>
      <c r="T304" s="1080"/>
      <c r="U304" s="1080"/>
      <c r="V304" s="1080"/>
      <c r="W304" s="1080"/>
      <c r="X304" s="1080"/>
      <c r="Y304" s="1080"/>
      <c r="Z304" s="1080"/>
      <c r="AA304" s="1080"/>
      <c r="AB304" s="1080"/>
      <c r="AC304" s="1080"/>
    </row>
    <row r="305" spans="1:29" ht="12" customHeight="1">
      <c r="A305" s="1264"/>
      <c r="B305" s="1264"/>
      <c r="C305" s="1080"/>
      <c r="D305" s="1080"/>
      <c r="E305" s="1080"/>
      <c r="F305" s="1080"/>
      <c r="G305" s="1080"/>
      <c r="H305" s="1080"/>
      <c r="I305" s="1080"/>
      <c r="J305" s="1080"/>
      <c r="K305" s="1080"/>
      <c r="L305" s="1080"/>
      <c r="M305" s="1080"/>
      <c r="N305" s="1080"/>
      <c r="O305" s="1080"/>
      <c r="P305" s="1080"/>
      <c r="Q305" s="1080"/>
      <c r="R305" s="1080"/>
      <c r="S305" s="1080"/>
      <c r="T305" s="1080"/>
      <c r="U305" s="1080"/>
      <c r="V305" s="1080"/>
      <c r="W305" s="1080"/>
      <c r="X305" s="1080"/>
      <c r="Y305" s="1080"/>
      <c r="Z305" s="1080"/>
      <c r="AA305" s="1080"/>
      <c r="AB305" s="1080"/>
      <c r="AC305" s="1080"/>
    </row>
    <row r="306" spans="1:29" ht="12" customHeight="1">
      <c r="A306" s="1264"/>
      <c r="B306" s="1264"/>
      <c r="C306" s="1080"/>
      <c r="D306" s="1080"/>
      <c r="E306" s="1080"/>
      <c r="F306" s="1080"/>
      <c r="G306" s="1080"/>
      <c r="H306" s="1080"/>
      <c r="I306" s="1080"/>
      <c r="J306" s="1080"/>
      <c r="K306" s="1080"/>
      <c r="L306" s="1080"/>
      <c r="M306" s="1080"/>
      <c r="N306" s="1080"/>
      <c r="O306" s="1080"/>
      <c r="P306" s="1080"/>
      <c r="Q306" s="1080"/>
      <c r="R306" s="1080"/>
      <c r="S306" s="1080"/>
      <c r="T306" s="1080"/>
      <c r="U306" s="1080"/>
      <c r="V306" s="1080"/>
      <c r="W306" s="1080"/>
      <c r="X306" s="1080"/>
      <c r="Y306" s="1080"/>
      <c r="Z306" s="1080"/>
      <c r="AA306" s="1080"/>
      <c r="AB306" s="1080"/>
      <c r="AC306" s="1080"/>
    </row>
    <row r="307" spans="1:29" ht="12" customHeight="1">
      <c r="A307" s="1264"/>
      <c r="B307" s="1264"/>
      <c r="C307" s="1080"/>
      <c r="D307" s="1080"/>
      <c r="E307" s="1080"/>
      <c r="F307" s="1080"/>
      <c r="G307" s="1080"/>
      <c r="H307" s="1080"/>
      <c r="I307" s="1080"/>
      <c r="J307" s="1080"/>
      <c r="K307" s="1080"/>
      <c r="L307" s="1080"/>
      <c r="M307" s="1080"/>
      <c r="N307" s="1080"/>
      <c r="O307" s="1080"/>
      <c r="P307" s="1080"/>
      <c r="Q307" s="1080"/>
      <c r="R307" s="1080"/>
      <c r="S307" s="1080"/>
      <c r="T307" s="1080"/>
      <c r="U307" s="1080"/>
      <c r="V307" s="1080"/>
      <c r="W307" s="1080"/>
      <c r="X307" s="1080"/>
      <c r="Y307" s="1080"/>
      <c r="Z307" s="1080"/>
      <c r="AA307" s="1080"/>
      <c r="AB307" s="1080"/>
      <c r="AC307" s="1080"/>
    </row>
    <row r="308" spans="1:29" ht="12" customHeight="1">
      <c r="A308" s="1264"/>
      <c r="B308" s="1264"/>
      <c r="C308" s="1080"/>
      <c r="D308" s="1080"/>
      <c r="E308" s="1080"/>
      <c r="F308" s="1080"/>
      <c r="G308" s="1080"/>
      <c r="H308" s="1080"/>
      <c r="I308" s="1080"/>
      <c r="J308" s="1080"/>
      <c r="K308" s="1080"/>
      <c r="L308" s="1080"/>
      <c r="M308" s="1080"/>
      <c r="N308" s="1080"/>
      <c r="O308" s="1080"/>
      <c r="P308" s="1080"/>
      <c r="Q308" s="1080"/>
      <c r="R308" s="1080"/>
      <c r="S308" s="1080"/>
      <c r="T308" s="1080"/>
      <c r="U308" s="1080"/>
      <c r="V308" s="1080"/>
      <c r="W308" s="1080"/>
      <c r="X308" s="1080"/>
      <c r="Y308" s="1080"/>
      <c r="Z308" s="1080"/>
      <c r="AA308" s="1080"/>
      <c r="AB308" s="1080"/>
      <c r="AC308" s="1080"/>
    </row>
    <row r="309" spans="1:29" ht="12" customHeight="1">
      <c r="A309" s="1264"/>
      <c r="B309" s="1264"/>
      <c r="C309" s="1080"/>
      <c r="D309" s="1080"/>
      <c r="E309" s="1080"/>
      <c r="F309" s="1080"/>
      <c r="G309" s="1080"/>
      <c r="H309" s="1080"/>
      <c r="I309" s="1080"/>
      <c r="J309" s="1080"/>
      <c r="K309" s="1080"/>
      <c r="L309" s="1080"/>
      <c r="M309" s="1080"/>
      <c r="N309" s="1080"/>
      <c r="O309" s="1080"/>
      <c r="P309" s="1080"/>
      <c r="Q309" s="1080"/>
      <c r="R309" s="1080"/>
      <c r="S309" s="1080"/>
      <c r="T309" s="1080"/>
      <c r="U309" s="1080"/>
      <c r="V309" s="1080"/>
      <c r="W309" s="1080"/>
      <c r="X309" s="1080"/>
      <c r="Y309" s="1080"/>
      <c r="Z309" s="1080"/>
      <c r="AA309" s="1080"/>
      <c r="AB309" s="1080"/>
      <c r="AC309" s="1080"/>
    </row>
    <row r="310" spans="1:29" ht="12" customHeight="1">
      <c r="A310" s="1264"/>
      <c r="B310" s="1264"/>
      <c r="C310" s="1080"/>
      <c r="D310" s="1080"/>
      <c r="E310" s="1080"/>
      <c r="F310" s="1080"/>
      <c r="G310" s="1080"/>
      <c r="H310" s="1080"/>
      <c r="I310" s="1080"/>
      <c r="J310" s="1080"/>
      <c r="K310" s="1080"/>
      <c r="L310" s="1080"/>
      <c r="M310" s="1080"/>
      <c r="N310" s="1080"/>
      <c r="O310" s="1080"/>
      <c r="P310" s="1080"/>
      <c r="Q310" s="1080"/>
      <c r="R310" s="1080"/>
      <c r="S310" s="1080"/>
      <c r="T310" s="1080"/>
      <c r="U310" s="1080"/>
      <c r="V310" s="1080"/>
      <c r="W310" s="1080"/>
      <c r="X310" s="1080"/>
      <c r="Y310" s="1080"/>
      <c r="Z310" s="1080"/>
      <c r="AA310" s="1080"/>
      <c r="AB310" s="1080"/>
      <c r="AC310" s="1080"/>
    </row>
    <row r="311" spans="1:29" ht="12" customHeight="1">
      <c r="A311" s="1264"/>
      <c r="B311" s="1264"/>
      <c r="C311" s="1080"/>
      <c r="D311" s="1080"/>
      <c r="E311" s="1080"/>
      <c r="F311" s="1080"/>
      <c r="G311" s="1080"/>
      <c r="H311" s="1080"/>
      <c r="I311" s="1080"/>
      <c r="J311" s="1080"/>
      <c r="K311" s="1080"/>
      <c r="L311" s="1080"/>
      <c r="M311" s="1080"/>
      <c r="N311" s="1080"/>
      <c r="O311" s="1080"/>
      <c r="P311" s="1080"/>
      <c r="Q311" s="1080"/>
      <c r="R311" s="1080"/>
      <c r="S311" s="1080"/>
      <c r="T311" s="1080"/>
      <c r="U311" s="1080"/>
      <c r="V311" s="1080"/>
      <c r="W311" s="1080"/>
      <c r="X311" s="1080"/>
      <c r="Y311" s="1080"/>
      <c r="Z311" s="1080"/>
      <c r="AA311" s="1080"/>
      <c r="AB311" s="1080"/>
      <c r="AC311" s="1080"/>
    </row>
    <row r="312" spans="1:29" ht="12" customHeight="1">
      <c r="A312" s="1264"/>
      <c r="B312" s="1264"/>
      <c r="C312" s="1080"/>
      <c r="D312" s="1080"/>
      <c r="E312" s="1080"/>
      <c r="F312" s="1080"/>
      <c r="G312" s="1080"/>
      <c r="H312" s="1080"/>
      <c r="I312" s="1080"/>
      <c r="J312" s="1080"/>
      <c r="K312" s="1080"/>
      <c r="L312" s="1080"/>
      <c r="M312" s="1080"/>
      <c r="N312" s="1080"/>
      <c r="O312" s="1080"/>
      <c r="P312" s="1080"/>
      <c r="Q312" s="1080"/>
      <c r="R312" s="1080"/>
      <c r="S312" s="1080"/>
      <c r="T312" s="1080"/>
      <c r="U312" s="1080"/>
      <c r="V312" s="1080"/>
      <c r="W312" s="1080"/>
      <c r="X312" s="1080"/>
      <c r="Y312" s="1080"/>
      <c r="Z312" s="1080"/>
      <c r="AA312" s="1080"/>
      <c r="AB312" s="1080"/>
      <c r="AC312" s="1080"/>
    </row>
    <row r="313" spans="1:29" ht="12" customHeight="1">
      <c r="A313" s="1264"/>
      <c r="B313" s="1264"/>
      <c r="C313" s="1080"/>
      <c r="D313" s="1080"/>
      <c r="E313" s="1080"/>
      <c r="F313" s="1080"/>
      <c r="G313" s="1080"/>
      <c r="H313" s="1080"/>
      <c r="I313" s="1080"/>
      <c r="J313" s="1080"/>
      <c r="K313" s="1080"/>
      <c r="L313" s="1080"/>
      <c r="M313" s="1080"/>
      <c r="N313" s="1080"/>
      <c r="O313" s="1080"/>
      <c r="P313" s="1080"/>
      <c r="Q313" s="1080"/>
      <c r="R313" s="1080"/>
      <c r="S313" s="1080"/>
      <c r="T313" s="1080"/>
      <c r="U313" s="1080"/>
      <c r="V313" s="1080"/>
      <c r="W313" s="1080"/>
      <c r="X313" s="1080"/>
      <c r="Y313" s="1080"/>
      <c r="Z313" s="1080"/>
      <c r="AA313" s="1080"/>
      <c r="AB313" s="1080"/>
      <c r="AC313" s="1080"/>
    </row>
    <row r="314" spans="1:29" ht="12" customHeight="1">
      <c r="A314" s="1264"/>
      <c r="B314" s="1264"/>
      <c r="C314" s="1080"/>
      <c r="D314" s="1080"/>
      <c r="E314" s="1080"/>
      <c r="F314" s="1080"/>
      <c r="G314" s="1080"/>
      <c r="H314" s="1080"/>
      <c r="I314" s="1080"/>
      <c r="J314" s="1080"/>
      <c r="K314" s="1080"/>
      <c r="L314" s="1080"/>
      <c r="M314" s="1080"/>
      <c r="N314" s="1080"/>
      <c r="O314" s="1080"/>
      <c r="P314" s="1080"/>
      <c r="Q314" s="1080"/>
      <c r="R314" s="1080"/>
      <c r="S314" s="1080"/>
      <c r="T314" s="1080"/>
      <c r="U314" s="1080"/>
      <c r="V314" s="1080"/>
      <c r="W314" s="1080"/>
      <c r="X314" s="1080"/>
      <c r="Y314" s="1080"/>
      <c r="Z314" s="1080"/>
      <c r="AA314" s="1080"/>
      <c r="AB314" s="1080"/>
      <c r="AC314" s="1080"/>
    </row>
    <row r="315" spans="1:29" ht="12" customHeight="1">
      <c r="A315" s="1264"/>
      <c r="B315" s="1264"/>
      <c r="C315" s="1080"/>
      <c r="D315" s="1080"/>
      <c r="E315" s="1080"/>
      <c r="F315" s="1080"/>
      <c r="G315" s="1080"/>
      <c r="H315" s="1080"/>
      <c r="I315" s="1080"/>
      <c r="J315" s="1080"/>
      <c r="K315" s="1080"/>
      <c r="L315" s="1080"/>
      <c r="M315" s="1080"/>
      <c r="N315" s="1080"/>
      <c r="O315" s="1080"/>
      <c r="P315" s="1080"/>
      <c r="Q315" s="1080"/>
      <c r="R315" s="1080"/>
      <c r="S315" s="1080"/>
      <c r="T315" s="1080"/>
      <c r="U315" s="1080"/>
      <c r="V315" s="1080"/>
      <c r="W315" s="1080"/>
      <c r="X315" s="1080"/>
      <c r="Y315" s="1080"/>
      <c r="Z315" s="1080"/>
      <c r="AA315" s="1080"/>
      <c r="AB315" s="1080"/>
      <c r="AC315" s="1080"/>
    </row>
    <row r="316" spans="1:29" ht="12" customHeight="1">
      <c r="A316" s="1264"/>
      <c r="B316" s="1264"/>
      <c r="C316" s="1080"/>
      <c r="D316" s="1080"/>
      <c r="E316" s="1080"/>
      <c r="F316" s="1080"/>
      <c r="G316" s="1080"/>
      <c r="H316" s="1080"/>
      <c r="I316" s="1080"/>
      <c r="J316" s="1080"/>
      <c r="K316" s="1080"/>
      <c r="L316" s="1080"/>
      <c r="M316" s="1080"/>
      <c r="N316" s="1080"/>
      <c r="O316" s="1080"/>
      <c r="P316" s="1080"/>
      <c r="Q316" s="1080"/>
      <c r="R316" s="1080"/>
      <c r="S316" s="1080"/>
      <c r="T316" s="1080"/>
      <c r="U316" s="1080"/>
      <c r="V316" s="1080"/>
      <c r="W316" s="1080"/>
      <c r="X316" s="1080"/>
      <c r="Y316" s="1080"/>
      <c r="Z316" s="1080"/>
      <c r="AA316" s="1080"/>
      <c r="AB316" s="1080"/>
      <c r="AC316" s="1080"/>
    </row>
    <row r="317" spans="1:29" ht="12" customHeight="1">
      <c r="A317" s="1264"/>
      <c r="B317" s="1264"/>
      <c r="C317" s="1080"/>
      <c r="D317" s="1080"/>
      <c r="E317" s="1080"/>
      <c r="F317" s="1080"/>
      <c r="G317" s="1080"/>
      <c r="H317" s="1080"/>
      <c r="I317" s="1080"/>
      <c r="J317" s="1080"/>
      <c r="K317" s="1080"/>
      <c r="L317" s="1080"/>
      <c r="M317" s="1080"/>
      <c r="N317" s="1080"/>
      <c r="O317" s="1080"/>
      <c r="P317" s="1080"/>
      <c r="Q317" s="1080"/>
      <c r="R317" s="1080"/>
      <c r="S317" s="1080"/>
      <c r="T317" s="1080"/>
      <c r="U317" s="1080"/>
      <c r="V317" s="1080"/>
      <c r="W317" s="1080"/>
      <c r="X317" s="1080"/>
      <c r="Y317" s="1080"/>
      <c r="Z317" s="1080"/>
      <c r="AA317" s="1080"/>
      <c r="AB317" s="1080"/>
      <c r="AC317" s="1080"/>
    </row>
    <row r="318" spans="1:29" ht="12" customHeight="1">
      <c r="A318" s="1264"/>
      <c r="B318" s="1264"/>
      <c r="C318" s="1080"/>
      <c r="D318" s="1080"/>
      <c r="E318" s="1080"/>
      <c r="F318" s="1080"/>
      <c r="G318" s="1080"/>
      <c r="H318" s="1080"/>
      <c r="I318" s="1080"/>
      <c r="J318" s="1080"/>
      <c r="K318" s="1080"/>
      <c r="L318" s="1080"/>
      <c r="M318" s="1080"/>
      <c r="N318" s="1080"/>
      <c r="O318" s="1080"/>
      <c r="P318" s="1080"/>
      <c r="Q318" s="1080"/>
      <c r="R318" s="1080"/>
      <c r="S318" s="1080"/>
      <c r="T318" s="1080"/>
      <c r="U318" s="1080"/>
      <c r="V318" s="1080"/>
      <c r="W318" s="1080"/>
      <c r="X318" s="1080"/>
      <c r="Y318" s="1080"/>
      <c r="Z318" s="1080"/>
      <c r="AA318" s="1080"/>
      <c r="AB318" s="1080"/>
      <c r="AC318" s="1080"/>
    </row>
    <row r="319" spans="1:29" ht="12" customHeight="1">
      <c r="A319" s="1264"/>
      <c r="B319" s="1264"/>
      <c r="C319" s="1080"/>
      <c r="D319" s="1080"/>
      <c r="E319" s="1080"/>
      <c r="F319" s="1080"/>
      <c r="G319" s="1080"/>
      <c r="H319" s="1080"/>
      <c r="I319" s="1080"/>
      <c r="J319" s="1080"/>
      <c r="K319" s="1080"/>
      <c r="L319" s="1080"/>
      <c r="M319" s="1080"/>
      <c r="N319" s="1080"/>
      <c r="O319" s="1080"/>
      <c r="P319" s="1080"/>
      <c r="Q319" s="1080"/>
      <c r="R319" s="1080"/>
      <c r="S319" s="1080"/>
      <c r="T319" s="1080"/>
      <c r="U319" s="1080"/>
      <c r="V319" s="1080"/>
      <c r="W319" s="1080"/>
      <c r="X319" s="1080"/>
      <c r="Y319" s="1080"/>
      <c r="Z319" s="1080"/>
      <c r="AA319" s="1080"/>
      <c r="AB319" s="1080"/>
      <c r="AC319" s="1080"/>
    </row>
    <row r="320" spans="1:29" ht="12" customHeight="1">
      <c r="A320" s="1264"/>
      <c r="B320" s="1264"/>
      <c r="C320" s="1080"/>
      <c r="D320" s="1080"/>
      <c r="E320" s="1080"/>
      <c r="F320" s="1080"/>
      <c r="G320" s="1080"/>
      <c r="H320" s="1080"/>
      <c r="I320" s="1080"/>
      <c r="J320" s="1080"/>
      <c r="K320" s="1080"/>
      <c r="L320" s="1080"/>
      <c r="M320" s="1080"/>
      <c r="N320" s="1080"/>
      <c r="O320" s="1080"/>
      <c r="P320" s="1080"/>
      <c r="Q320" s="1080"/>
      <c r="R320" s="1080"/>
      <c r="S320" s="1080"/>
      <c r="T320" s="1080"/>
      <c r="U320" s="1080"/>
      <c r="V320" s="1080"/>
      <c r="W320" s="1080"/>
      <c r="X320" s="1080"/>
      <c r="Y320" s="1080"/>
      <c r="Z320" s="1080"/>
      <c r="AA320" s="1080"/>
      <c r="AB320" s="1080"/>
      <c r="AC320" s="1080"/>
    </row>
    <row r="321" spans="1:29" ht="12" customHeight="1">
      <c r="A321" s="1264"/>
      <c r="B321" s="1264"/>
      <c r="C321" s="1080"/>
      <c r="D321" s="1080"/>
      <c r="E321" s="1080"/>
      <c r="F321" s="1080"/>
      <c r="G321" s="1080"/>
      <c r="H321" s="1080"/>
      <c r="I321" s="1080"/>
      <c r="J321" s="1080"/>
      <c r="K321" s="1080"/>
      <c r="L321" s="1080"/>
      <c r="M321" s="1080"/>
      <c r="N321" s="1080"/>
      <c r="O321" s="1080"/>
      <c r="P321" s="1080"/>
      <c r="Q321" s="1080"/>
      <c r="R321" s="1080"/>
      <c r="S321" s="1080"/>
      <c r="T321" s="1080"/>
      <c r="U321" s="1080"/>
      <c r="V321" s="1080"/>
      <c r="W321" s="1080"/>
      <c r="X321" s="1080"/>
      <c r="Y321" s="1080"/>
      <c r="Z321" s="1080"/>
      <c r="AA321" s="1080"/>
      <c r="AB321" s="1080"/>
      <c r="AC321" s="1080"/>
    </row>
    <row r="322" spans="1:29" ht="12" customHeight="1">
      <c r="A322" s="1264"/>
      <c r="B322" s="1264"/>
      <c r="C322" s="1080"/>
      <c r="D322" s="1080"/>
      <c r="E322" s="1080"/>
      <c r="F322" s="1080"/>
      <c r="G322" s="1080"/>
      <c r="H322" s="1080"/>
      <c r="I322" s="1080"/>
      <c r="J322" s="1080"/>
      <c r="K322" s="1080"/>
      <c r="L322" s="1080"/>
      <c r="M322" s="1080"/>
      <c r="N322" s="1080"/>
      <c r="O322" s="1080"/>
      <c r="P322" s="1080"/>
      <c r="Q322" s="1080"/>
      <c r="R322" s="1080"/>
      <c r="S322" s="1080"/>
      <c r="T322" s="1080"/>
      <c r="U322" s="1080"/>
      <c r="V322" s="1080"/>
      <c r="W322" s="1080"/>
      <c r="X322" s="1080"/>
      <c r="Y322" s="1080"/>
      <c r="Z322" s="1080"/>
      <c r="AA322" s="1080"/>
      <c r="AB322" s="1080"/>
      <c r="AC322" s="1080"/>
    </row>
    <row r="323" spans="1:29" ht="12" customHeight="1">
      <c r="A323" s="1264"/>
      <c r="B323" s="1264"/>
      <c r="C323" s="1080"/>
      <c r="D323" s="1080"/>
      <c r="E323" s="1080"/>
      <c r="F323" s="1080"/>
      <c r="G323" s="1080"/>
      <c r="H323" s="1080"/>
      <c r="I323" s="1080"/>
      <c r="J323" s="1080"/>
      <c r="K323" s="1080"/>
      <c r="L323" s="1080"/>
      <c r="M323" s="1080"/>
      <c r="N323" s="1080"/>
      <c r="O323" s="1080"/>
      <c r="P323" s="1080"/>
      <c r="Q323" s="1080"/>
      <c r="R323" s="1080"/>
      <c r="S323" s="1080"/>
      <c r="T323" s="1080"/>
      <c r="U323" s="1080"/>
      <c r="V323" s="1080"/>
      <c r="W323" s="1080"/>
      <c r="X323" s="1080"/>
      <c r="Y323" s="1080"/>
      <c r="Z323" s="1080"/>
      <c r="AA323" s="1080"/>
      <c r="AB323" s="1080"/>
      <c r="AC323" s="1080"/>
    </row>
    <row r="324" spans="1:29" ht="12" customHeight="1">
      <c r="A324" s="1264"/>
      <c r="B324" s="1264"/>
      <c r="C324" s="1080"/>
      <c r="D324" s="1080"/>
      <c r="E324" s="1080"/>
      <c r="F324" s="1080"/>
      <c r="G324" s="1080"/>
      <c r="H324" s="1080"/>
      <c r="I324" s="1080"/>
      <c r="J324" s="1080"/>
      <c r="K324" s="1080"/>
      <c r="L324" s="1080"/>
      <c r="M324" s="1080"/>
      <c r="N324" s="1080"/>
      <c r="O324" s="1080"/>
      <c r="P324" s="1080"/>
      <c r="Q324" s="1080"/>
      <c r="R324" s="1080"/>
      <c r="S324" s="1080"/>
      <c r="T324" s="1080"/>
      <c r="U324" s="1080"/>
      <c r="V324" s="1080"/>
      <c r="W324" s="1080"/>
      <c r="X324" s="1080"/>
      <c r="Y324" s="1080"/>
      <c r="Z324" s="1080"/>
      <c r="AA324" s="1080"/>
      <c r="AB324" s="1080"/>
      <c r="AC324" s="1080"/>
    </row>
    <row r="325" spans="1:29" ht="12" customHeight="1">
      <c r="A325" s="1264"/>
      <c r="B325" s="1264"/>
      <c r="C325" s="1080"/>
      <c r="D325" s="1080"/>
      <c r="E325" s="1080"/>
      <c r="F325" s="1080"/>
      <c r="G325" s="1080"/>
      <c r="H325" s="1080"/>
      <c r="I325" s="1080"/>
      <c r="J325" s="1080"/>
      <c r="K325" s="1080"/>
      <c r="L325" s="1080"/>
      <c r="M325" s="1080"/>
      <c r="N325" s="1080"/>
      <c r="O325" s="1080"/>
      <c r="P325" s="1080"/>
      <c r="Q325" s="1080"/>
      <c r="R325" s="1080"/>
      <c r="S325" s="1080"/>
      <c r="T325" s="1080"/>
      <c r="U325" s="1080"/>
      <c r="V325" s="1080"/>
      <c r="W325" s="1080"/>
      <c r="X325" s="1080"/>
      <c r="Y325" s="1080"/>
      <c r="Z325" s="1080"/>
      <c r="AA325" s="1080"/>
      <c r="AB325" s="1080"/>
      <c r="AC325" s="1080"/>
    </row>
    <row r="326" spans="1:29" ht="12" customHeight="1">
      <c r="A326" s="1264"/>
      <c r="B326" s="1264"/>
      <c r="C326" s="1080"/>
      <c r="D326" s="1080"/>
      <c r="E326" s="1080"/>
      <c r="F326" s="1080"/>
      <c r="G326" s="1080"/>
      <c r="H326" s="1080"/>
      <c r="I326" s="1080"/>
      <c r="J326" s="1080"/>
      <c r="K326" s="1080"/>
      <c r="L326" s="1080"/>
      <c r="M326" s="1080"/>
      <c r="N326" s="1080"/>
      <c r="O326" s="1080"/>
      <c r="P326" s="1080"/>
      <c r="Q326" s="1080"/>
      <c r="R326" s="1080"/>
      <c r="S326" s="1080"/>
      <c r="T326" s="1080"/>
      <c r="U326" s="1080"/>
      <c r="V326" s="1080"/>
      <c r="W326" s="1080"/>
      <c r="X326" s="1080"/>
      <c r="Y326" s="1080"/>
      <c r="Z326" s="1080"/>
      <c r="AA326" s="1080"/>
      <c r="AB326" s="1080"/>
      <c r="AC326" s="1080"/>
    </row>
    <row r="327" spans="1:29" ht="12" customHeight="1">
      <c r="A327" s="1264"/>
      <c r="B327" s="1264"/>
      <c r="C327" s="1080"/>
      <c r="D327" s="1080"/>
      <c r="E327" s="1080"/>
      <c r="F327" s="1080"/>
      <c r="G327" s="1080"/>
      <c r="H327" s="1080"/>
      <c r="I327" s="1080"/>
      <c r="J327" s="1080"/>
      <c r="K327" s="1080"/>
      <c r="L327" s="1080"/>
      <c r="M327" s="1080"/>
      <c r="N327" s="1080"/>
      <c r="O327" s="1080"/>
      <c r="P327" s="1080"/>
      <c r="Q327" s="1080"/>
      <c r="R327" s="1080"/>
      <c r="S327" s="1080"/>
      <c r="T327" s="1080"/>
      <c r="U327" s="1080"/>
      <c r="V327" s="1080"/>
      <c r="W327" s="1080"/>
      <c r="X327" s="1080"/>
      <c r="Y327" s="1080"/>
      <c r="Z327" s="1080"/>
      <c r="AA327" s="1080"/>
      <c r="AB327" s="1080"/>
      <c r="AC327" s="1080"/>
    </row>
    <row r="328" spans="1:29" ht="12" customHeight="1">
      <c r="A328" s="1264"/>
      <c r="B328" s="1264"/>
      <c r="C328" s="1080"/>
      <c r="D328" s="1080"/>
      <c r="E328" s="1080"/>
      <c r="F328" s="1080"/>
      <c r="G328" s="1080"/>
      <c r="H328" s="1080"/>
      <c r="I328" s="1080"/>
      <c r="J328" s="1080"/>
      <c r="K328" s="1080"/>
      <c r="L328" s="1080"/>
      <c r="M328" s="1080"/>
      <c r="N328" s="1080"/>
      <c r="O328" s="1080"/>
      <c r="P328" s="1080"/>
      <c r="Q328" s="1080"/>
      <c r="R328" s="1080"/>
      <c r="S328" s="1080"/>
      <c r="T328" s="1080"/>
      <c r="U328" s="1080"/>
      <c r="V328" s="1080"/>
      <c r="W328" s="1080"/>
      <c r="X328" s="1080"/>
      <c r="Y328" s="1080"/>
      <c r="Z328" s="1080"/>
      <c r="AA328" s="1080"/>
      <c r="AB328" s="1080"/>
      <c r="AC328" s="1080"/>
    </row>
    <row r="329" spans="1:29" ht="12" customHeight="1">
      <c r="A329" s="1264"/>
      <c r="B329" s="1264"/>
      <c r="C329" s="1080"/>
      <c r="D329" s="1080"/>
      <c r="E329" s="1080"/>
      <c r="F329" s="1080"/>
      <c r="G329" s="1080"/>
      <c r="H329" s="1080"/>
      <c r="I329" s="1080"/>
      <c r="J329" s="1080"/>
      <c r="K329" s="1080"/>
      <c r="L329" s="1080"/>
      <c r="M329" s="1080"/>
      <c r="N329" s="1080"/>
      <c r="O329" s="1080"/>
      <c r="P329" s="1080"/>
      <c r="Q329" s="1080"/>
      <c r="R329" s="1080"/>
      <c r="S329" s="1080"/>
      <c r="T329" s="1080"/>
      <c r="U329" s="1080"/>
      <c r="V329" s="1080"/>
      <c r="W329" s="1080"/>
      <c r="X329" s="1080"/>
      <c r="Y329" s="1080"/>
      <c r="Z329" s="1080"/>
      <c r="AA329" s="1080"/>
      <c r="AB329" s="1080"/>
      <c r="AC329" s="1080"/>
    </row>
    <row r="330" spans="1:29" ht="12" customHeight="1">
      <c r="A330" s="1264"/>
      <c r="B330" s="1264"/>
      <c r="C330" s="1080"/>
      <c r="D330" s="1080"/>
      <c r="E330" s="1080"/>
      <c r="F330" s="1080"/>
      <c r="G330" s="1080"/>
      <c r="H330" s="1080"/>
      <c r="I330" s="1080"/>
      <c r="J330" s="1080"/>
      <c r="K330" s="1080"/>
      <c r="L330" s="1080"/>
      <c r="M330" s="1080"/>
      <c r="N330" s="1080"/>
      <c r="O330" s="1080"/>
      <c r="P330" s="1080"/>
      <c r="Q330" s="1080"/>
      <c r="R330" s="1080"/>
      <c r="S330" s="1080"/>
      <c r="T330" s="1080"/>
      <c r="U330" s="1080"/>
      <c r="V330" s="1080"/>
      <c r="W330" s="1080"/>
      <c r="X330" s="1080"/>
      <c r="Y330" s="1080"/>
      <c r="Z330" s="1080"/>
      <c r="AA330" s="1080"/>
      <c r="AB330" s="1080"/>
      <c r="AC330" s="1080"/>
    </row>
    <row r="331" spans="1:29" ht="12" customHeight="1">
      <c r="A331" s="1264"/>
      <c r="B331" s="1264"/>
      <c r="C331" s="1080"/>
      <c r="D331" s="1080"/>
      <c r="E331" s="1080"/>
      <c r="F331" s="1080"/>
      <c r="G331" s="1080"/>
      <c r="H331" s="1080"/>
      <c r="I331" s="1080"/>
      <c r="J331" s="1080"/>
      <c r="K331" s="1080"/>
      <c r="L331" s="1080"/>
      <c r="M331" s="1080"/>
      <c r="N331" s="1080"/>
      <c r="O331" s="1080"/>
      <c r="P331" s="1080"/>
      <c r="Q331" s="1080"/>
      <c r="R331" s="1080"/>
      <c r="S331" s="1080"/>
      <c r="T331" s="1080"/>
      <c r="U331" s="1080"/>
      <c r="V331" s="1080"/>
      <c r="W331" s="1080"/>
      <c r="X331" s="1080"/>
      <c r="Y331" s="1080"/>
      <c r="Z331" s="1080"/>
      <c r="AA331" s="1080"/>
      <c r="AB331" s="1080"/>
      <c r="AC331" s="1080"/>
    </row>
    <row r="332" spans="1:29" ht="12" customHeight="1">
      <c r="A332" s="1264"/>
      <c r="B332" s="1264"/>
      <c r="C332" s="1080"/>
      <c r="D332" s="1080"/>
      <c r="E332" s="1080"/>
      <c r="F332" s="1080"/>
      <c r="G332" s="1080"/>
      <c r="H332" s="1080"/>
      <c r="I332" s="1080"/>
      <c r="J332" s="1080"/>
      <c r="K332" s="1080"/>
      <c r="L332" s="1080"/>
      <c r="M332" s="1080"/>
      <c r="N332" s="1080"/>
      <c r="O332" s="1080"/>
      <c r="P332" s="1080"/>
      <c r="Q332" s="1080"/>
      <c r="R332" s="1080"/>
      <c r="S332" s="1080"/>
      <c r="T332" s="1080"/>
      <c r="U332" s="1080"/>
      <c r="V332" s="1080"/>
      <c r="W332" s="1080"/>
      <c r="X332" s="1080"/>
      <c r="Y332" s="1080"/>
      <c r="Z332" s="1080"/>
      <c r="AA332" s="1080"/>
      <c r="AB332" s="1080"/>
      <c r="AC332" s="1080"/>
    </row>
    <row r="333" spans="1:29" ht="12" customHeight="1">
      <c r="A333" s="1264"/>
      <c r="B333" s="1264"/>
      <c r="C333" s="1080"/>
      <c r="D333" s="1080"/>
      <c r="E333" s="1080"/>
      <c r="F333" s="1080"/>
      <c r="G333" s="1080"/>
      <c r="H333" s="1080"/>
      <c r="I333" s="1080"/>
      <c r="J333" s="1080"/>
      <c r="K333" s="1080"/>
      <c r="L333" s="1080"/>
      <c r="M333" s="1080"/>
      <c r="N333" s="1080"/>
      <c r="O333" s="1080"/>
      <c r="P333" s="1080"/>
      <c r="Q333" s="1080"/>
      <c r="R333" s="1080"/>
      <c r="S333" s="1080"/>
      <c r="T333" s="1080"/>
      <c r="U333" s="1080"/>
      <c r="V333" s="1080"/>
      <c r="W333" s="1080"/>
      <c r="X333" s="1080"/>
      <c r="Y333" s="1080"/>
      <c r="Z333" s="1080"/>
      <c r="AA333" s="1080"/>
      <c r="AB333" s="1080"/>
      <c r="AC333" s="1080"/>
    </row>
    <row r="334" spans="1:29" ht="12" customHeight="1">
      <c r="A334" s="1264"/>
      <c r="B334" s="1264"/>
      <c r="C334" s="1080"/>
      <c r="D334" s="1080"/>
      <c r="E334" s="1080"/>
      <c r="F334" s="1080"/>
      <c r="G334" s="1080"/>
      <c r="H334" s="1080"/>
      <c r="I334" s="1080"/>
      <c r="J334" s="1080"/>
      <c r="K334" s="1080"/>
      <c r="L334" s="1080"/>
      <c r="M334" s="1080"/>
      <c r="N334" s="1080"/>
      <c r="O334" s="1080"/>
      <c r="P334" s="1080"/>
      <c r="Q334" s="1080"/>
      <c r="R334" s="1080"/>
      <c r="S334" s="1080"/>
      <c r="T334" s="1080"/>
      <c r="U334" s="1080"/>
      <c r="V334" s="1080"/>
      <c r="W334" s="1080"/>
      <c r="X334" s="1080"/>
      <c r="Y334" s="1080"/>
      <c r="Z334" s="1080"/>
      <c r="AA334" s="1080"/>
      <c r="AB334" s="1080"/>
      <c r="AC334" s="1080"/>
    </row>
    <row r="335" spans="1:29" ht="12" customHeight="1">
      <c r="A335" s="1264"/>
      <c r="B335" s="1264"/>
      <c r="C335" s="1080"/>
      <c r="D335" s="1080"/>
      <c r="E335" s="1080"/>
      <c r="F335" s="1080"/>
      <c r="G335" s="1080"/>
      <c r="H335" s="1080"/>
      <c r="I335" s="1080"/>
      <c r="J335" s="1080"/>
      <c r="K335" s="1080"/>
      <c r="L335" s="1080"/>
      <c r="M335" s="1080"/>
      <c r="N335" s="1080"/>
      <c r="O335" s="1080"/>
      <c r="P335" s="1080"/>
      <c r="Q335" s="1080"/>
      <c r="R335" s="1080"/>
      <c r="S335" s="1080"/>
      <c r="T335" s="1080"/>
      <c r="U335" s="1080"/>
      <c r="V335" s="1080"/>
      <c r="W335" s="1080"/>
      <c r="X335" s="1080"/>
      <c r="Y335" s="1080"/>
      <c r="Z335" s="1080"/>
      <c r="AA335" s="1080"/>
      <c r="AB335" s="1080"/>
      <c r="AC335" s="1080"/>
    </row>
    <row r="336" spans="1:29" ht="12" customHeight="1">
      <c r="A336" s="1264"/>
      <c r="B336" s="1264"/>
      <c r="C336" s="1080"/>
      <c r="D336" s="1080"/>
      <c r="E336" s="1080"/>
      <c r="F336" s="1080"/>
      <c r="G336" s="1080"/>
      <c r="H336" s="1080"/>
      <c r="I336" s="1080"/>
      <c r="J336" s="1080"/>
      <c r="K336" s="1080"/>
      <c r="L336" s="1080"/>
      <c r="M336" s="1080"/>
      <c r="N336" s="1080"/>
      <c r="O336" s="1080"/>
      <c r="P336" s="1080"/>
      <c r="Q336" s="1080"/>
      <c r="R336" s="1080"/>
      <c r="S336" s="1080"/>
      <c r="T336" s="1080"/>
      <c r="U336" s="1080"/>
      <c r="V336" s="1080"/>
      <c r="W336" s="1080"/>
      <c r="X336" s="1080"/>
      <c r="Y336" s="1080"/>
      <c r="Z336" s="1080"/>
      <c r="AA336" s="1080"/>
      <c r="AB336" s="1080"/>
      <c r="AC336" s="1080"/>
    </row>
    <row r="337" spans="1:29" ht="12" customHeight="1">
      <c r="A337" s="1264"/>
      <c r="B337" s="1264"/>
      <c r="C337" s="1080"/>
      <c r="D337" s="1080"/>
      <c r="E337" s="1080"/>
      <c r="F337" s="1080"/>
      <c r="G337" s="1080"/>
      <c r="H337" s="1080"/>
      <c r="I337" s="1080"/>
      <c r="J337" s="1080"/>
      <c r="K337" s="1080"/>
      <c r="L337" s="1080"/>
      <c r="M337" s="1080"/>
      <c r="N337" s="1080"/>
      <c r="O337" s="1080"/>
      <c r="P337" s="1080"/>
      <c r="Q337" s="1080"/>
      <c r="R337" s="1080"/>
      <c r="S337" s="1080"/>
      <c r="T337" s="1080"/>
      <c r="U337" s="1080"/>
      <c r="V337" s="1080"/>
      <c r="W337" s="1080"/>
      <c r="X337" s="1080"/>
      <c r="Y337" s="1080"/>
      <c r="Z337" s="1080"/>
      <c r="AA337" s="1080"/>
      <c r="AB337" s="1080"/>
      <c r="AC337" s="1080"/>
    </row>
    <row r="338" spans="1:29" ht="12" customHeight="1">
      <c r="A338" s="1264"/>
      <c r="B338" s="1264"/>
      <c r="C338" s="1080"/>
      <c r="D338" s="1080"/>
      <c r="E338" s="1080"/>
      <c r="F338" s="1080"/>
      <c r="G338" s="1080"/>
      <c r="H338" s="1080"/>
      <c r="I338" s="1080"/>
      <c r="J338" s="1080"/>
      <c r="K338" s="1080"/>
      <c r="L338" s="1080"/>
      <c r="M338" s="1080"/>
      <c r="N338" s="1080"/>
      <c r="O338" s="1080"/>
      <c r="P338" s="1080"/>
      <c r="Q338" s="1080"/>
      <c r="R338" s="1080"/>
      <c r="S338" s="1080"/>
      <c r="T338" s="1080"/>
      <c r="U338" s="1080"/>
      <c r="V338" s="1080"/>
      <c r="W338" s="1080"/>
      <c r="X338" s="1080"/>
      <c r="Y338" s="1080"/>
      <c r="Z338" s="1080"/>
      <c r="AA338" s="1080"/>
      <c r="AB338" s="1080"/>
      <c r="AC338" s="1080"/>
    </row>
    <row r="339" spans="1:29" ht="12" customHeight="1">
      <c r="A339" s="1264"/>
      <c r="B339" s="1264"/>
      <c r="C339" s="1080"/>
      <c r="D339" s="1080"/>
      <c r="E339" s="1080"/>
      <c r="F339" s="1080"/>
      <c r="G339" s="1080"/>
      <c r="H339" s="1080"/>
      <c r="I339" s="1080"/>
      <c r="J339" s="1080"/>
      <c r="K339" s="1080"/>
      <c r="L339" s="1080"/>
      <c r="M339" s="1080"/>
      <c r="N339" s="1080"/>
      <c r="O339" s="1080"/>
      <c r="P339" s="1080"/>
      <c r="Q339" s="1080"/>
      <c r="R339" s="1080"/>
      <c r="S339" s="1080"/>
      <c r="T339" s="1080"/>
      <c r="U339" s="1080"/>
      <c r="V339" s="1080"/>
      <c r="W339" s="1080"/>
      <c r="X339" s="1080"/>
      <c r="Y339" s="1080"/>
      <c r="Z339" s="1080"/>
      <c r="AA339" s="1080"/>
      <c r="AB339" s="1080"/>
      <c r="AC339" s="1080"/>
    </row>
    <row r="340" spans="1:29" ht="12" customHeight="1">
      <c r="A340" s="1264"/>
      <c r="B340" s="1264"/>
      <c r="C340" s="1080"/>
      <c r="D340" s="1080"/>
      <c r="E340" s="1080"/>
      <c r="F340" s="1080"/>
      <c r="G340" s="1080"/>
      <c r="H340" s="1080"/>
      <c r="I340" s="1080"/>
      <c r="J340" s="1080"/>
      <c r="K340" s="1080"/>
      <c r="L340" s="1080"/>
      <c r="M340" s="1080"/>
      <c r="N340" s="1080"/>
      <c r="O340" s="1080"/>
      <c r="P340" s="1080"/>
      <c r="Q340" s="1080"/>
      <c r="R340" s="1080"/>
      <c r="S340" s="1080"/>
      <c r="T340" s="1080"/>
      <c r="U340" s="1080"/>
      <c r="V340" s="1080"/>
      <c r="W340" s="1080"/>
      <c r="X340" s="1080"/>
      <c r="Y340" s="1080"/>
      <c r="Z340" s="1080"/>
      <c r="AA340" s="1080"/>
      <c r="AB340" s="1080"/>
      <c r="AC340" s="1080"/>
    </row>
    <row r="341" spans="1:29" ht="12" customHeight="1">
      <c r="A341" s="1264"/>
      <c r="B341" s="1264"/>
      <c r="C341" s="1080"/>
      <c r="D341" s="1080"/>
      <c r="E341" s="1080"/>
      <c r="F341" s="1080"/>
      <c r="G341" s="1080"/>
      <c r="H341" s="1080"/>
      <c r="I341" s="1080"/>
      <c r="J341" s="1080"/>
      <c r="K341" s="1080"/>
      <c r="L341" s="1080"/>
      <c r="M341" s="1080"/>
      <c r="N341" s="1080"/>
      <c r="O341" s="1080"/>
      <c r="P341" s="1080"/>
      <c r="Q341" s="1080"/>
      <c r="R341" s="1080"/>
      <c r="S341" s="1080"/>
      <c r="T341" s="1080"/>
      <c r="U341" s="1080"/>
      <c r="V341" s="1080"/>
      <c r="W341" s="1080"/>
      <c r="X341" s="1080"/>
      <c r="Y341" s="1080"/>
      <c r="Z341" s="1080"/>
      <c r="AA341" s="1080"/>
      <c r="AB341" s="1080"/>
      <c r="AC341" s="1080"/>
    </row>
    <row r="342" spans="1:29" ht="12" customHeight="1">
      <c r="A342" s="1264"/>
      <c r="B342" s="1264"/>
      <c r="C342" s="1080"/>
      <c r="D342" s="1080"/>
      <c r="E342" s="1080"/>
      <c r="F342" s="1080"/>
      <c r="G342" s="1080"/>
      <c r="H342" s="1080"/>
      <c r="I342" s="1080"/>
      <c r="J342" s="1080"/>
      <c r="K342" s="1080"/>
      <c r="L342" s="1080"/>
      <c r="M342" s="1080"/>
      <c r="N342" s="1080"/>
      <c r="O342" s="1080"/>
      <c r="P342" s="1080"/>
      <c r="Q342" s="1080"/>
      <c r="R342" s="1080"/>
      <c r="S342" s="1080"/>
      <c r="T342" s="1080"/>
      <c r="U342" s="1080"/>
      <c r="V342" s="1080"/>
      <c r="W342" s="1080"/>
      <c r="X342" s="1080"/>
      <c r="Y342" s="1080"/>
      <c r="Z342" s="1080"/>
      <c r="AA342" s="1080"/>
      <c r="AB342" s="1080"/>
      <c r="AC342" s="1080"/>
    </row>
    <row r="343" spans="1:29" ht="12" customHeight="1">
      <c r="A343" s="1264"/>
      <c r="B343" s="1264"/>
      <c r="C343" s="1080"/>
      <c r="D343" s="1080"/>
      <c r="E343" s="1080"/>
      <c r="F343" s="1080"/>
      <c r="G343" s="1080"/>
      <c r="H343" s="1080"/>
      <c r="I343" s="1080"/>
      <c r="J343" s="1080"/>
      <c r="K343" s="1080"/>
      <c r="L343" s="1080"/>
      <c r="M343" s="1080"/>
      <c r="N343" s="1080"/>
      <c r="O343" s="1080"/>
      <c r="P343" s="1080"/>
      <c r="Q343" s="1080"/>
      <c r="R343" s="1080"/>
      <c r="S343" s="1080"/>
      <c r="T343" s="1080"/>
      <c r="U343" s="1080"/>
      <c r="V343" s="1080"/>
      <c r="W343" s="1080"/>
      <c r="X343" s="1080"/>
      <c r="Y343" s="1080"/>
      <c r="Z343" s="1080"/>
      <c r="AA343" s="1080"/>
      <c r="AB343" s="1080"/>
      <c r="AC343" s="1080"/>
    </row>
    <row r="344" spans="1:29" ht="12" customHeight="1">
      <c r="A344" s="1264"/>
      <c r="B344" s="1264"/>
      <c r="C344" s="1080"/>
      <c r="D344" s="1080"/>
      <c r="E344" s="1080"/>
      <c r="F344" s="1080"/>
      <c r="G344" s="1080"/>
      <c r="H344" s="1080"/>
      <c r="I344" s="1080"/>
      <c r="J344" s="1080"/>
      <c r="K344" s="1080"/>
      <c r="L344" s="1080"/>
      <c r="M344" s="1080"/>
      <c r="N344" s="1080"/>
      <c r="O344" s="1080"/>
      <c r="P344" s="1080"/>
      <c r="Q344" s="1080"/>
      <c r="R344" s="1080"/>
      <c r="S344" s="1080"/>
      <c r="T344" s="1080"/>
      <c r="U344" s="1080"/>
      <c r="V344" s="1080"/>
      <c r="W344" s="1080"/>
      <c r="X344" s="1080"/>
      <c r="Y344" s="1080"/>
      <c r="Z344" s="1080"/>
      <c r="AA344" s="1080"/>
      <c r="AB344" s="1080"/>
      <c r="AC344" s="1080"/>
    </row>
    <row r="345" spans="1:29" ht="12" customHeight="1">
      <c r="A345" s="1264"/>
      <c r="B345" s="1264"/>
      <c r="C345" s="1080"/>
      <c r="D345" s="1080"/>
      <c r="E345" s="1080"/>
      <c r="F345" s="1080"/>
      <c r="G345" s="1080"/>
      <c r="H345" s="1080"/>
      <c r="I345" s="1080"/>
      <c r="J345" s="1080"/>
      <c r="K345" s="1080"/>
      <c r="L345" s="1080"/>
      <c r="M345" s="1080"/>
      <c r="N345" s="1080"/>
      <c r="O345" s="1080"/>
      <c r="P345" s="1080"/>
      <c r="Q345" s="1080"/>
      <c r="R345" s="1080"/>
      <c r="S345" s="1080"/>
      <c r="T345" s="1080"/>
      <c r="U345" s="1080"/>
      <c r="V345" s="1080"/>
      <c r="W345" s="1080"/>
      <c r="X345" s="1080"/>
      <c r="Y345" s="1080"/>
      <c r="Z345" s="1080"/>
      <c r="AA345" s="1080"/>
      <c r="AB345" s="1080"/>
      <c r="AC345" s="1080"/>
    </row>
    <row r="346" spans="1:29" ht="12" customHeight="1">
      <c r="A346" s="1264"/>
      <c r="B346" s="1264"/>
      <c r="C346" s="1080"/>
      <c r="D346" s="1080"/>
      <c r="E346" s="1080"/>
      <c r="F346" s="1080"/>
      <c r="G346" s="1080"/>
      <c r="H346" s="1080"/>
      <c r="I346" s="1080"/>
      <c r="J346" s="1080"/>
      <c r="K346" s="1080"/>
      <c r="L346" s="1080"/>
      <c r="M346" s="1080"/>
      <c r="N346" s="1080"/>
      <c r="O346" s="1080"/>
      <c r="P346" s="1080"/>
      <c r="Q346" s="1080"/>
      <c r="R346" s="1080"/>
      <c r="S346" s="1080"/>
      <c r="T346" s="1080"/>
      <c r="U346" s="1080"/>
      <c r="V346" s="1080"/>
      <c r="W346" s="1080"/>
      <c r="X346" s="1080"/>
      <c r="Y346" s="1080"/>
      <c r="Z346" s="1080"/>
      <c r="AA346" s="1080"/>
      <c r="AB346" s="1080"/>
      <c r="AC346" s="1080"/>
    </row>
    <row r="347" spans="1:29" ht="12" customHeight="1">
      <c r="A347" s="1264"/>
      <c r="B347" s="1264"/>
      <c r="C347" s="1080"/>
      <c r="D347" s="1080"/>
      <c r="E347" s="1080"/>
      <c r="F347" s="1080"/>
      <c r="G347" s="1080"/>
      <c r="H347" s="1080"/>
      <c r="I347" s="1080"/>
      <c r="J347" s="1080"/>
      <c r="K347" s="1080"/>
      <c r="L347" s="1080"/>
      <c r="M347" s="1080"/>
      <c r="N347" s="1080"/>
      <c r="O347" s="1080"/>
      <c r="P347" s="1080"/>
      <c r="Q347" s="1080"/>
      <c r="R347" s="1080"/>
      <c r="S347" s="1080"/>
      <c r="T347" s="1080"/>
      <c r="U347" s="1080"/>
      <c r="V347" s="1080"/>
      <c r="W347" s="1080"/>
      <c r="X347" s="1080"/>
      <c r="Y347" s="1080"/>
      <c r="Z347" s="1080"/>
      <c r="AA347" s="1080"/>
      <c r="AB347" s="1080"/>
      <c r="AC347" s="1080"/>
    </row>
    <row r="348" spans="1:29" ht="12" customHeight="1">
      <c r="A348" s="1264"/>
      <c r="B348" s="1264"/>
      <c r="C348" s="1080"/>
      <c r="D348" s="1080"/>
      <c r="E348" s="1080"/>
      <c r="F348" s="1080"/>
      <c r="G348" s="1080"/>
      <c r="H348" s="1080"/>
      <c r="I348" s="1080"/>
      <c r="J348" s="1080"/>
      <c r="K348" s="1080"/>
      <c r="L348" s="1080"/>
      <c r="M348" s="1080"/>
      <c r="N348" s="1080"/>
      <c r="O348" s="1080"/>
      <c r="P348" s="1080"/>
      <c r="Q348" s="1080"/>
      <c r="R348" s="1080"/>
      <c r="S348" s="1080"/>
      <c r="T348" s="1080"/>
      <c r="U348" s="1080"/>
      <c r="V348" s="1080"/>
      <c r="W348" s="1080"/>
      <c r="X348" s="1080"/>
      <c r="Y348" s="1080"/>
      <c r="Z348" s="1080"/>
      <c r="AA348" s="1080"/>
      <c r="AB348" s="1080"/>
      <c r="AC348" s="1080"/>
    </row>
    <row r="349" spans="1:29" ht="12" customHeight="1">
      <c r="A349" s="1264"/>
      <c r="B349" s="1264"/>
      <c r="C349" s="1080"/>
      <c r="D349" s="1080"/>
      <c r="E349" s="1080"/>
      <c r="F349" s="1080"/>
      <c r="G349" s="1080"/>
      <c r="H349" s="1080"/>
      <c r="I349" s="1080"/>
      <c r="J349" s="1080"/>
      <c r="K349" s="1080"/>
      <c r="L349" s="1080"/>
      <c r="M349" s="1080"/>
      <c r="N349" s="1080"/>
      <c r="O349" s="1080"/>
      <c r="P349" s="1080"/>
      <c r="Q349" s="1080"/>
      <c r="R349" s="1080"/>
      <c r="S349" s="1080"/>
      <c r="T349" s="1080"/>
      <c r="U349" s="1080"/>
      <c r="V349" s="1080"/>
      <c r="W349" s="1080"/>
      <c r="X349" s="1080"/>
      <c r="Y349" s="1080"/>
      <c r="Z349" s="1080"/>
      <c r="AA349" s="1080"/>
      <c r="AB349" s="1080"/>
      <c r="AC349" s="1080"/>
    </row>
    <row r="350" spans="1:29" ht="12" customHeight="1">
      <c r="A350" s="1264"/>
      <c r="B350" s="1264"/>
      <c r="C350" s="1080"/>
      <c r="D350" s="1080"/>
      <c r="E350" s="1080"/>
      <c r="F350" s="1080"/>
      <c r="G350" s="1080"/>
      <c r="H350" s="1080"/>
      <c r="I350" s="1080"/>
      <c r="J350" s="1080"/>
      <c r="K350" s="1080"/>
      <c r="L350" s="1080"/>
      <c r="M350" s="1080"/>
      <c r="N350" s="1080"/>
      <c r="O350" s="1080"/>
      <c r="P350" s="1080"/>
      <c r="Q350" s="1080"/>
      <c r="R350" s="1080"/>
      <c r="S350" s="1080"/>
      <c r="T350" s="1080"/>
      <c r="U350" s="1080"/>
      <c r="V350" s="1080"/>
      <c r="W350" s="1080"/>
      <c r="X350" s="1080"/>
      <c r="Y350" s="1080"/>
      <c r="Z350" s="1080"/>
      <c r="AA350" s="1080"/>
      <c r="AB350" s="1080"/>
      <c r="AC350" s="1080"/>
    </row>
    <row r="351" spans="1:29" ht="12" customHeight="1">
      <c r="A351" s="1264"/>
      <c r="B351" s="1264"/>
      <c r="C351" s="1080"/>
      <c r="D351" s="1080"/>
      <c r="E351" s="1080"/>
      <c r="F351" s="1080"/>
      <c r="G351" s="1080"/>
      <c r="H351" s="1080"/>
      <c r="I351" s="1080"/>
      <c r="J351" s="1080"/>
      <c r="K351" s="1080"/>
      <c r="L351" s="1080"/>
      <c r="M351" s="1080"/>
      <c r="N351" s="1080"/>
      <c r="O351" s="1080"/>
      <c r="P351" s="1080"/>
      <c r="Q351" s="1080"/>
      <c r="R351" s="1080"/>
      <c r="S351" s="1080"/>
      <c r="T351" s="1080"/>
      <c r="U351" s="1080"/>
      <c r="V351" s="1080"/>
      <c r="W351" s="1080"/>
      <c r="X351" s="1080"/>
      <c r="Y351" s="1080"/>
      <c r="Z351" s="1080"/>
      <c r="AA351" s="1080"/>
      <c r="AB351" s="1080"/>
      <c r="AC351" s="1080"/>
    </row>
    <row r="352" spans="1:29" ht="12" customHeight="1">
      <c r="A352" s="1264"/>
      <c r="B352" s="1264"/>
      <c r="C352" s="1080"/>
      <c r="D352" s="1080"/>
      <c r="E352" s="1080"/>
      <c r="F352" s="1080"/>
      <c r="G352" s="1080"/>
      <c r="H352" s="1080"/>
      <c r="I352" s="1080"/>
      <c r="J352" s="1080"/>
      <c r="K352" s="1080"/>
      <c r="L352" s="1080"/>
      <c r="M352" s="1080"/>
      <c r="N352" s="1080"/>
      <c r="O352" s="1080"/>
      <c r="P352" s="1080"/>
      <c r="Q352" s="1080"/>
      <c r="R352" s="1080"/>
      <c r="S352" s="1080"/>
      <c r="T352" s="1080"/>
      <c r="U352" s="1080"/>
      <c r="V352" s="1080"/>
      <c r="W352" s="1080"/>
      <c r="X352" s="1080"/>
      <c r="Y352" s="1080"/>
      <c r="Z352" s="1080"/>
      <c r="AA352" s="1080"/>
      <c r="AB352" s="1080"/>
      <c r="AC352" s="1080"/>
    </row>
    <row r="353" spans="1:29" ht="12" customHeight="1">
      <c r="A353" s="1264"/>
      <c r="B353" s="1264"/>
      <c r="C353" s="1080"/>
      <c r="D353" s="1080"/>
      <c r="E353" s="1080"/>
      <c r="F353" s="1080"/>
      <c r="G353" s="1080"/>
      <c r="H353" s="1080"/>
      <c r="I353" s="1080"/>
      <c r="J353" s="1080"/>
      <c r="K353" s="1080"/>
      <c r="L353" s="1080"/>
      <c r="M353" s="1080"/>
      <c r="N353" s="1080"/>
      <c r="O353" s="1080"/>
      <c r="P353" s="1080"/>
      <c r="Q353" s="1080"/>
      <c r="R353" s="1080"/>
      <c r="S353" s="1080"/>
      <c r="T353" s="1080"/>
      <c r="U353" s="1080"/>
      <c r="V353" s="1080"/>
      <c r="W353" s="1080"/>
      <c r="X353" s="1080"/>
      <c r="Y353" s="1080"/>
      <c r="Z353" s="1080"/>
      <c r="AA353" s="1080"/>
      <c r="AB353" s="1080"/>
      <c r="AC353" s="1080"/>
    </row>
    <row r="354" spans="1:29" ht="12" customHeight="1">
      <c r="A354" s="1264"/>
      <c r="B354" s="1264"/>
      <c r="C354" s="1080"/>
      <c r="D354" s="1080"/>
      <c r="E354" s="1080"/>
      <c r="F354" s="1080"/>
      <c r="G354" s="1080"/>
      <c r="H354" s="1080"/>
      <c r="I354" s="1080"/>
      <c r="J354" s="1080"/>
      <c r="K354" s="1080"/>
      <c r="L354" s="1080"/>
      <c r="M354" s="1080"/>
      <c r="N354" s="1080"/>
      <c r="O354" s="1080"/>
      <c r="P354" s="1080"/>
      <c r="Q354" s="1080"/>
      <c r="R354" s="1080"/>
      <c r="S354" s="1080"/>
      <c r="T354" s="1080"/>
      <c r="U354" s="1080"/>
      <c r="V354" s="1080"/>
      <c r="W354" s="1080"/>
      <c r="X354" s="1080"/>
      <c r="Y354" s="1080"/>
      <c r="Z354" s="1080"/>
      <c r="AA354" s="1080"/>
      <c r="AB354" s="1080"/>
      <c r="AC354" s="1080"/>
    </row>
    <row r="355" spans="1:29" ht="12" customHeight="1">
      <c r="A355" s="1264"/>
      <c r="B355" s="1264"/>
      <c r="C355" s="1080"/>
      <c r="D355" s="1080"/>
      <c r="E355" s="1080"/>
      <c r="F355" s="1080"/>
      <c r="G355" s="1080"/>
      <c r="H355" s="1080"/>
      <c r="I355" s="1080"/>
      <c r="J355" s="1080"/>
      <c r="K355" s="1080"/>
      <c r="L355" s="1080"/>
      <c r="M355" s="1080"/>
      <c r="N355" s="1080"/>
      <c r="O355" s="1080"/>
      <c r="P355" s="1080"/>
      <c r="Q355" s="1080"/>
      <c r="R355" s="1080"/>
      <c r="S355" s="1080"/>
      <c r="T355" s="1080"/>
      <c r="U355" s="1080"/>
      <c r="V355" s="1080"/>
      <c r="W355" s="1080"/>
      <c r="X355" s="1080"/>
      <c r="Y355" s="1080"/>
      <c r="Z355" s="1080"/>
      <c r="AA355" s="1080"/>
      <c r="AB355" s="1080"/>
      <c r="AC355" s="1080"/>
    </row>
    <row r="356" spans="1:29" ht="12" customHeight="1">
      <c r="A356" s="1264"/>
      <c r="B356" s="1264"/>
      <c r="C356" s="1080"/>
      <c r="D356" s="1080"/>
      <c r="E356" s="1080"/>
      <c r="F356" s="1080"/>
      <c r="G356" s="1080"/>
      <c r="H356" s="1080"/>
      <c r="I356" s="1080"/>
      <c r="J356" s="1080"/>
      <c r="K356" s="1080"/>
      <c r="L356" s="1080"/>
      <c r="M356" s="1080"/>
      <c r="N356" s="1080"/>
      <c r="O356" s="1080"/>
      <c r="P356" s="1080"/>
      <c r="Q356" s="1080"/>
      <c r="R356" s="1080"/>
      <c r="S356" s="1080"/>
      <c r="T356" s="1080"/>
      <c r="U356" s="1080"/>
      <c r="V356" s="1080"/>
      <c r="W356" s="1080"/>
      <c r="X356" s="1080"/>
      <c r="Y356" s="1080"/>
      <c r="Z356" s="1080"/>
      <c r="AA356" s="1080"/>
      <c r="AB356" s="1080"/>
      <c r="AC356" s="1080"/>
    </row>
    <row r="357" spans="1:29" ht="12" customHeight="1">
      <c r="A357" s="1264"/>
      <c r="B357" s="1264"/>
      <c r="C357" s="1080"/>
      <c r="D357" s="1080"/>
      <c r="E357" s="1080"/>
      <c r="F357" s="1080"/>
      <c r="G357" s="1080"/>
      <c r="H357" s="1080"/>
      <c r="I357" s="1080"/>
      <c r="J357" s="1080"/>
      <c r="K357" s="1080"/>
      <c r="L357" s="1080"/>
      <c r="M357" s="1080"/>
      <c r="N357" s="1080"/>
      <c r="O357" s="1080"/>
      <c r="P357" s="1080"/>
      <c r="Q357" s="1080"/>
      <c r="R357" s="1080"/>
      <c r="S357" s="1080"/>
      <c r="T357" s="1080"/>
      <c r="U357" s="1080"/>
      <c r="V357" s="1080"/>
      <c r="W357" s="1080"/>
      <c r="X357" s="1080"/>
      <c r="Y357" s="1080"/>
      <c r="Z357" s="1080"/>
      <c r="AA357" s="1080"/>
      <c r="AB357" s="1080"/>
      <c r="AC357" s="1080"/>
    </row>
    <row r="358" spans="1:29" ht="12" customHeight="1">
      <c r="A358" s="1264"/>
      <c r="B358" s="1264"/>
      <c r="C358" s="1080"/>
      <c r="D358" s="1080"/>
      <c r="E358" s="1080"/>
      <c r="F358" s="1080"/>
      <c r="G358" s="1080"/>
      <c r="H358" s="1080"/>
      <c r="I358" s="1080"/>
      <c r="J358" s="1080"/>
      <c r="K358" s="1080"/>
      <c r="L358" s="1080"/>
      <c r="M358" s="1080"/>
      <c r="N358" s="1080"/>
      <c r="O358" s="1080"/>
      <c r="P358" s="1080"/>
      <c r="Q358" s="1080"/>
      <c r="R358" s="1080"/>
      <c r="S358" s="1080"/>
      <c r="T358" s="1080"/>
      <c r="U358" s="1080"/>
      <c r="V358" s="1080"/>
      <c r="W358" s="1080"/>
      <c r="X358" s="1080"/>
      <c r="Y358" s="1080"/>
      <c r="Z358" s="1080"/>
      <c r="AA358" s="1080"/>
      <c r="AB358" s="1080"/>
      <c r="AC358" s="1080"/>
    </row>
    <row r="359" spans="1:29" ht="12" customHeight="1">
      <c r="A359" s="1264"/>
      <c r="B359" s="1264"/>
      <c r="C359" s="1080"/>
      <c r="D359" s="1080"/>
      <c r="E359" s="1080"/>
      <c r="F359" s="1080"/>
      <c r="G359" s="1080"/>
      <c r="H359" s="1080"/>
      <c r="I359" s="1080"/>
      <c r="J359" s="1080"/>
      <c r="K359" s="1080"/>
      <c r="L359" s="1080"/>
      <c r="M359" s="1080"/>
      <c r="N359" s="1080"/>
      <c r="O359" s="1080"/>
      <c r="P359" s="1080"/>
      <c r="Q359" s="1080"/>
      <c r="R359" s="1080"/>
      <c r="S359" s="1080"/>
      <c r="T359" s="1080"/>
      <c r="U359" s="1080"/>
      <c r="V359" s="1080"/>
      <c r="W359" s="1080"/>
      <c r="X359" s="1080"/>
      <c r="Y359" s="1080"/>
      <c r="Z359" s="1080"/>
      <c r="AA359" s="1080"/>
      <c r="AB359" s="1080"/>
      <c r="AC359" s="1080"/>
    </row>
    <row r="360" spans="1:29" ht="12" customHeight="1">
      <c r="A360" s="1264"/>
      <c r="B360" s="1264"/>
      <c r="C360" s="1080"/>
      <c r="D360" s="1080"/>
      <c r="E360" s="1080"/>
      <c r="F360" s="1080"/>
      <c r="G360" s="1080"/>
      <c r="H360" s="1080"/>
      <c r="I360" s="1080"/>
      <c r="J360" s="1080"/>
      <c r="K360" s="1080"/>
      <c r="L360" s="1080"/>
      <c r="M360" s="1080"/>
      <c r="N360" s="1080"/>
      <c r="O360" s="1080"/>
      <c r="P360" s="1080"/>
      <c r="Q360" s="1080"/>
      <c r="R360" s="1080"/>
      <c r="S360" s="1080"/>
      <c r="T360" s="1080"/>
      <c r="U360" s="1080"/>
      <c r="V360" s="1080"/>
      <c r="W360" s="1080"/>
      <c r="X360" s="1080"/>
      <c r="Y360" s="1080"/>
      <c r="Z360" s="1080"/>
      <c r="AA360" s="1080"/>
      <c r="AB360" s="1080"/>
      <c r="AC360" s="1080"/>
    </row>
    <row r="361" spans="1:29" ht="12" customHeight="1">
      <c r="A361" s="1264"/>
      <c r="B361" s="1264"/>
      <c r="C361" s="1080"/>
      <c r="D361" s="1080"/>
      <c r="E361" s="1080"/>
      <c r="F361" s="1080"/>
      <c r="G361" s="1080"/>
      <c r="H361" s="1080"/>
      <c r="I361" s="1080"/>
      <c r="J361" s="1080"/>
      <c r="K361" s="1080"/>
      <c r="L361" s="1080"/>
      <c r="M361" s="1080"/>
      <c r="N361" s="1080"/>
      <c r="O361" s="1080"/>
      <c r="P361" s="1080"/>
      <c r="Q361" s="1080"/>
      <c r="R361" s="1080"/>
      <c r="S361" s="1080"/>
      <c r="T361" s="1080"/>
      <c r="U361" s="1080"/>
      <c r="V361" s="1080"/>
      <c r="W361" s="1080"/>
      <c r="X361" s="1080"/>
      <c r="Y361" s="1080"/>
      <c r="Z361" s="1080"/>
      <c r="AA361" s="1080"/>
      <c r="AB361" s="1080"/>
      <c r="AC361" s="1080"/>
    </row>
    <row r="362" spans="1:29" ht="12" customHeight="1">
      <c r="A362" s="1264"/>
      <c r="B362" s="1264"/>
      <c r="C362" s="1080"/>
      <c r="D362" s="1080"/>
      <c r="E362" s="1080"/>
      <c r="F362" s="1080"/>
      <c r="G362" s="1080"/>
      <c r="H362" s="1080"/>
      <c r="I362" s="1080"/>
      <c r="J362" s="1080"/>
      <c r="K362" s="1080"/>
      <c r="L362" s="1080"/>
      <c r="M362" s="1080"/>
      <c r="N362" s="1080"/>
      <c r="O362" s="1080"/>
      <c r="P362" s="1080"/>
      <c r="Q362" s="1080"/>
      <c r="R362" s="1080"/>
      <c r="S362" s="1080"/>
      <c r="T362" s="1080"/>
      <c r="U362" s="1080"/>
      <c r="V362" s="1080"/>
      <c r="W362" s="1080"/>
      <c r="X362" s="1080"/>
      <c r="Y362" s="1080"/>
      <c r="Z362" s="1080"/>
      <c r="AA362" s="1080"/>
      <c r="AB362" s="1080"/>
      <c r="AC362" s="1080"/>
    </row>
    <row r="363" spans="1:29" ht="12" customHeight="1">
      <c r="A363" s="1264"/>
      <c r="B363" s="1264"/>
      <c r="C363" s="1080"/>
      <c r="D363" s="1080"/>
      <c r="E363" s="1080"/>
      <c r="F363" s="1080"/>
      <c r="G363" s="1080"/>
      <c r="H363" s="1080"/>
      <c r="I363" s="1080"/>
      <c r="J363" s="1080"/>
      <c r="K363" s="1080"/>
      <c r="L363" s="1080"/>
      <c r="M363" s="1080"/>
      <c r="N363" s="1080"/>
      <c r="O363" s="1080"/>
      <c r="P363" s="1080"/>
      <c r="Q363" s="1080"/>
      <c r="R363" s="1080"/>
      <c r="S363" s="1080"/>
      <c r="T363" s="1080"/>
      <c r="U363" s="1080"/>
      <c r="V363" s="1080"/>
      <c r="W363" s="1080"/>
      <c r="X363" s="1080"/>
      <c r="Y363" s="1080"/>
      <c r="Z363" s="1080"/>
      <c r="AA363" s="1080"/>
      <c r="AB363" s="1080"/>
      <c r="AC363" s="1080"/>
    </row>
    <row r="364" spans="1:29" ht="12" customHeight="1">
      <c r="A364" s="1264"/>
      <c r="B364" s="1264"/>
      <c r="C364" s="1080"/>
      <c r="D364" s="1080"/>
      <c r="E364" s="1080"/>
      <c r="F364" s="1080"/>
      <c r="G364" s="1080"/>
      <c r="H364" s="1080"/>
      <c r="I364" s="1080"/>
      <c r="J364" s="1080"/>
      <c r="K364" s="1080"/>
      <c r="L364" s="1080"/>
      <c r="M364" s="1080"/>
      <c r="N364" s="1080"/>
      <c r="O364" s="1080"/>
      <c r="P364" s="1080"/>
      <c r="Q364" s="1080"/>
      <c r="R364" s="1080"/>
      <c r="S364" s="1080"/>
      <c r="T364" s="1080"/>
      <c r="U364" s="1080"/>
      <c r="V364" s="1080"/>
      <c r="W364" s="1080"/>
      <c r="X364" s="1080"/>
      <c r="Y364" s="1080"/>
      <c r="Z364" s="1080"/>
      <c r="AA364" s="1080"/>
      <c r="AB364" s="1080"/>
      <c r="AC364" s="1080"/>
    </row>
    <row r="365" spans="1:29" ht="12" customHeight="1">
      <c r="A365" s="1264"/>
      <c r="B365" s="1264"/>
      <c r="C365" s="1080"/>
      <c r="D365" s="1080"/>
      <c r="E365" s="1080"/>
      <c r="F365" s="1080"/>
      <c r="G365" s="1080"/>
      <c r="H365" s="1080"/>
      <c r="I365" s="1080"/>
      <c r="J365" s="1080"/>
      <c r="K365" s="1080"/>
      <c r="L365" s="1080"/>
      <c r="M365" s="1080"/>
      <c r="N365" s="1080"/>
      <c r="O365" s="1080"/>
      <c r="P365" s="1080"/>
      <c r="Q365" s="1080"/>
      <c r="R365" s="1080"/>
      <c r="S365" s="1080"/>
      <c r="T365" s="1080"/>
      <c r="U365" s="1080"/>
      <c r="V365" s="1080"/>
      <c r="W365" s="1080"/>
      <c r="X365" s="1080"/>
      <c r="Y365" s="1080"/>
      <c r="Z365" s="1080"/>
      <c r="AA365" s="1080"/>
      <c r="AB365" s="1080"/>
      <c r="AC365" s="1080"/>
    </row>
    <row r="366" spans="1:29" ht="12" customHeight="1">
      <c r="A366" s="1264"/>
      <c r="B366" s="1264"/>
      <c r="C366" s="1080"/>
      <c r="D366" s="1080"/>
      <c r="E366" s="1080"/>
      <c r="F366" s="1080"/>
      <c r="G366" s="1080"/>
      <c r="H366" s="1080"/>
      <c r="I366" s="1080"/>
      <c r="J366" s="1080"/>
      <c r="K366" s="1080"/>
      <c r="L366" s="1080"/>
      <c r="M366" s="1080"/>
      <c r="N366" s="1080"/>
      <c r="O366" s="1080"/>
      <c r="P366" s="1080"/>
      <c r="Q366" s="1080"/>
      <c r="R366" s="1080"/>
      <c r="S366" s="1080"/>
      <c r="T366" s="1080"/>
      <c r="U366" s="1080"/>
      <c r="V366" s="1080"/>
      <c r="W366" s="1080"/>
      <c r="X366" s="1080"/>
      <c r="Y366" s="1080"/>
      <c r="Z366" s="1080"/>
      <c r="AA366" s="1080"/>
      <c r="AB366" s="1080"/>
      <c r="AC366" s="1080"/>
    </row>
    <row r="367" spans="1:29" ht="12" customHeight="1">
      <c r="A367" s="1264"/>
      <c r="B367" s="1264"/>
      <c r="C367" s="1080"/>
      <c r="D367" s="1080"/>
      <c r="E367" s="1080"/>
      <c r="F367" s="1080"/>
      <c r="G367" s="1080"/>
      <c r="H367" s="1080"/>
      <c r="I367" s="1080"/>
      <c r="J367" s="1080"/>
      <c r="K367" s="1080"/>
      <c r="L367" s="1080"/>
      <c r="M367" s="1080"/>
      <c r="N367" s="1080"/>
      <c r="O367" s="1080"/>
      <c r="P367" s="1080"/>
      <c r="Q367" s="1080"/>
      <c r="R367" s="1080"/>
      <c r="S367" s="1080"/>
      <c r="T367" s="1080"/>
      <c r="U367" s="1080"/>
      <c r="V367" s="1080"/>
      <c r="W367" s="1080"/>
      <c r="X367" s="1080"/>
      <c r="Y367" s="1080"/>
      <c r="Z367" s="1080"/>
      <c r="AA367" s="1080"/>
      <c r="AB367" s="1080"/>
      <c r="AC367" s="1080"/>
    </row>
    <row r="368" spans="1:29" ht="12" customHeight="1">
      <c r="A368" s="1264"/>
      <c r="B368" s="1264"/>
      <c r="C368" s="1080"/>
      <c r="D368" s="1080"/>
      <c r="E368" s="1080"/>
      <c r="F368" s="1080"/>
      <c r="G368" s="1080"/>
      <c r="H368" s="1080"/>
      <c r="I368" s="1080"/>
      <c r="J368" s="1080"/>
      <c r="K368" s="1080"/>
      <c r="L368" s="1080"/>
      <c r="M368" s="1080"/>
      <c r="N368" s="1080"/>
      <c r="O368" s="1080"/>
      <c r="P368" s="1080"/>
      <c r="Q368" s="1080"/>
      <c r="R368" s="1080"/>
      <c r="S368" s="1080"/>
      <c r="T368" s="1080"/>
      <c r="U368" s="1080"/>
      <c r="V368" s="1080"/>
      <c r="W368" s="1080"/>
      <c r="X368" s="1080"/>
      <c r="Y368" s="1080"/>
      <c r="Z368" s="1080"/>
      <c r="AA368" s="1080"/>
      <c r="AB368" s="1080"/>
      <c r="AC368" s="1080"/>
    </row>
    <row r="369" spans="1:29" ht="12" customHeight="1">
      <c r="A369" s="1264"/>
      <c r="B369" s="1264"/>
      <c r="C369" s="1080"/>
      <c r="D369" s="1080"/>
      <c r="E369" s="1080"/>
      <c r="F369" s="1080"/>
      <c r="G369" s="1080"/>
      <c r="H369" s="1080"/>
      <c r="I369" s="1080"/>
      <c r="J369" s="1080"/>
      <c r="K369" s="1080"/>
      <c r="L369" s="1080"/>
      <c r="M369" s="1080"/>
      <c r="N369" s="1080"/>
      <c r="O369" s="1080"/>
      <c r="P369" s="1080"/>
      <c r="Q369" s="1080"/>
      <c r="R369" s="1080"/>
      <c r="S369" s="1080"/>
      <c r="T369" s="1080"/>
      <c r="U369" s="1080"/>
      <c r="V369" s="1080"/>
      <c r="W369" s="1080"/>
      <c r="X369" s="1080"/>
      <c r="Y369" s="1080"/>
      <c r="Z369" s="1080"/>
      <c r="AA369" s="1080"/>
      <c r="AB369" s="1080"/>
      <c r="AC369" s="1080"/>
    </row>
    <row r="370" spans="1:29" ht="12" customHeight="1">
      <c r="A370" s="1264"/>
      <c r="B370" s="1264"/>
      <c r="C370" s="1080"/>
      <c r="D370" s="1080"/>
      <c r="E370" s="1080"/>
      <c r="F370" s="1080"/>
      <c r="G370" s="1080"/>
      <c r="H370" s="1080"/>
      <c r="I370" s="1080"/>
      <c r="J370" s="1080"/>
      <c r="K370" s="1080"/>
      <c r="L370" s="1080"/>
      <c r="M370" s="1080"/>
      <c r="N370" s="1080"/>
      <c r="O370" s="1080"/>
      <c r="P370" s="1080"/>
      <c r="Q370" s="1080"/>
      <c r="R370" s="1080"/>
      <c r="S370" s="1080"/>
      <c r="T370" s="1080"/>
      <c r="U370" s="1080"/>
      <c r="V370" s="1080"/>
      <c r="W370" s="1080"/>
      <c r="X370" s="1080"/>
      <c r="Y370" s="1080"/>
      <c r="Z370" s="1080"/>
      <c r="AA370" s="1080"/>
      <c r="AB370" s="1080"/>
      <c r="AC370" s="1080"/>
    </row>
    <row r="371" spans="1:29" ht="12" customHeight="1">
      <c r="A371" s="1264"/>
      <c r="B371" s="1264"/>
      <c r="C371" s="1080"/>
      <c r="D371" s="1080"/>
      <c r="E371" s="1080"/>
      <c r="F371" s="1080"/>
      <c r="G371" s="1080"/>
      <c r="H371" s="1080"/>
      <c r="I371" s="1080"/>
      <c r="J371" s="1080"/>
      <c r="K371" s="1080"/>
      <c r="L371" s="1080"/>
      <c r="M371" s="1080"/>
      <c r="N371" s="1080"/>
      <c r="O371" s="1080"/>
      <c r="P371" s="1080"/>
      <c r="Q371" s="1080"/>
      <c r="R371" s="1080"/>
      <c r="S371" s="1080"/>
      <c r="T371" s="1080"/>
      <c r="U371" s="1080"/>
      <c r="V371" s="1080"/>
      <c r="W371" s="1080"/>
      <c r="X371" s="1080"/>
      <c r="Y371" s="1080"/>
      <c r="Z371" s="1080"/>
      <c r="AA371" s="1080"/>
      <c r="AB371" s="1080"/>
      <c r="AC371" s="1080"/>
    </row>
    <row r="372" spans="1:29" ht="12" customHeight="1">
      <c r="A372" s="1264"/>
      <c r="B372" s="1264"/>
      <c r="C372" s="1080"/>
      <c r="D372" s="1080"/>
      <c r="E372" s="1080"/>
      <c r="F372" s="1080"/>
      <c r="G372" s="1080"/>
      <c r="H372" s="1080"/>
      <c r="I372" s="1080"/>
      <c r="J372" s="1080"/>
      <c r="K372" s="1080"/>
      <c r="L372" s="1080"/>
      <c r="M372" s="1080"/>
      <c r="N372" s="1080"/>
      <c r="O372" s="1080"/>
      <c r="P372" s="1080"/>
      <c r="Q372" s="1080"/>
      <c r="R372" s="1080"/>
      <c r="S372" s="1080"/>
      <c r="T372" s="1080"/>
      <c r="U372" s="1080"/>
      <c r="V372" s="1080"/>
      <c r="W372" s="1080"/>
      <c r="X372" s="1080"/>
      <c r="Y372" s="1080"/>
      <c r="Z372" s="1080"/>
      <c r="AA372" s="1080"/>
      <c r="AB372" s="1080"/>
      <c r="AC372" s="1080"/>
    </row>
    <row r="373" spans="1:29" ht="12" customHeight="1">
      <c r="A373" s="1264"/>
      <c r="B373" s="1264"/>
      <c r="C373" s="1080"/>
      <c r="D373" s="1080"/>
      <c r="E373" s="1080"/>
      <c r="F373" s="1080"/>
      <c r="G373" s="1080"/>
      <c r="H373" s="1080"/>
      <c r="I373" s="1080"/>
      <c r="J373" s="1080"/>
      <c r="K373" s="1080"/>
      <c r="L373" s="1080"/>
      <c r="M373" s="1080"/>
      <c r="N373" s="1080"/>
      <c r="O373" s="1080"/>
      <c r="P373" s="1080"/>
      <c r="Q373" s="1080"/>
      <c r="R373" s="1080"/>
      <c r="S373" s="1080"/>
      <c r="T373" s="1080"/>
      <c r="U373" s="1080"/>
      <c r="V373" s="1080"/>
      <c r="W373" s="1080"/>
      <c r="X373" s="1080"/>
      <c r="Y373" s="1080"/>
      <c r="Z373" s="1080"/>
      <c r="AA373" s="1080"/>
      <c r="AB373" s="1080"/>
      <c r="AC373" s="1080"/>
    </row>
    <row r="374" spans="1:29" ht="12" customHeight="1">
      <c r="A374" s="1264"/>
      <c r="B374" s="1264"/>
      <c r="C374" s="1080"/>
      <c r="D374" s="1080"/>
      <c r="E374" s="1080"/>
      <c r="F374" s="1080"/>
      <c r="G374" s="1080"/>
      <c r="H374" s="1080"/>
      <c r="I374" s="1080"/>
      <c r="J374" s="1080"/>
      <c r="K374" s="1080"/>
      <c r="L374" s="1080"/>
      <c r="M374" s="1080"/>
      <c r="N374" s="1080"/>
      <c r="O374" s="1080"/>
      <c r="P374" s="1080"/>
      <c r="Q374" s="1080"/>
      <c r="R374" s="1080"/>
      <c r="S374" s="1080"/>
      <c r="T374" s="1080"/>
      <c r="U374" s="1080"/>
      <c r="V374" s="1080"/>
      <c r="W374" s="1080"/>
      <c r="X374" s="1080"/>
      <c r="Y374" s="1080"/>
      <c r="Z374" s="1080"/>
      <c r="AA374" s="1080"/>
      <c r="AB374" s="1080"/>
      <c r="AC374" s="1080"/>
    </row>
    <row r="375" spans="1:29" ht="12" customHeight="1">
      <c r="A375" s="1264"/>
      <c r="B375" s="1264"/>
      <c r="C375" s="1080"/>
      <c r="D375" s="1080"/>
      <c r="E375" s="1080"/>
      <c r="F375" s="1080"/>
      <c r="G375" s="1080"/>
      <c r="H375" s="1080"/>
      <c r="I375" s="1080"/>
      <c r="J375" s="1080"/>
      <c r="K375" s="1080"/>
      <c r="L375" s="1080"/>
      <c r="M375" s="1080"/>
      <c r="N375" s="1080"/>
      <c r="O375" s="1080"/>
      <c r="P375" s="1080"/>
      <c r="Q375" s="1080"/>
      <c r="R375" s="1080"/>
      <c r="S375" s="1080"/>
      <c r="T375" s="1080"/>
      <c r="U375" s="1080"/>
      <c r="V375" s="1080"/>
      <c r="W375" s="1080"/>
      <c r="X375" s="1080"/>
      <c r="Y375" s="1080"/>
      <c r="Z375" s="1080"/>
      <c r="AA375" s="1080"/>
      <c r="AB375" s="1080"/>
      <c r="AC375" s="1080"/>
    </row>
    <row r="376" spans="1:29" ht="12" customHeight="1">
      <c r="A376" s="1264"/>
      <c r="B376" s="1264"/>
      <c r="C376" s="1080"/>
      <c r="D376" s="1080"/>
      <c r="E376" s="1080"/>
      <c r="F376" s="1080"/>
      <c r="G376" s="1080"/>
      <c r="H376" s="1080"/>
      <c r="I376" s="1080"/>
      <c r="J376" s="1080"/>
      <c r="K376" s="1080"/>
      <c r="L376" s="1080"/>
      <c r="M376" s="1080"/>
      <c r="N376" s="1080"/>
      <c r="O376" s="1080"/>
      <c r="P376" s="1080"/>
      <c r="Q376" s="1080"/>
      <c r="R376" s="1080"/>
      <c r="S376" s="1080"/>
      <c r="T376" s="1080"/>
      <c r="U376" s="1080"/>
      <c r="V376" s="1080"/>
      <c r="W376" s="1080"/>
      <c r="X376" s="1080"/>
      <c r="Y376" s="1080"/>
      <c r="Z376" s="1080"/>
      <c r="AA376" s="1080"/>
      <c r="AB376" s="1080"/>
      <c r="AC376" s="1080"/>
    </row>
    <row r="377" spans="1:29" ht="12" customHeight="1">
      <c r="A377" s="1264"/>
      <c r="B377" s="1264"/>
      <c r="C377" s="1080"/>
      <c r="D377" s="1080"/>
      <c r="E377" s="1080"/>
      <c r="F377" s="1080"/>
      <c r="G377" s="1080"/>
      <c r="H377" s="1080"/>
      <c r="I377" s="1080"/>
      <c r="J377" s="1080"/>
      <c r="K377" s="1080"/>
      <c r="L377" s="1080"/>
      <c r="M377" s="1080"/>
      <c r="N377" s="1080"/>
      <c r="O377" s="1080"/>
      <c r="P377" s="1080"/>
      <c r="Q377" s="1080"/>
      <c r="R377" s="1080"/>
      <c r="S377" s="1080"/>
      <c r="T377" s="1080"/>
      <c r="U377" s="1080"/>
      <c r="V377" s="1080"/>
      <c r="W377" s="1080"/>
      <c r="X377" s="1080"/>
      <c r="Y377" s="1080"/>
      <c r="Z377" s="1080"/>
      <c r="AA377" s="1080"/>
      <c r="AB377" s="1080"/>
      <c r="AC377" s="1080"/>
    </row>
    <row r="378" spans="1:29" ht="12" customHeight="1">
      <c r="A378" s="1264"/>
      <c r="B378" s="1264"/>
      <c r="C378" s="1080"/>
      <c r="D378" s="1080"/>
      <c r="E378" s="1080"/>
      <c r="F378" s="1080"/>
      <c r="G378" s="1080"/>
      <c r="H378" s="1080"/>
      <c r="I378" s="1080"/>
      <c r="J378" s="1080"/>
      <c r="K378" s="1080"/>
      <c r="L378" s="1080"/>
      <c r="M378" s="1080"/>
      <c r="N378" s="1080"/>
      <c r="O378" s="1080"/>
      <c r="P378" s="1080"/>
      <c r="Q378" s="1080"/>
      <c r="R378" s="1080"/>
      <c r="S378" s="1080"/>
      <c r="T378" s="1080"/>
      <c r="U378" s="1080"/>
      <c r="V378" s="1080"/>
      <c r="W378" s="1080"/>
      <c r="X378" s="1080"/>
      <c r="Y378" s="1080"/>
      <c r="Z378" s="1080"/>
      <c r="AA378" s="1080"/>
      <c r="AB378" s="1080"/>
      <c r="AC378" s="1080"/>
    </row>
    <row r="379" spans="1:29" ht="12" customHeight="1">
      <c r="A379" s="1264"/>
      <c r="B379" s="1264"/>
      <c r="C379" s="1080"/>
      <c r="D379" s="1080"/>
      <c r="E379" s="1080"/>
      <c r="F379" s="1080"/>
      <c r="G379" s="1080"/>
      <c r="H379" s="1080"/>
      <c r="I379" s="1080"/>
      <c r="J379" s="1080"/>
      <c r="K379" s="1080"/>
      <c r="L379" s="1080"/>
      <c r="M379" s="1080"/>
      <c r="N379" s="1080"/>
      <c r="O379" s="1080"/>
      <c r="P379" s="1080"/>
      <c r="Q379" s="1080"/>
      <c r="R379" s="1080"/>
      <c r="S379" s="1080"/>
      <c r="T379" s="1080"/>
      <c r="U379" s="1080"/>
      <c r="V379" s="1080"/>
      <c r="W379" s="1080"/>
      <c r="X379" s="1080"/>
      <c r="Y379" s="1080"/>
      <c r="Z379" s="1080"/>
      <c r="AA379" s="1080"/>
      <c r="AB379" s="1080"/>
      <c r="AC379" s="1080"/>
    </row>
    <row r="380" spans="1:29" ht="12" customHeight="1">
      <c r="A380" s="1264"/>
      <c r="B380" s="1264"/>
      <c r="C380" s="1080"/>
      <c r="D380" s="1080"/>
      <c r="E380" s="1080"/>
      <c r="F380" s="1080"/>
      <c r="G380" s="1080"/>
      <c r="H380" s="1080"/>
      <c r="I380" s="1080"/>
      <c r="J380" s="1080"/>
      <c r="K380" s="1080"/>
      <c r="L380" s="1080"/>
      <c r="M380" s="1080"/>
      <c r="N380" s="1080"/>
      <c r="O380" s="1080"/>
      <c r="P380" s="1080"/>
      <c r="Q380" s="1080"/>
      <c r="R380" s="1080"/>
      <c r="S380" s="1080"/>
      <c r="T380" s="1080"/>
      <c r="U380" s="1080"/>
      <c r="V380" s="1080"/>
      <c r="W380" s="1080"/>
      <c r="X380" s="1080"/>
      <c r="Y380" s="1080"/>
      <c r="Z380" s="1080"/>
      <c r="AA380" s="1080"/>
      <c r="AB380" s="1080"/>
      <c r="AC380" s="1080"/>
    </row>
    <row r="381" spans="1:29" ht="12" customHeight="1">
      <c r="A381" s="1264"/>
      <c r="B381" s="1264"/>
      <c r="C381" s="1080"/>
      <c r="D381" s="1080"/>
      <c r="E381" s="1080"/>
      <c r="F381" s="1080"/>
      <c r="G381" s="1080"/>
      <c r="H381" s="1080"/>
      <c r="I381" s="1080"/>
      <c r="J381" s="1080"/>
      <c r="K381" s="1080"/>
      <c r="L381" s="1080"/>
      <c r="M381" s="1080"/>
      <c r="N381" s="1080"/>
      <c r="O381" s="1080"/>
      <c r="P381" s="1080"/>
      <c r="Q381" s="1080"/>
      <c r="R381" s="1080"/>
      <c r="S381" s="1080"/>
      <c r="T381" s="1080"/>
      <c r="U381" s="1080"/>
      <c r="V381" s="1080"/>
      <c r="W381" s="1080"/>
      <c r="X381" s="1080"/>
      <c r="Y381" s="1080"/>
      <c r="Z381" s="1080"/>
      <c r="AA381" s="1080"/>
      <c r="AB381" s="1080"/>
      <c r="AC381" s="1080"/>
    </row>
    <row r="382" spans="1:29" ht="12" customHeight="1">
      <c r="A382" s="1264"/>
      <c r="B382" s="1264"/>
      <c r="C382" s="1080"/>
      <c r="D382" s="1080"/>
      <c r="E382" s="1080"/>
      <c r="F382" s="1080"/>
      <c r="G382" s="1080"/>
      <c r="H382" s="1080"/>
      <c r="I382" s="1080"/>
      <c r="J382" s="1080"/>
      <c r="K382" s="1080"/>
      <c r="L382" s="1080"/>
      <c r="M382" s="1080"/>
      <c r="N382" s="1080"/>
      <c r="O382" s="1080"/>
      <c r="P382" s="1080"/>
      <c r="Q382" s="1080"/>
      <c r="R382" s="1080"/>
      <c r="S382" s="1080"/>
      <c r="T382" s="1080"/>
      <c r="U382" s="1080"/>
      <c r="V382" s="1080"/>
      <c r="W382" s="1080"/>
      <c r="X382" s="1080"/>
      <c r="Y382" s="1080"/>
      <c r="Z382" s="1080"/>
      <c r="AA382" s="1080"/>
      <c r="AB382" s="1080"/>
      <c r="AC382" s="1080"/>
    </row>
    <row r="383" spans="1:29" ht="12" customHeight="1">
      <c r="A383" s="1264"/>
      <c r="B383" s="1264"/>
      <c r="C383" s="1080"/>
      <c r="D383" s="1080"/>
      <c r="E383" s="1080"/>
      <c r="F383" s="1080"/>
      <c r="G383" s="1080"/>
      <c r="H383" s="1080"/>
      <c r="I383" s="1080"/>
      <c r="J383" s="1080"/>
      <c r="K383" s="1080"/>
      <c r="L383" s="1080"/>
      <c r="M383" s="1080"/>
      <c r="N383" s="1080"/>
      <c r="O383" s="1080"/>
      <c r="P383" s="1080"/>
      <c r="Q383" s="1080"/>
      <c r="R383" s="1080"/>
      <c r="S383" s="1080"/>
      <c r="T383" s="1080"/>
      <c r="U383" s="1080"/>
      <c r="V383" s="1080"/>
      <c r="W383" s="1080"/>
      <c r="X383" s="1080"/>
      <c r="Y383" s="1080"/>
      <c r="Z383" s="1080"/>
      <c r="AA383" s="1080"/>
      <c r="AB383" s="1080"/>
      <c r="AC383" s="1080"/>
    </row>
    <row r="384" spans="1:29" ht="12" customHeight="1">
      <c r="A384" s="1264"/>
      <c r="B384" s="1264"/>
      <c r="C384" s="1080"/>
      <c r="D384" s="1080"/>
      <c r="E384" s="1080"/>
      <c r="F384" s="1080"/>
      <c r="G384" s="1080"/>
      <c r="H384" s="1080"/>
      <c r="I384" s="1080"/>
      <c r="J384" s="1080"/>
      <c r="K384" s="1080"/>
      <c r="L384" s="1080"/>
      <c r="M384" s="1080"/>
      <c r="N384" s="1080"/>
      <c r="O384" s="1080"/>
      <c r="P384" s="1080"/>
      <c r="Q384" s="1080"/>
      <c r="R384" s="1080"/>
      <c r="S384" s="1080"/>
      <c r="T384" s="1080"/>
      <c r="U384" s="1080"/>
      <c r="V384" s="1080"/>
      <c r="W384" s="1080"/>
      <c r="X384" s="1080"/>
      <c r="Y384" s="1080"/>
      <c r="Z384" s="1080"/>
      <c r="AA384" s="1080"/>
      <c r="AB384" s="1080"/>
      <c r="AC384" s="1080"/>
    </row>
    <row r="385" spans="1:29" ht="12" customHeight="1">
      <c r="A385" s="1264"/>
      <c r="B385" s="1264"/>
      <c r="C385" s="1080"/>
      <c r="D385" s="1080"/>
      <c r="E385" s="1080"/>
      <c r="F385" s="1080"/>
      <c r="G385" s="1080"/>
      <c r="H385" s="1080"/>
      <c r="I385" s="1080"/>
      <c r="J385" s="1080"/>
      <c r="K385" s="1080"/>
      <c r="L385" s="1080"/>
      <c r="M385" s="1080"/>
      <c r="N385" s="1080"/>
      <c r="O385" s="1080"/>
      <c r="P385" s="1080"/>
      <c r="Q385" s="1080"/>
      <c r="R385" s="1080"/>
      <c r="S385" s="1080"/>
      <c r="T385" s="1080"/>
      <c r="U385" s="1080"/>
      <c r="V385" s="1080"/>
      <c r="W385" s="1080"/>
      <c r="X385" s="1080"/>
      <c r="Y385" s="1080"/>
      <c r="Z385" s="1080"/>
      <c r="AA385" s="1080"/>
      <c r="AB385" s="1080"/>
      <c r="AC385" s="1080"/>
    </row>
    <row r="386" spans="1:29" ht="12" customHeight="1">
      <c r="A386" s="1264"/>
      <c r="B386" s="1264"/>
      <c r="C386" s="1080"/>
      <c r="D386" s="1080"/>
      <c r="E386" s="1080"/>
      <c r="F386" s="1080"/>
      <c r="G386" s="1080"/>
      <c r="H386" s="1080"/>
      <c r="I386" s="1080"/>
      <c r="J386" s="1080"/>
      <c r="K386" s="1080"/>
      <c r="L386" s="1080"/>
      <c r="M386" s="1080"/>
      <c r="N386" s="1080"/>
      <c r="O386" s="1080"/>
      <c r="P386" s="1080"/>
      <c r="Q386" s="1080"/>
      <c r="R386" s="1080"/>
      <c r="S386" s="1080"/>
      <c r="T386" s="1080"/>
      <c r="U386" s="1080"/>
      <c r="V386" s="1080"/>
      <c r="W386" s="1080"/>
      <c r="X386" s="1080"/>
      <c r="Y386" s="1080"/>
      <c r="Z386" s="1080"/>
      <c r="AA386" s="1080"/>
      <c r="AB386" s="1080"/>
      <c r="AC386" s="1080"/>
    </row>
    <row r="387" spans="1:29" ht="12" customHeight="1">
      <c r="A387" s="1264"/>
      <c r="B387" s="1264"/>
      <c r="C387" s="1080"/>
      <c r="D387" s="1080"/>
      <c r="E387" s="1080"/>
      <c r="F387" s="1080"/>
      <c r="G387" s="1080"/>
      <c r="H387" s="1080"/>
      <c r="I387" s="1080"/>
      <c r="J387" s="1080"/>
      <c r="K387" s="1080"/>
      <c r="L387" s="1080"/>
      <c r="M387" s="1080"/>
      <c r="N387" s="1080"/>
      <c r="O387" s="1080"/>
      <c r="P387" s="1080"/>
      <c r="Q387" s="1080"/>
      <c r="R387" s="1080"/>
      <c r="S387" s="1080"/>
      <c r="T387" s="1080"/>
      <c r="U387" s="1080"/>
      <c r="V387" s="1080"/>
      <c r="W387" s="1080"/>
      <c r="X387" s="1080"/>
      <c r="Y387" s="1080"/>
      <c r="Z387" s="1080"/>
      <c r="AA387" s="1080"/>
      <c r="AB387" s="1080"/>
      <c r="AC387" s="1080"/>
    </row>
    <row r="388" spans="1:29" ht="12" customHeight="1">
      <c r="A388" s="1264"/>
      <c r="B388" s="1264"/>
      <c r="C388" s="1080"/>
      <c r="D388" s="1080"/>
      <c r="E388" s="1080"/>
      <c r="F388" s="1080"/>
      <c r="G388" s="1080"/>
      <c r="H388" s="1080"/>
      <c r="I388" s="1080"/>
      <c r="J388" s="1080"/>
      <c r="K388" s="1080"/>
      <c r="L388" s="1080"/>
      <c r="M388" s="1080"/>
      <c r="N388" s="1080"/>
      <c r="O388" s="1080"/>
      <c r="P388" s="1080"/>
      <c r="Q388" s="1080"/>
      <c r="R388" s="1080"/>
      <c r="S388" s="1080"/>
      <c r="T388" s="1080"/>
      <c r="U388" s="1080"/>
      <c r="V388" s="1080"/>
      <c r="W388" s="1080"/>
      <c r="X388" s="1080"/>
      <c r="Y388" s="1080"/>
      <c r="Z388" s="1080"/>
      <c r="AA388" s="1080"/>
      <c r="AB388" s="1080"/>
      <c r="AC388" s="1080"/>
    </row>
    <row r="389" spans="1:29" ht="12" customHeight="1">
      <c r="A389" s="1264"/>
      <c r="B389" s="1264"/>
      <c r="C389" s="1080"/>
      <c r="D389" s="1080"/>
      <c r="E389" s="1080"/>
      <c r="F389" s="1080"/>
      <c r="G389" s="1080"/>
      <c r="H389" s="1080"/>
      <c r="I389" s="1080"/>
      <c r="J389" s="1080"/>
      <c r="K389" s="1080"/>
      <c r="L389" s="1080"/>
      <c r="M389" s="1080"/>
      <c r="N389" s="1080"/>
      <c r="O389" s="1080"/>
      <c r="P389" s="1080"/>
      <c r="Q389" s="1080"/>
      <c r="R389" s="1080"/>
      <c r="S389" s="1080"/>
      <c r="T389" s="1080"/>
      <c r="U389" s="1080"/>
      <c r="V389" s="1080"/>
      <c r="W389" s="1080"/>
      <c r="X389" s="1080"/>
      <c r="Y389" s="1080"/>
      <c r="Z389" s="1080"/>
      <c r="AA389" s="1080"/>
      <c r="AB389" s="1080"/>
      <c r="AC389" s="1080"/>
    </row>
    <row r="390" spans="1:29" ht="12" customHeight="1">
      <c r="A390" s="1264"/>
      <c r="B390" s="1264"/>
      <c r="C390" s="1080"/>
      <c r="D390" s="1080"/>
      <c r="E390" s="1080"/>
      <c r="F390" s="1080"/>
      <c r="G390" s="1080"/>
      <c r="H390" s="1080"/>
      <c r="I390" s="1080"/>
      <c r="J390" s="1080"/>
      <c r="K390" s="1080"/>
      <c r="L390" s="1080"/>
      <c r="M390" s="1080"/>
      <c r="N390" s="1080"/>
      <c r="O390" s="1080"/>
      <c r="P390" s="1080"/>
      <c r="Q390" s="1080"/>
      <c r="R390" s="1080"/>
      <c r="S390" s="1080"/>
      <c r="T390" s="1080"/>
      <c r="U390" s="1080"/>
      <c r="V390" s="1080"/>
      <c r="W390" s="1080"/>
      <c r="X390" s="1080"/>
      <c r="Y390" s="1080"/>
      <c r="Z390" s="1080"/>
      <c r="AA390" s="1080"/>
      <c r="AB390" s="1080"/>
      <c r="AC390" s="1080"/>
    </row>
    <row r="391" spans="1:29" ht="12" customHeight="1">
      <c r="A391" s="1264"/>
      <c r="B391" s="1264"/>
      <c r="C391" s="1080"/>
      <c r="D391" s="1080"/>
      <c r="E391" s="1080"/>
      <c r="F391" s="1080"/>
      <c r="G391" s="1080"/>
      <c r="H391" s="1080"/>
      <c r="I391" s="1080"/>
      <c r="J391" s="1080"/>
      <c r="K391" s="1080"/>
      <c r="L391" s="1080"/>
      <c r="M391" s="1080"/>
      <c r="N391" s="1080"/>
      <c r="O391" s="1080"/>
      <c r="P391" s="1080"/>
      <c r="Q391" s="1080"/>
      <c r="R391" s="1080"/>
      <c r="S391" s="1080"/>
      <c r="T391" s="1080"/>
      <c r="U391" s="1080"/>
      <c r="V391" s="1080"/>
      <c r="W391" s="1080"/>
      <c r="X391" s="1080"/>
      <c r="Y391" s="1080"/>
      <c r="Z391" s="1080"/>
      <c r="AA391" s="1080"/>
      <c r="AB391" s="1080"/>
      <c r="AC391" s="1080"/>
    </row>
    <row r="392" spans="1:29" ht="12" customHeight="1">
      <c r="A392" s="1264"/>
      <c r="B392" s="1264"/>
      <c r="C392" s="1080"/>
      <c r="D392" s="1080"/>
      <c r="E392" s="1080"/>
      <c r="F392" s="1080"/>
      <c r="G392" s="1080"/>
      <c r="H392" s="1080"/>
      <c r="I392" s="1080"/>
      <c r="J392" s="1080"/>
      <c r="K392" s="1080"/>
      <c r="L392" s="1080"/>
      <c r="M392" s="1080"/>
      <c r="N392" s="1080"/>
      <c r="O392" s="1080"/>
      <c r="P392" s="1080"/>
      <c r="Q392" s="1080"/>
      <c r="R392" s="1080"/>
      <c r="S392" s="1080"/>
      <c r="T392" s="1080"/>
      <c r="U392" s="1080"/>
      <c r="V392" s="1080"/>
      <c r="W392" s="1080"/>
      <c r="X392" s="1080"/>
      <c r="Y392" s="1080"/>
      <c r="Z392" s="1080"/>
      <c r="AA392" s="1080"/>
      <c r="AB392" s="1080"/>
      <c r="AC392" s="1080"/>
    </row>
    <row r="393" spans="1:29" ht="12" customHeight="1">
      <c r="A393" s="1264"/>
      <c r="B393" s="1264"/>
      <c r="C393" s="1080"/>
      <c r="D393" s="1080"/>
      <c r="E393" s="1080"/>
      <c r="F393" s="1080"/>
      <c r="G393" s="1080"/>
      <c r="H393" s="1080"/>
      <c r="I393" s="1080"/>
      <c r="J393" s="1080"/>
      <c r="K393" s="1080"/>
      <c r="L393" s="1080"/>
      <c r="M393" s="1080"/>
      <c r="N393" s="1080"/>
      <c r="O393" s="1080"/>
      <c r="P393" s="1080"/>
      <c r="Q393" s="1080"/>
      <c r="R393" s="1080"/>
      <c r="S393" s="1080"/>
      <c r="T393" s="1080"/>
      <c r="U393" s="1080"/>
      <c r="V393" s="1080"/>
      <c r="W393" s="1080"/>
      <c r="X393" s="1080"/>
      <c r="Y393" s="1080"/>
      <c r="Z393" s="1080"/>
      <c r="AA393" s="1080"/>
      <c r="AB393" s="1080"/>
      <c r="AC393" s="1080"/>
    </row>
    <row r="394" spans="1:29" ht="12" customHeight="1">
      <c r="A394" s="1264"/>
      <c r="B394" s="1264"/>
      <c r="C394" s="1080"/>
      <c r="D394" s="1080"/>
      <c r="E394" s="1080"/>
      <c r="F394" s="1080"/>
      <c r="G394" s="1080"/>
      <c r="H394" s="1080"/>
      <c r="I394" s="1080"/>
      <c r="J394" s="1080"/>
      <c r="K394" s="1080"/>
      <c r="L394" s="1080"/>
      <c r="M394" s="1080"/>
      <c r="N394" s="1080"/>
      <c r="O394" s="1080"/>
      <c r="P394" s="1080"/>
      <c r="Q394" s="1080"/>
      <c r="R394" s="1080"/>
      <c r="S394" s="1080"/>
      <c r="T394" s="1080"/>
      <c r="U394" s="1080"/>
      <c r="V394" s="1080"/>
      <c r="W394" s="1080"/>
      <c r="X394" s="1080"/>
      <c r="Y394" s="1080"/>
      <c r="Z394" s="1080"/>
      <c r="AA394" s="1080"/>
      <c r="AB394" s="1080"/>
      <c r="AC394" s="1080"/>
    </row>
    <row r="395" spans="1:29" ht="12" customHeight="1">
      <c r="A395" s="1264"/>
      <c r="B395" s="1264"/>
      <c r="C395" s="1080"/>
      <c r="D395" s="1080"/>
      <c r="E395" s="1080"/>
      <c r="F395" s="1080"/>
      <c r="G395" s="1080"/>
      <c r="H395" s="1080"/>
      <c r="I395" s="1080"/>
      <c r="J395" s="1080"/>
      <c r="K395" s="1080"/>
      <c r="L395" s="1080"/>
      <c r="M395" s="1080"/>
      <c r="N395" s="1080"/>
      <c r="O395" s="1080"/>
      <c r="P395" s="1080"/>
      <c r="Q395" s="1080"/>
      <c r="R395" s="1080"/>
      <c r="S395" s="1080"/>
      <c r="T395" s="1080"/>
      <c r="U395" s="1080"/>
      <c r="V395" s="1080"/>
      <c r="W395" s="1080"/>
      <c r="X395" s="1080"/>
      <c r="Y395" s="1080"/>
      <c r="Z395" s="1080"/>
      <c r="AA395" s="1080"/>
      <c r="AB395" s="1080"/>
      <c r="AC395" s="1080"/>
    </row>
    <row r="396" spans="1:29" ht="12" customHeight="1">
      <c r="A396" s="1264"/>
      <c r="B396" s="1264"/>
      <c r="C396" s="1080"/>
      <c r="D396" s="1080"/>
      <c r="E396" s="1080"/>
      <c r="F396" s="1080"/>
      <c r="G396" s="1080"/>
      <c r="H396" s="1080"/>
      <c r="I396" s="1080"/>
      <c r="J396" s="1080"/>
      <c r="K396" s="1080"/>
      <c r="L396" s="1080"/>
      <c r="M396" s="1080"/>
      <c r="N396" s="1080"/>
      <c r="O396" s="1080"/>
      <c r="P396" s="1080"/>
      <c r="Q396" s="1080"/>
      <c r="R396" s="1080"/>
      <c r="S396" s="1080"/>
      <c r="T396" s="1080"/>
      <c r="U396" s="1080"/>
      <c r="V396" s="1080"/>
      <c r="W396" s="1080"/>
      <c r="X396" s="1080"/>
      <c r="Y396" s="1080"/>
      <c r="Z396" s="1080"/>
      <c r="AA396" s="1080"/>
      <c r="AB396" s="1080"/>
      <c r="AC396" s="1080"/>
    </row>
    <row r="397" spans="1:29" ht="12" customHeight="1">
      <c r="A397" s="1264"/>
      <c r="B397" s="1264"/>
      <c r="C397" s="1080"/>
      <c r="D397" s="1080"/>
      <c r="E397" s="1080"/>
      <c r="F397" s="1080"/>
      <c r="G397" s="1080"/>
      <c r="H397" s="1080"/>
      <c r="I397" s="1080"/>
      <c r="J397" s="1080"/>
      <c r="K397" s="1080"/>
      <c r="L397" s="1080"/>
      <c r="M397" s="1080"/>
      <c r="N397" s="1080"/>
      <c r="O397" s="1080"/>
      <c r="P397" s="1080"/>
      <c r="Q397" s="1080"/>
      <c r="R397" s="1080"/>
      <c r="S397" s="1080"/>
      <c r="T397" s="1080"/>
      <c r="U397" s="1080"/>
      <c r="V397" s="1080"/>
      <c r="W397" s="1080"/>
      <c r="X397" s="1080"/>
      <c r="Y397" s="1080"/>
      <c r="Z397" s="1080"/>
      <c r="AA397" s="1080"/>
      <c r="AB397" s="1080"/>
      <c r="AC397" s="1080"/>
    </row>
    <row r="398" spans="1:29" ht="12" customHeight="1">
      <c r="A398" s="1264"/>
      <c r="B398" s="1264"/>
      <c r="C398" s="1080"/>
      <c r="D398" s="1080"/>
      <c r="E398" s="1080"/>
      <c r="F398" s="1080"/>
      <c r="G398" s="1080"/>
      <c r="H398" s="1080"/>
      <c r="I398" s="1080"/>
      <c r="J398" s="1080"/>
      <c r="K398" s="1080"/>
      <c r="L398" s="1080"/>
      <c r="M398" s="1080"/>
      <c r="N398" s="1080"/>
      <c r="O398" s="1080"/>
      <c r="P398" s="1080"/>
      <c r="Q398" s="1080"/>
      <c r="R398" s="1080"/>
      <c r="S398" s="1080"/>
      <c r="T398" s="1080"/>
      <c r="U398" s="1080"/>
      <c r="V398" s="1080"/>
      <c r="W398" s="1080"/>
      <c r="X398" s="1080"/>
      <c r="Y398" s="1080"/>
      <c r="Z398" s="1080"/>
      <c r="AA398" s="1080"/>
      <c r="AB398" s="1080"/>
      <c r="AC398" s="1080"/>
    </row>
    <row r="399" spans="1:29" ht="12" customHeight="1">
      <c r="A399" s="1264"/>
      <c r="B399" s="1264"/>
      <c r="C399" s="1080"/>
      <c r="D399" s="1080"/>
      <c r="E399" s="1080"/>
      <c r="F399" s="1080"/>
      <c r="G399" s="1080"/>
      <c r="H399" s="1080"/>
      <c r="I399" s="1080"/>
      <c r="J399" s="1080"/>
      <c r="K399" s="1080"/>
      <c r="L399" s="1080"/>
      <c r="M399" s="1080"/>
      <c r="N399" s="1080"/>
      <c r="O399" s="1080"/>
      <c r="P399" s="1080"/>
      <c r="Q399" s="1080"/>
      <c r="R399" s="1080"/>
      <c r="S399" s="1080"/>
      <c r="T399" s="1080"/>
      <c r="U399" s="1080"/>
      <c r="V399" s="1080"/>
      <c r="W399" s="1080"/>
      <c r="X399" s="1080"/>
      <c r="Y399" s="1080"/>
      <c r="Z399" s="1080"/>
      <c r="AA399" s="1080"/>
      <c r="AB399" s="1080"/>
      <c r="AC399" s="1080"/>
    </row>
    <row r="400" spans="1:29" ht="12" customHeight="1">
      <c r="A400" s="1264"/>
      <c r="B400" s="1264"/>
      <c r="C400" s="1080"/>
      <c r="D400" s="1080"/>
      <c r="E400" s="1080"/>
      <c r="F400" s="1080"/>
      <c r="G400" s="1080"/>
      <c r="H400" s="1080"/>
      <c r="I400" s="1080"/>
      <c r="J400" s="1080"/>
      <c r="K400" s="1080"/>
      <c r="L400" s="1080"/>
      <c r="M400" s="1080"/>
      <c r="N400" s="1080"/>
      <c r="O400" s="1080"/>
      <c r="P400" s="1080"/>
      <c r="Q400" s="1080"/>
      <c r="R400" s="1080"/>
      <c r="S400" s="1080"/>
      <c r="T400" s="1080"/>
      <c r="U400" s="1080"/>
      <c r="V400" s="1080"/>
      <c r="W400" s="1080"/>
      <c r="X400" s="1080"/>
      <c r="Y400" s="1080"/>
      <c r="Z400" s="1080"/>
      <c r="AA400" s="1080"/>
      <c r="AB400" s="1080"/>
      <c r="AC400" s="1080"/>
    </row>
    <row r="401" spans="1:29" ht="12" customHeight="1">
      <c r="A401" s="1264"/>
      <c r="B401" s="1264"/>
      <c r="C401" s="1080"/>
      <c r="D401" s="1080"/>
      <c r="E401" s="1080"/>
      <c r="F401" s="1080"/>
      <c r="G401" s="1080"/>
      <c r="H401" s="1080"/>
      <c r="I401" s="1080"/>
      <c r="J401" s="1080"/>
      <c r="K401" s="1080"/>
      <c r="L401" s="1080"/>
      <c r="M401" s="1080"/>
      <c r="N401" s="1080"/>
      <c r="O401" s="1080"/>
      <c r="P401" s="1080"/>
      <c r="Q401" s="1080"/>
      <c r="R401" s="1080"/>
      <c r="S401" s="1080"/>
      <c r="T401" s="1080"/>
      <c r="U401" s="1080"/>
      <c r="V401" s="1080"/>
      <c r="W401" s="1080"/>
      <c r="X401" s="1080"/>
      <c r="Y401" s="1080"/>
      <c r="Z401" s="1080"/>
      <c r="AA401" s="1080"/>
      <c r="AB401" s="1080"/>
      <c r="AC401" s="1080"/>
    </row>
    <row r="402" spans="1:29" ht="12" customHeight="1">
      <c r="A402" s="1264"/>
      <c r="B402" s="1264"/>
      <c r="C402" s="1080"/>
      <c r="D402" s="1080"/>
      <c r="E402" s="1080"/>
      <c r="F402" s="1080"/>
      <c r="G402" s="1080"/>
      <c r="H402" s="1080"/>
      <c r="I402" s="1080"/>
      <c r="J402" s="1080"/>
      <c r="K402" s="1080"/>
      <c r="L402" s="1080"/>
      <c r="M402" s="1080"/>
      <c r="N402" s="1080"/>
      <c r="O402" s="1080"/>
      <c r="P402" s="1080"/>
      <c r="Q402" s="1080"/>
      <c r="R402" s="1080"/>
      <c r="S402" s="1080"/>
      <c r="T402" s="1080"/>
      <c r="U402" s="1080"/>
      <c r="V402" s="1080"/>
      <c r="W402" s="1080"/>
      <c r="X402" s="1080"/>
      <c r="Y402" s="1080"/>
      <c r="Z402" s="1080"/>
      <c r="AA402" s="1080"/>
      <c r="AB402" s="1080"/>
      <c r="AC402" s="1080"/>
    </row>
    <row r="403" spans="1:29" ht="12" customHeight="1">
      <c r="A403" s="1264"/>
      <c r="B403" s="1264"/>
      <c r="C403" s="1080"/>
      <c r="D403" s="1080"/>
      <c r="E403" s="1080"/>
      <c r="F403" s="1080"/>
      <c r="G403" s="1080"/>
      <c r="H403" s="1080"/>
      <c r="I403" s="1080"/>
      <c r="J403" s="1080"/>
      <c r="K403" s="1080"/>
      <c r="L403" s="1080"/>
      <c r="M403" s="1080"/>
      <c r="N403" s="1080"/>
      <c r="O403" s="1080"/>
      <c r="P403" s="1080"/>
      <c r="Q403" s="1080"/>
      <c r="R403" s="1080"/>
      <c r="S403" s="1080"/>
      <c r="T403" s="1080"/>
      <c r="U403" s="1080"/>
      <c r="V403" s="1080"/>
      <c r="W403" s="1080"/>
      <c r="X403" s="1080"/>
      <c r="Y403" s="1080"/>
      <c r="Z403" s="1080"/>
      <c r="AA403" s="1080"/>
      <c r="AB403" s="1080"/>
      <c r="AC403" s="1080"/>
    </row>
    <row r="404" spans="1:29" ht="12" customHeight="1">
      <c r="A404" s="1264"/>
      <c r="B404" s="1264"/>
      <c r="C404" s="1080"/>
      <c r="D404" s="1080"/>
      <c r="E404" s="1080"/>
      <c r="F404" s="1080"/>
      <c r="G404" s="1080"/>
      <c r="H404" s="1080"/>
      <c r="I404" s="1080"/>
      <c r="J404" s="1080"/>
      <c r="K404" s="1080"/>
      <c r="L404" s="1080"/>
      <c r="M404" s="1080"/>
      <c r="N404" s="1080"/>
      <c r="O404" s="1080"/>
      <c r="P404" s="1080"/>
      <c r="Q404" s="1080"/>
      <c r="R404" s="1080"/>
      <c r="S404" s="1080"/>
      <c r="T404" s="1080"/>
      <c r="U404" s="1080"/>
      <c r="V404" s="1080"/>
      <c r="W404" s="1080"/>
      <c r="X404" s="1080"/>
      <c r="Y404" s="1080"/>
      <c r="Z404" s="1080"/>
      <c r="AA404" s="1080"/>
      <c r="AB404" s="1080"/>
      <c r="AC404" s="1080"/>
    </row>
    <row r="405" spans="1:29" ht="12" customHeight="1">
      <c r="A405" s="1264"/>
      <c r="B405" s="1264"/>
      <c r="C405" s="1080"/>
      <c r="D405" s="1080"/>
      <c r="E405" s="1080"/>
      <c r="F405" s="1080"/>
      <c r="G405" s="1080"/>
      <c r="H405" s="1080"/>
      <c r="I405" s="1080"/>
      <c r="J405" s="1080"/>
      <c r="K405" s="1080"/>
      <c r="L405" s="1080"/>
      <c r="M405" s="1080"/>
      <c r="N405" s="1080"/>
      <c r="O405" s="1080"/>
      <c r="P405" s="1080"/>
      <c r="Q405" s="1080"/>
      <c r="R405" s="1080"/>
      <c r="S405" s="1080"/>
      <c r="T405" s="1080"/>
      <c r="U405" s="1080"/>
      <c r="V405" s="1080"/>
      <c r="W405" s="1080"/>
      <c r="X405" s="1080"/>
      <c r="Y405" s="1080"/>
      <c r="Z405" s="1080"/>
      <c r="AA405" s="1080"/>
      <c r="AB405" s="1080"/>
      <c r="AC405" s="1080"/>
    </row>
    <row r="406" spans="1:29" ht="12" customHeight="1">
      <c r="A406" s="1264"/>
      <c r="B406" s="1264"/>
      <c r="C406" s="1080"/>
      <c r="D406" s="1080"/>
      <c r="E406" s="1080"/>
      <c r="F406" s="1080"/>
      <c r="G406" s="1080"/>
      <c r="H406" s="1080"/>
      <c r="I406" s="1080"/>
      <c r="J406" s="1080"/>
      <c r="K406" s="1080"/>
      <c r="L406" s="1080"/>
      <c r="M406" s="1080"/>
      <c r="N406" s="1080"/>
      <c r="O406" s="1080"/>
      <c r="P406" s="1080"/>
      <c r="Q406" s="1080"/>
      <c r="R406" s="1080"/>
      <c r="S406" s="1080"/>
      <c r="T406" s="1080"/>
      <c r="U406" s="1080"/>
      <c r="V406" s="1080"/>
      <c r="W406" s="1080"/>
      <c r="X406" s="1080"/>
      <c r="Y406" s="1080"/>
      <c r="Z406" s="1080"/>
      <c r="AA406" s="1080"/>
      <c r="AB406" s="1080"/>
      <c r="AC406" s="1080"/>
    </row>
    <row r="407" spans="1:29" ht="12" customHeight="1">
      <c r="A407" s="1264"/>
      <c r="B407" s="1264"/>
      <c r="C407" s="1080"/>
      <c r="D407" s="1080"/>
      <c r="E407" s="1080"/>
      <c r="F407" s="1080"/>
      <c r="G407" s="1080"/>
      <c r="H407" s="1080"/>
      <c r="I407" s="1080"/>
      <c r="J407" s="1080"/>
      <c r="K407" s="1080"/>
      <c r="L407" s="1080"/>
      <c r="M407" s="1080"/>
      <c r="N407" s="1080"/>
      <c r="O407" s="1080"/>
      <c r="P407" s="1080"/>
      <c r="Q407" s="1080"/>
      <c r="R407" s="1080"/>
      <c r="S407" s="1080"/>
      <c r="T407" s="1080"/>
      <c r="U407" s="1080"/>
      <c r="V407" s="1080"/>
      <c r="W407" s="1080"/>
      <c r="X407" s="1080"/>
      <c r="Y407" s="1080"/>
      <c r="Z407" s="1080"/>
      <c r="AA407" s="1080"/>
      <c r="AB407" s="1080"/>
      <c r="AC407" s="1080"/>
    </row>
    <row r="408" spans="1:29" ht="12" customHeight="1">
      <c r="A408" s="1264"/>
      <c r="B408" s="1264"/>
      <c r="C408" s="1080"/>
      <c r="D408" s="1080"/>
      <c r="E408" s="1080"/>
      <c r="F408" s="1080"/>
      <c r="G408" s="1080"/>
      <c r="H408" s="1080"/>
      <c r="I408" s="1080"/>
      <c r="J408" s="1080"/>
      <c r="K408" s="1080"/>
      <c r="L408" s="1080"/>
      <c r="M408" s="1080"/>
      <c r="N408" s="1080"/>
      <c r="O408" s="1080"/>
      <c r="P408" s="1080"/>
      <c r="Q408" s="1080"/>
      <c r="R408" s="1080"/>
      <c r="S408" s="1080"/>
      <c r="T408" s="1080"/>
      <c r="U408" s="1080"/>
      <c r="V408" s="1080"/>
      <c r="W408" s="1080"/>
      <c r="X408" s="1080"/>
      <c r="Y408" s="1080"/>
      <c r="Z408" s="1080"/>
      <c r="AA408" s="1080"/>
      <c r="AB408" s="1080"/>
      <c r="AC408" s="1080"/>
    </row>
    <row r="409" spans="1:29" ht="12" customHeight="1">
      <c r="A409" s="1264"/>
      <c r="B409" s="1264"/>
      <c r="C409" s="1080"/>
      <c r="D409" s="1080"/>
      <c r="E409" s="1080"/>
      <c r="F409" s="1080"/>
      <c r="G409" s="1080"/>
      <c r="H409" s="1080"/>
      <c r="I409" s="1080"/>
      <c r="J409" s="1080"/>
      <c r="K409" s="1080"/>
      <c r="L409" s="1080"/>
      <c r="M409" s="1080"/>
      <c r="N409" s="1080"/>
      <c r="O409" s="1080"/>
      <c r="P409" s="1080"/>
      <c r="Q409" s="1080"/>
      <c r="R409" s="1080"/>
      <c r="S409" s="1080"/>
      <c r="T409" s="1080"/>
      <c r="U409" s="1080"/>
      <c r="V409" s="1080"/>
      <c r="W409" s="1080"/>
      <c r="X409" s="1080"/>
      <c r="Y409" s="1080"/>
      <c r="Z409" s="1080"/>
      <c r="AA409" s="1080"/>
      <c r="AB409" s="1080"/>
      <c r="AC409" s="1080"/>
    </row>
    <row r="410" spans="1:29" ht="12" customHeight="1">
      <c r="A410" s="1264"/>
      <c r="B410" s="1264"/>
      <c r="C410" s="1080"/>
      <c r="D410" s="1080"/>
      <c r="E410" s="1080"/>
      <c r="F410" s="1080"/>
      <c r="G410" s="1080"/>
      <c r="H410" s="1080"/>
      <c r="I410" s="1080"/>
      <c r="J410" s="1080"/>
      <c r="K410" s="1080"/>
      <c r="L410" s="1080"/>
      <c r="M410" s="1080"/>
      <c r="N410" s="1080"/>
      <c r="O410" s="1080"/>
      <c r="P410" s="1080"/>
      <c r="Q410" s="1080"/>
      <c r="R410" s="1080"/>
      <c r="S410" s="1080"/>
      <c r="T410" s="1080"/>
      <c r="U410" s="1080"/>
      <c r="V410" s="1080"/>
      <c r="W410" s="1080"/>
      <c r="X410" s="1080"/>
      <c r="Y410" s="1080"/>
      <c r="Z410" s="1080"/>
      <c r="AA410" s="1080"/>
      <c r="AB410" s="1080"/>
      <c r="AC410" s="1080"/>
    </row>
    <row r="411" spans="1:29" ht="15.75" customHeight="1"/>
    <row r="412" spans="1:29" ht="15.75" customHeight="1"/>
    <row r="413" spans="1:29" ht="15.75" customHeight="1"/>
    <row r="414" spans="1:29" ht="15.75" customHeight="1"/>
    <row r="415" spans="1:29" ht="15.75" customHeight="1"/>
    <row r="416" spans="1:29"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65:E165"/>
  </mergeCells>
  <pageMargins left="0.75" right="0.75" top="1" bottom="1" header="0" footer="0"/>
  <pageSetup orientation="landscape"/>
  <legacyDrawing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filterMode="1"/>
  <dimension ref="A1:AC1000"/>
  <sheetViews>
    <sheetView workbookViewId="0"/>
  </sheetViews>
  <sheetFormatPr baseColWidth="10" defaultColWidth="14.44140625" defaultRowHeight="15" customHeight="1"/>
  <cols>
    <col min="1" max="1" width="32.44140625" customWidth="1"/>
    <col min="2" max="3" width="23.44140625" customWidth="1"/>
    <col min="4" max="4" width="24.33203125" customWidth="1"/>
    <col min="5" max="5" width="33.109375" customWidth="1"/>
    <col min="6" max="6" width="28.6640625" customWidth="1"/>
    <col min="7" max="7" width="22" customWidth="1"/>
    <col min="8" max="8" width="24.109375" customWidth="1"/>
    <col min="9" max="9" width="20.6640625" customWidth="1"/>
    <col min="10" max="29" width="10.88671875" customWidth="1"/>
  </cols>
  <sheetData>
    <row r="1" spans="1:29" ht="14.25" customHeight="1">
      <c r="A1" s="1260" t="s">
        <v>779</v>
      </c>
      <c r="B1" s="1260"/>
      <c r="C1" s="1261"/>
      <c r="D1" s="1261"/>
      <c r="E1" s="1261"/>
      <c r="F1" s="1261"/>
      <c r="G1" s="1261"/>
      <c r="H1" s="1261"/>
      <c r="I1" s="1261"/>
      <c r="J1" s="1261"/>
      <c r="K1" s="1261"/>
      <c r="L1" s="1261"/>
      <c r="M1" s="1080"/>
      <c r="N1" s="1080"/>
      <c r="O1" s="1080"/>
      <c r="P1" s="1080"/>
      <c r="Q1" s="1080"/>
      <c r="R1" s="1080"/>
      <c r="S1" s="1080"/>
      <c r="T1" s="1080"/>
      <c r="U1" s="1080"/>
      <c r="V1" s="1080"/>
      <c r="W1" s="1080"/>
      <c r="X1" s="1080"/>
      <c r="Y1" s="1080"/>
      <c r="Z1" s="1080"/>
      <c r="AA1" s="1080"/>
      <c r="AB1" s="1080"/>
      <c r="AC1" s="1080"/>
    </row>
    <row r="2" spans="1:29" ht="12" customHeight="1">
      <c r="A2" s="1262" t="s">
        <v>780</v>
      </c>
      <c r="B2" s="1263">
        <v>45658</v>
      </c>
      <c r="C2" s="1261"/>
      <c r="D2" s="1261"/>
      <c r="E2" s="1261"/>
      <c r="F2" s="1261"/>
      <c r="G2" s="1261"/>
      <c r="H2" s="1261"/>
      <c r="I2" s="1261"/>
      <c r="J2" s="1261"/>
      <c r="K2" s="1261"/>
      <c r="L2" s="1261"/>
      <c r="M2" s="1080"/>
      <c r="N2" s="1080"/>
      <c r="O2" s="1080"/>
      <c r="P2" s="1080"/>
      <c r="Q2" s="1080"/>
      <c r="R2" s="1080"/>
      <c r="S2" s="1080"/>
      <c r="T2" s="1080"/>
      <c r="U2" s="1080"/>
      <c r="V2" s="1080"/>
      <c r="W2" s="1080"/>
      <c r="X2" s="1080"/>
      <c r="Y2" s="1080"/>
      <c r="Z2" s="1080"/>
      <c r="AA2" s="1080"/>
      <c r="AB2" s="1080"/>
      <c r="AC2" s="1080"/>
    </row>
    <row r="3" spans="1:29" ht="12" customHeight="1">
      <c r="A3" s="1264" t="s">
        <v>781</v>
      </c>
      <c r="B3" s="1264"/>
      <c r="C3" s="1080"/>
      <c r="D3" s="1080"/>
      <c r="E3" s="1161">
        <v>4.3299999999999998E-2</v>
      </c>
      <c r="F3" s="1093" t="s">
        <v>1007</v>
      </c>
      <c r="G3" s="1080"/>
      <c r="H3" s="1080"/>
      <c r="I3" s="1080"/>
      <c r="J3" s="1080"/>
      <c r="K3" s="1080"/>
      <c r="L3" s="1080"/>
      <c r="M3" s="1080"/>
      <c r="N3" s="1080"/>
      <c r="O3" s="1080"/>
      <c r="P3" s="1080"/>
      <c r="Q3" s="1080"/>
      <c r="R3" s="1080"/>
      <c r="S3" s="1080"/>
      <c r="T3" s="1080"/>
      <c r="U3" s="1080"/>
      <c r="V3" s="1080"/>
      <c r="W3" s="1080"/>
      <c r="X3" s="1080"/>
      <c r="Y3" s="1080"/>
      <c r="Z3" s="1080"/>
      <c r="AA3" s="1080"/>
      <c r="AB3" s="1080"/>
      <c r="AC3" s="1080"/>
    </row>
    <row r="4" spans="1:29" ht="12" customHeight="1">
      <c r="A4" s="1264" t="s">
        <v>783</v>
      </c>
      <c r="B4" s="1264"/>
      <c r="C4" s="1080"/>
      <c r="D4" s="1080"/>
      <c r="E4" s="1159" t="s">
        <v>642</v>
      </c>
      <c r="F4" s="1266"/>
      <c r="G4" s="1266"/>
      <c r="H4" s="1080"/>
      <c r="I4" s="1080"/>
      <c r="J4" s="1080"/>
      <c r="K4" s="1080"/>
      <c r="L4" s="1080"/>
      <c r="M4" s="1080"/>
      <c r="N4" s="1080"/>
      <c r="O4" s="1080"/>
      <c r="P4" s="1080"/>
      <c r="Q4" s="1080"/>
      <c r="R4" s="1080"/>
      <c r="S4" s="1080"/>
      <c r="T4" s="1080"/>
      <c r="U4" s="1080"/>
      <c r="V4" s="1080"/>
      <c r="W4" s="1080"/>
      <c r="X4" s="1080"/>
      <c r="Y4" s="1080"/>
      <c r="Z4" s="1080"/>
      <c r="AA4" s="1080"/>
      <c r="AB4" s="1080"/>
      <c r="AC4" s="1080"/>
    </row>
    <row r="5" spans="1:29" ht="12" customHeight="1">
      <c r="A5" s="1264" t="s">
        <v>784</v>
      </c>
      <c r="B5" s="1264"/>
      <c r="C5" s="1080"/>
      <c r="D5" s="1080"/>
      <c r="E5" s="1296" t="s">
        <v>447</v>
      </c>
      <c r="F5" s="1093" t="s">
        <v>1007</v>
      </c>
      <c r="G5" s="1266"/>
      <c r="H5" s="1080"/>
      <c r="I5" s="1080"/>
      <c r="J5" s="1080"/>
      <c r="K5" s="1080"/>
      <c r="L5" s="1080"/>
      <c r="M5" s="1080"/>
      <c r="N5" s="1080"/>
      <c r="O5" s="1080"/>
      <c r="P5" s="1080"/>
      <c r="Q5" s="1080"/>
      <c r="R5" s="1080"/>
      <c r="S5" s="1080"/>
      <c r="T5" s="1080"/>
      <c r="U5" s="1080"/>
      <c r="V5" s="1080"/>
      <c r="W5" s="1080"/>
      <c r="X5" s="1080"/>
      <c r="Y5" s="1080"/>
      <c r="Z5" s="1080"/>
      <c r="AA5" s="1080"/>
      <c r="AB5" s="1080"/>
      <c r="AC5" s="1080"/>
    </row>
    <row r="6" spans="1:29" ht="12" customHeight="1">
      <c r="A6" s="1264"/>
      <c r="B6" s="1264"/>
      <c r="C6" s="1080"/>
      <c r="D6" s="1080"/>
      <c r="E6" s="1080"/>
      <c r="F6" s="1080"/>
      <c r="G6" s="1080"/>
      <c r="H6" s="1080"/>
      <c r="I6" s="1080"/>
      <c r="J6" s="1080"/>
      <c r="K6" s="1080"/>
      <c r="L6" s="1080"/>
      <c r="M6" s="1080"/>
      <c r="N6" s="1080"/>
      <c r="O6" s="1080"/>
      <c r="P6" s="1080"/>
      <c r="Q6" s="1080"/>
      <c r="R6" s="1080"/>
      <c r="S6" s="1080"/>
      <c r="T6" s="1080"/>
      <c r="U6" s="1080"/>
      <c r="V6" s="1080"/>
      <c r="W6" s="1080"/>
      <c r="X6" s="1080"/>
      <c r="Y6" s="1080"/>
      <c r="Z6" s="1080"/>
      <c r="AA6" s="1080"/>
      <c r="AB6" s="1080"/>
      <c r="AC6" s="1080"/>
    </row>
    <row r="7" spans="1:29" ht="12" customHeight="1">
      <c r="A7" s="1269" t="s">
        <v>785</v>
      </c>
      <c r="B7" s="1297" t="s">
        <v>786</v>
      </c>
      <c r="C7" s="1271" t="s">
        <v>787</v>
      </c>
      <c r="D7" s="1272" t="s">
        <v>788</v>
      </c>
      <c r="E7" s="1272" t="s">
        <v>789</v>
      </c>
      <c r="F7" s="1272" t="s">
        <v>790</v>
      </c>
      <c r="G7" s="1273" t="s">
        <v>791</v>
      </c>
      <c r="H7" s="1272" t="s">
        <v>792</v>
      </c>
      <c r="I7" s="1274" t="s">
        <v>793</v>
      </c>
      <c r="J7" s="1093" t="s">
        <v>794</v>
      </c>
      <c r="K7" s="1079"/>
      <c r="L7" s="1079"/>
      <c r="M7" s="1079"/>
      <c r="N7" s="1079"/>
      <c r="O7" s="1079"/>
      <c r="P7" s="1079"/>
      <c r="Q7" s="1079"/>
      <c r="R7" s="1079"/>
      <c r="S7" s="1079"/>
      <c r="T7" s="1079"/>
      <c r="U7" s="1079"/>
      <c r="V7" s="1079"/>
      <c r="W7" s="1079"/>
      <c r="X7" s="1079"/>
      <c r="Y7" s="1079"/>
      <c r="Z7" s="1079"/>
      <c r="AA7" s="1079"/>
      <c r="AB7" s="1079"/>
      <c r="AC7" s="1079"/>
    </row>
    <row r="8" spans="1:29" ht="12" hidden="1" customHeight="1">
      <c r="A8" s="1275" t="s">
        <v>795</v>
      </c>
      <c r="B8" s="1298" t="s">
        <v>796</v>
      </c>
      <c r="C8" s="1277" t="s">
        <v>797</v>
      </c>
      <c r="D8" s="1278">
        <v>4.8889784279692525E-3</v>
      </c>
      <c r="E8" s="1278">
        <v>4.9887887954577638E-2</v>
      </c>
      <c r="F8" s="1278">
        <v>6.5878879545776415E-3</v>
      </c>
      <c r="G8" s="1299">
        <v>3.4999999999999996E-3</v>
      </c>
      <c r="H8" s="1278">
        <v>4.8016242499478411E-2</v>
      </c>
      <c r="I8" s="1279">
        <v>4.7162424994784116E-3</v>
      </c>
      <c r="J8" s="1280" t="s">
        <v>798</v>
      </c>
      <c r="K8" s="1280" t="s">
        <v>799</v>
      </c>
      <c r="L8" s="1080"/>
      <c r="M8" s="1080"/>
      <c r="N8" s="1080"/>
      <c r="O8" s="1080"/>
      <c r="P8" s="1080"/>
      <c r="Q8" s="1080"/>
      <c r="R8" s="1080"/>
      <c r="S8" s="1080"/>
      <c r="T8" s="1080"/>
      <c r="U8" s="1080"/>
      <c r="V8" s="1080"/>
      <c r="W8" s="1080"/>
      <c r="X8" s="1080"/>
      <c r="Y8" s="1080"/>
      <c r="Z8" s="1080"/>
      <c r="AA8" s="1080"/>
      <c r="AB8" s="1080"/>
      <c r="AC8" s="1080"/>
    </row>
    <row r="9" spans="1:29" ht="12" hidden="1" customHeight="1">
      <c r="A9" s="1275" t="s">
        <v>800</v>
      </c>
      <c r="B9" s="1298" t="s">
        <v>801</v>
      </c>
      <c r="C9" s="1277" t="s">
        <v>815</v>
      </c>
      <c r="D9" s="1278">
        <v>3.5619699975204554E-2</v>
      </c>
      <c r="E9" s="1278">
        <v>9.1297469383351385E-2</v>
      </c>
      <c r="F9" s="1278">
        <v>4.7997469383351386E-2</v>
      </c>
      <c r="G9" s="1299" t="s">
        <v>113</v>
      </c>
      <c r="H9" s="1278" t="s">
        <v>113</v>
      </c>
      <c r="I9" s="1279" t="s">
        <v>113</v>
      </c>
      <c r="J9" s="14" t="s">
        <v>803</v>
      </c>
      <c r="K9" s="1300">
        <f t="shared" ref="K9:K26" si="0">C190</f>
        <v>92</v>
      </c>
      <c r="L9" s="1080"/>
      <c r="M9" s="1080"/>
      <c r="N9" s="1080"/>
      <c r="O9" s="1080"/>
      <c r="P9" s="1080"/>
      <c r="Q9" s="1080"/>
      <c r="R9" s="1080"/>
      <c r="S9" s="1080"/>
      <c r="T9" s="1080"/>
      <c r="U9" s="1080"/>
      <c r="V9" s="1080"/>
      <c r="W9" s="1080"/>
      <c r="X9" s="1080"/>
      <c r="Y9" s="1080"/>
      <c r="Z9" s="1080"/>
      <c r="AA9" s="1080"/>
      <c r="AB9" s="1080"/>
      <c r="AC9" s="1080"/>
    </row>
    <row r="10" spans="1:29" ht="12" hidden="1" customHeight="1">
      <c r="A10" s="1275" t="s">
        <v>804</v>
      </c>
      <c r="B10" s="1298" t="s">
        <v>805</v>
      </c>
      <c r="C10" s="1277" t="s">
        <v>818</v>
      </c>
      <c r="D10" s="1278">
        <v>1.5830977766757577E-2</v>
      </c>
      <c r="E10" s="1278">
        <v>6.4632208614822828E-2</v>
      </c>
      <c r="F10" s="1278">
        <v>2.1332208614822837E-2</v>
      </c>
      <c r="G10" s="1299" t="s">
        <v>113</v>
      </c>
      <c r="H10" s="1278" t="s">
        <v>113</v>
      </c>
      <c r="I10" s="1279" t="s">
        <v>113</v>
      </c>
      <c r="J10" s="14" t="s">
        <v>807</v>
      </c>
      <c r="K10" s="1300">
        <f t="shared" si="0"/>
        <v>131</v>
      </c>
      <c r="L10" s="1080"/>
      <c r="M10" s="1080"/>
      <c r="N10" s="1080"/>
      <c r="O10" s="1080"/>
      <c r="P10" s="1080"/>
      <c r="Q10" s="1080"/>
      <c r="R10" s="1080"/>
      <c r="S10" s="1080"/>
      <c r="T10" s="1080"/>
      <c r="U10" s="1080"/>
      <c r="V10" s="1080"/>
      <c r="W10" s="1080"/>
      <c r="X10" s="1080"/>
      <c r="Y10" s="1080"/>
      <c r="Z10" s="1080"/>
      <c r="AA10" s="1080"/>
      <c r="AB10" s="1080"/>
      <c r="AC10" s="1080"/>
    </row>
    <row r="11" spans="1:29" ht="12" hidden="1" customHeight="1">
      <c r="A11" s="1275" t="s">
        <v>808</v>
      </c>
      <c r="B11" s="1298" t="s">
        <v>786</v>
      </c>
      <c r="C11" s="1277" t="s">
        <v>828</v>
      </c>
      <c r="D11" s="1278">
        <v>6.4371549301595152E-2</v>
      </c>
      <c r="E11" s="1278">
        <v>0.13004052473527228</v>
      </c>
      <c r="F11" s="1278">
        <v>8.6740524735272273E-2</v>
      </c>
      <c r="G11" s="1299">
        <v>6.3299999999999995E-2</v>
      </c>
      <c r="H11" s="1278">
        <v>0.12859661434770955</v>
      </c>
      <c r="I11" s="1279">
        <v>8.5296614347709562E-2</v>
      </c>
      <c r="J11" s="14" t="s">
        <v>809</v>
      </c>
      <c r="K11" s="1300">
        <f t="shared" si="0"/>
        <v>44</v>
      </c>
      <c r="L11" s="1080"/>
      <c r="M11" s="1080"/>
      <c r="N11" s="1080"/>
      <c r="O11" s="1080"/>
      <c r="P11" s="1080"/>
      <c r="Q11" s="1080"/>
      <c r="R11" s="1080"/>
      <c r="S11" s="1080"/>
      <c r="T11" s="1080"/>
      <c r="U11" s="1080"/>
      <c r="V11" s="1080"/>
      <c r="W11" s="1080"/>
      <c r="X11" s="1080"/>
      <c r="Y11" s="1080"/>
      <c r="Z11" s="1080"/>
      <c r="AA11" s="1080"/>
      <c r="AB11" s="1080"/>
      <c r="AC11" s="1080"/>
    </row>
    <row r="12" spans="1:29" ht="12" hidden="1" customHeight="1">
      <c r="A12" s="1275" t="s">
        <v>810</v>
      </c>
      <c r="B12" s="1298" t="s">
        <v>811</v>
      </c>
      <c r="C12" s="1277" t="s">
        <v>812</v>
      </c>
      <c r="D12" s="1278">
        <v>0.11884873749896685</v>
      </c>
      <c r="E12" s="1278">
        <v>0.20344841908628034</v>
      </c>
      <c r="F12" s="1278">
        <v>0.16014841908628033</v>
      </c>
      <c r="G12" s="1299" t="s">
        <v>113</v>
      </c>
      <c r="H12" s="1278" t="s">
        <v>113</v>
      </c>
      <c r="I12" s="1279" t="s">
        <v>113</v>
      </c>
      <c r="J12" s="14" t="s">
        <v>813</v>
      </c>
      <c r="K12" s="1300">
        <f t="shared" si="0"/>
        <v>54</v>
      </c>
      <c r="L12" s="1080"/>
      <c r="M12" s="1080"/>
      <c r="N12" s="1080"/>
      <c r="O12" s="1080"/>
      <c r="P12" s="1080"/>
      <c r="Q12" s="1080"/>
      <c r="R12" s="1080"/>
      <c r="S12" s="1080"/>
      <c r="T12" s="1080"/>
      <c r="U12" s="1080"/>
      <c r="V12" s="1080"/>
      <c r="W12" s="1080"/>
      <c r="X12" s="1080"/>
      <c r="Y12" s="1080"/>
      <c r="Z12" s="1080"/>
      <c r="AA12" s="1080"/>
      <c r="AB12" s="1080"/>
      <c r="AC12" s="1080"/>
    </row>
    <row r="13" spans="1:29" ht="12" hidden="1" customHeight="1">
      <c r="A13" s="1275" t="s">
        <v>814</v>
      </c>
      <c r="B13" s="1298" t="s">
        <v>801</v>
      </c>
      <c r="C13" s="1277" t="s">
        <v>815</v>
      </c>
      <c r="D13" s="1278">
        <v>3.5619699975204554E-2</v>
      </c>
      <c r="E13" s="1278">
        <v>9.1297469383351385E-2</v>
      </c>
      <c r="F13" s="1278">
        <v>4.7997469383351386E-2</v>
      </c>
      <c r="G13" s="1299" t="s">
        <v>113</v>
      </c>
      <c r="H13" s="1278" t="s">
        <v>113</v>
      </c>
      <c r="I13" s="1279" t="s">
        <v>113</v>
      </c>
      <c r="J13" s="14" t="s">
        <v>797</v>
      </c>
      <c r="K13" s="1300">
        <f t="shared" si="0"/>
        <v>65</v>
      </c>
      <c r="L13" s="1080"/>
      <c r="M13" s="1080"/>
      <c r="N13" s="1080"/>
      <c r="O13" s="1080"/>
      <c r="P13" s="1080"/>
      <c r="Q13" s="1080"/>
      <c r="R13" s="1080"/>
      <c r="S13" s="1080"/>
      <c r="T13" s="1080"/>
      <c r="U13" s="1080"/>
      <c r="V13" s="1080"/>
      <c r="W13" s="1080"/>
      <c r="X13" s="1080"/>
      <c r="Y13" s="1080"/>
      <c r="Z13" s="1080"/>
      <c r="AA13" s="1080"/>
      <c r="AB13" s="1080"/>
      <c r="AC13" s="1080"/>
    </row>
    <row r="14" spans="1:29" ht="12" hidden="1" customHeight="1">
      <c r="A14" s="1275" t="s">
        <v>816</v>
      </c>
      <c r="B14" s="1298" t="s">
        <v>817</v>
      </c>
      <c r="C14" s="1277" t="s">
        <v>839</v>
      </c>
      <c r="D14" s="1278">
        <v>2.1767594429291676E-2</v>
      </c>
      <c r="E14" s="1278">
        <v>7.2631786845381408E-2</v>
      </c>
      <c r="F14" s="1278">
        <v>2.9331786845381409E-2</v>
      </c>
      <c r="G14" s="1299" t="s">
        <v>113</v>
      </c>
      <c r="H14" s="1278" t="s">
        <v>113</v>
      </c>
      <c r="I14" s="1279" t="s">
        <v>113</v>
      </c>
      <c r="J14" s="14" t="s">
        <v>819</v>
      </c>
      <c r="K14" s="1300">
        <f t="shared" si="0"/>
        <v>0</v>
      </c>
      <c r="L14" s="1080"/>
      <c r="M14" s="1080"/>
      <c r="N14" s="1080"/>
      <c r="O14" s="1080"/>
      <c r="P14" s="1080"/>
      <c r="Q14" s="1080"/>
      <c r="R14" s="1080"/>
      <c r="S14" s="1080"/>
      <c r="T14" s="1080"/>
      <c r="U14" s="1080"/>
      <c r="V14" s="1080"/>
      <c r="W14" s="1080"/>
      <c r="X14" s="1080"/>
      <c r="Y14" s="1080"/>
      <c r="Z14" s="1080"/>
      <c r="AA14" s="1080"/>
      <c r="AB14" s="1080"/>
      <c r="AC14" s="1080"/>
    </row>
    <row r="15" spans="1:29" ht="12" hidden="1" customHeight="1">
      <c r="A15" s="1275" t="s">
        <v>820</v>
      </c>
      <c r="B15" s="1298" t="s">
        <v>821</v>
      </c>
      <c r="C15" s="1277" t="s">
        <v>822</v>
      </c>
      <c r="D15" s="1278">
        <v>0</v>
      </c>
      <c r="E15" s="1278">
        <v>4.3299999999999998E-2</v>
      </c>
      <c r="F15" s="1278">
        <v>0</v>
      </c>
      <c r="G15" s="1299">
        <v>0</v>
      </c>
      <c r="H15" s="1278">
        <v>4.3299999999999998E-2</v>
      </c>
      <c r="I15" s="1279">
        <v>0</v>
      </c>
      <c r="J15" s="14" t="s">
        <v>822</v>
      </c>
      <c r="K15" s="1300">
        <f t="shared" si="0"/>
        <v>490</v>
      </c>
      <c r="L15" s="1080"/>
      <c r="M15" s="1080"/>
      <c r="N15" s="1080"/>
      <c r="O15" s="1080"/>
      <c r="P15" s="1080"/>
      <c r="Q15" s="1080"/>
      <c r="R15" s="1080"/>
      <c r="S15" s="1080"/>
      <c r="T15" s="1080"/>
      <c r="U15" s="1080"/>
      <c r="V15" s="1080"/>
      <c r="W15" s="1080"/>
      <c r="X15" s="1080"/>
      <c r="Y15" s="1080"/>
      <c r="Z15" s="1080"/>
      <c r="AA15" s="1080"/>
      <c r="AB15" s="1080"/>
      <c r="AC15" s="1080"/>
    </row>
    <row r="16" spans="1:29" ht="12" hidden="1" customHeight="1">
      <c r="A16" s="1275" t="s">
        <v>823</v>
      </c>
      <c r="B16" s="1298" t="s">
        <v>805</v>
      </c>
      <c r="C16" s="1277" t="s">
        <v>813</v>
      </c>
      <c r="D16" s="1278">
        <v>3.9577444416893943E-3</v>
      </c>
      <c r="E16" s="1278">
        <v>4.8633052153705711E-2</v>
      </c>
      <c r="F16" s="1278">
        <v>5.3330521537057092E-3</v>
      </c>
      <c r="G16" s="1299">
        <v>0</v>
      </c>
      <c r="H16" s="1278">
        <v>4.3299999999999998E-2</v>
      </c>
      <c r="I16" s="1279">
        <v>0</v>
      </c>
      <c r="J16" s="14" t="s">
        <v>802</v>
      </c>
      <c r="K16" s="1300">
        <f t="shared" si="0"/>
        <v>599</v>
      </c>
      <c r="L16" s="1080"/>
      <c r="M16" s="1080"/>
      <c r="N16" s="1080"/>
      <c r="O16" s="1080"/>
      <c r="P16" s="1080"/>
      <c r="Q16" s="1080"/>
      <c r="R16" s="1080"/>
      <c r="S16" s="1080"/>
      <c r="T16" s="1080"/>
      <c r="U16" s="1080"/>
      <c r="V16" s="1080"/>
      <c r="W16" s="1080"/>
      <c r="X16" s="1080"/>
      <c r="Y16" s="1080"/>
      <c r="Z16" s="1080"/>
      <c r="AA16" s="1080"/>
      <c r="AB16" s="1080"/>
      <c r="AC16" s="1080"/>
    </row>
    <row r="17" spans="1:29" ht="12" hidden="1" customHeight="1">
      <c r="A17" s="1275" t="s">
        <v>824</v>
      </c>
      <c r="B17" s="1298" t="s">
        <v>801</v>
      </c>
      <c r="C17" s="1277" t="s">
        <v>830</v>
      </c>
      <c r="D17" s="1278">
        <v>2.4794104884701216E-2</v>
      </c>
      <c r="E17" s="1278">
        <v>7.6710003198215193E-2</v>
      </c>
      <c r="F17" s="1278">
        <v>3.3410003198215195E-2</v>
      </c>
      <c r="G17" s="1299" t="s">
        <v>113</v>
      </c>
      <c r="H17" s="1278" t="s">
        <v>113</v>
      </c>
      <c r="I17" s="1279" t="s">
        <v>113</v>
      </c>
      <c r="J17" s="14" t="s">
        <v>826</v>
      </c>
      <c r="K17" s="1300">
        <f t="shared" si="0"/>
        <v>708</v>
      </c>
      <c r="L17" s="1080"/>
      <c r="M17" s="1080"/>
      <c r="N17" s="1080"/>
      <c r="O17" s="1080"/>
      <c r="P17" s="1080"/>
      <c r="Q17" s="1080"/>
      <c r="R17" s="1080"/>
      <c r="S17" s="1080"/>
      <c r="T17" s="1080"/>
      <c r="U17" s="1080"/>
      <c r="V17" s="1080"/>
      <c r="W17" s="1080"/>
      <c r="X17" s="1080"/>
      <c r="Y17" s="1080"/>
      <c r="Z17" s="1080"/>
      <c r="AA17" s="1080"/>
      <c r="AB17" s="1080"/>
      <c r="AC17" s="1080"/>
    </row>
    <row r="18" spans="1:29" ht="12" hidden="1" customHeight="1">
      <c r="A18" s="1275" t="s">
        <v>827</v>
      </c>
      <c r="B18" s="1298" t="s">
        <v>817</v>
      </c>
      <c r="C18" s="1277" t="s">
        <v>802</v>
      </c>
      <c r="D18" s="1278">
        <v>4.4582827093148182E-2</v>
      </c>
      <c r="E18" s="1278">
        <v>0.10337526396674374</v>
      </c>
      <c r="F18" s="1278">
        <v>6.007526396674373E-2</v>
      </c>
      <c r="G18" s="1299" t="s">
        <v>113</v>
      </c>
      <c r="H18" s="1278" t="s">
        <v>113</v>
      </c>
      <c r="I18" s="1279" t="s">
        <v>113</v>
      </c>
      <c r="J18" s="14" t="s">
        <v>828</v>
      </c>
      <c r="K18" s="1300">
        <f t="shared" si="0"/>
        <v>273</v>
      </c>
      <c r="L18" s="1080"/>
      <c r="M18" s="1080"/>
      <c r="N18" s="1080"/>
      <c r="O18" s="1080"/>
      <c r="P18" s="1080"/>
      <c r="Q18" s="1080"/>
      <c r="R18" s="1080"/>
      <c r="S18" s="1080"/>
      <c r="T18" s="1080"/>
      <c r="U18" s="1080"/>
      <c r="V18" s="1080"/>
      <c r="W18" s="1080"/>
      <c r="X18" s="1080"/>
      <c r="Y18" s="1080"/>
      <c r="Z18" s="1080"/>
      <c r="AA18" s="1080"/>
      <c r="AB18" s="1080"/>
      <c r="AC18" s="1080"/>
    </row>
    <row r="19" spans="1:29" ht="12" hidden="1" customHeight="1">
      <c r="A19" s="1275" t="s">
        <v>829</v>
      </c>
      <c r="B19" s="1298" t="s">
        <v>796</v>
      </c>
      <c r="C19" s="1277" t="s">
        <v>826</v>
      </c>
      <c r="D19" s="1278">
        <v>5.4477188197371677E-2</v>
      </c>
      <c r="E19" s="1278">
        <v>0.11670789435100801</v>
      </c>
      <c r="F19" s="1278">
        <v>7.3407894351008016E-2</v>
      </c>
      <c r="G19" s="1299">
        <v>2.1000000000000001E-2</v>
      </c>
      <c r="H19" s="1278">
        <v>7.159745499687048E-2</v>
      </c>
      <c r="I19" s="1279">
        <v>2.8297454996870475E-2</v>
      </c>
      <c r="J19" s="14" t="s">
        <v>830</v>
      </c>
      <c r="K19" s="1300">
        <f t="shared" si="0"/>
        <v>328</v>
      </c>
      <c r="L19" s="1080"/>
      <c r="M19" s="1080"/>
      <c r="N19" s="1080"/>
      <c r="O19" s="1080"/>
      <c r="P19" s="1080"/>
      <c r="Q19" s="1080"/>
      <c r="R19" s="1080"/>
      <c r="S19" s="1080"/>
      <c r="T19" s="1080"/>
      <c r="U19" s="1080"/>
      <c r="V19" s="1080"/>
      <c r="W19" s="1080"/>
      <c r="X19" s="1080"/>
      <c r="Y19" s="1080"/>
      <c r="Z19" s="1080"/>
      <c r="AA19" s="1080"/>
      <c r="AB19" s="1080"/>
      <c r="AC19" s="1080"/>
    </row>
    <row r="20" spans="1:29" ht="12" hidden="1" customHeight="1">
      <c r="A20" s="1275" t="s">
        <v>831</v>
      </c>
      <c r="B20" s="1298" t="s">
        <v>832</v>
      </c>
      <c r="C20" s="1277" t="s">
        <v>826</v>
      </c>
      <c r="D20" s="1278">
        <v>5.4477188197371677E-2</v>
      </c>
      <c r="E20" s="1278">
        <v>0.11670789435100801</v>
      </c>
      <c r="F20" s="1278">
        <v>7.3407894351008016E-2</v>
      </c>
      <c r="G20" s="1299" t="s">
        <v>113</v>
      </c>
      <c r="H20" s="1278" t="s">
        <v>113</v>
      </c>
      <c r="I20" s="1279" t="s">
        <v>113</v>
      </c>
      <c r="J20" s="14" t="s">
        <v>825</v>
      </c>
      <c r="K20" s="1300">
        <f t="shared" si="0"/>
        <v>392</v>
      </c>
      <c r="L20" s="1080"/>
      <c r="M20" s="1080"/>
      <c r="N20" s="1080"/>
      <c r="O20" s="1080"/>
      <c r="P20" s="1080"/>
      <c r="Q20" s="1080"/>
      <c r="R20" s="1080"/>
      <c r="S20" s="1080"/>
      <c r="T20" s="1080"/>
      <c r="U20" s="1080"/>
      <c r="V20" s="1080"/>
      <c r="W20" s="1080"/>
      <c r="X20" s="1080"/>
      <c r="Y20" s="1080"/>
      <c r="Z20" s="1080"/>
      <c r="AA20" s="1080"/>
      <c r="AB20" s="1080"/>
      <c r="AC20" s="1080"/>
    </row>
    <row r="21" spans="1:29" ht="12" hidden="1" customHeight="1">
      <c r="A21" s="1275" t="s">
        <v>833</v>
      </c>
      <c r="B21" s="1298" t="s">
        <v>817</v>
      </c>
      <c r="C21" s="1277" t="s">
        <v>828</v>
      </c>
      <c r="D21" s="1278">
        <v>6.4371549301595152E-2</v>
      </c>
      <c r="E21" s="1278">
        <v>0.13004052473527228</v>
      </c>
      <c r="F21" s="1278">
        <v>8.6740524735272273E-2</v>
      </c>
      <c r="G21" s="1299" t="s">
        <v>113</v>
      </c>
      <c r="H21" s="1278" t="s">
        <v>113</v>
      </c>
      <c r="I21" s="1279" t="s">
        <v>113</v>
      </c>
      <c r="J21" s="14" t="s">
        <v>815</v>
      </c>
      <c r="K21" s="1300">
        <f t="shared" si="0"/>
        <v>174</v>
      </c>
      <c r="L21" s="1080"/>
      <c r="M21" s="1080"/>
      <c r="N21" s="1080"/>
      <c r="O21" s="1080"/>
      <c r="P21" s="1080"/>
      <c r="Q21" s="1080"/>
      <c r="R21" s="1080"/>
      <c r="S21" s="1080"/>
      <c r="T21" s="1080"/>
      <c r="U21" s="1080"/>
      <c r="V21" s="1080"/>
      <c r="W21" s="1080"/>
      <c r="X21" s="1080"/>
      <c r="Y21" s="1080"/>
      <c r="Z21" s="1080"/>
      <c r="AA21" s="1080"/>
      <c r="AB21" s="1080"/>
      <c r="AC21" s="1080"/>
    </row>
    <row r="22" spans="1:29" ht="12" hidden="1" customHeight="1">
      <c r="A22" s="1275" t="s">
        <v>834</v>
      </c>
      <c r="B22" s="1298" t="s">
        <v>801</v>
      </c>
      <c r="C22" s="1277" t="s">
        <v>38</v>
      </c>
      <c r="D22" s="1278">
        <v>0.17499999999999999</v>
      </c>
      <c r="E22" s="1278">
        <v>0.27911212497392057</v>
      </c>
      <c r="F22" s="1278">
        <v>0.23581212497392059</v>
      </c>
      <c r="G22" s="1299" t="s">
        <v>113</v>
      </c>
      <c r="H22" s="1278" t="s">
        <v>113</v>
      </c>
      <c r="I22" s="1279" t="s">
        <v>113</v>
      </c>
      <c r="J22" s="14" t="s">
        <v>818</v>
      </c>
      <c r="K22" s="1300">
        <f t="shared" si="0"/>
        <v>207</v>
      </c>
      <c r="L22" s="1080"/>
      <c r="M22" s="1080"/>
      <c r="N22" s="1080"/>
      <c r="O22" s="1080"/>
      <c r="P22" s="1080"/>
      <c r="Q22" s="1080"/>
      <c r="R22" s="1080"/>
      <c r="S22" s="1080"/>
      <c r="T22" s="1080"/>
      <c r="U22" s="1080"/>
      <c r="V22" s="1080"/>
      <c r="W22" s="1080"/>
      <c r="X22" s="1080"/>
      <c r="Y22" s="1080"/>
      <c r="Z22" s="1080"/>
      <c r="AA22" s="1080"/>
      <c r="AB22" s="1080"/>
      <c r="AC22" s="1080"/>
    </row>
    <row r="23" spans="1:29" ht="12" hidden="1" customHeight="1">
      <c r="A23" s="1275" t="s">
        <v>835</v>
      </c>
      <c r="B23" s="1298" t="s">
        <v>805</v>
      </c>
      <c r="C23" s="1277" t="s">
        <v>819</v>
      </c>
      <c r="D23" s="1278">
        <v>5.9366166625340932E-3</v>
      </c>
      <c r="E23" s="1278">
        <v>5.1299578230558564E-2</v>
      </c>
      <c r="F23" s="1278">
        <v>7.9995782305585655E-3</v>
      </c>
      <c r="G23" s="1299">
        <v>1.9999999999999966E-4</v>
      </c>
      <c r="H23" s="1278">
        <v>4.3569499571398766E-2</v>
      </c>
      <c r="I23" s="1279">
        <v>2.6949957139876595E-4</v>
      </c>
      <c r="J23" s="14" t="s">
        <v>836</v>
      </c>
      <c r="K23" s="1300">
        <f t="shared" si="0"/>
        <v>239</v>
      </c>
      <c r="L23" s="1080"/>
      <c r="M23" s="1080"/>
      <c r="N23" s="1080"/>
      <c r="O23" s="1080"/>
      <c r="P23" s="1080"/>
      <c r="Q23" s="1080"/>
      <c r="R23" s="1080"/>
      <c r="S23" s="1080"/>
      <c r="T23" s="1080"/>
      <c r="U23" s="1080"/>
      <c r="V23" s="1080"/>
      <c r="W23" s="1080"/>
      <c r="X23" s="1080"/>
      <c r="Y23" s="1080"/>
      <c r="Z23" s="1080"/>
      <c r="AA23" s="1080"/>
      <c r="AB23" s="1080"/>
      <c r="AC23" s="1080"/>
    </row>
    <row r="24" spans="1:29" ht="12" hidden="1" customHeight="1">
      <c r="A24" s="1275" t="s">
        <v>837</v>
      </c>
      <c r="B24" s="1298" t="s">
        <v>811</v>
      </c>
      <c r="C24" s="1277" t="s">
        <v>806</v>
      </c>
      <c r="D24" s="1278">
        <v>7.4265910405818647E-2</v>
      </c>
      <c r="E24" s="1278">
        <v>0.14337315511953655</v>
      </c>
      <c r="F24" s="1278">
        <v>0.10007315511953656</v>
      </c>
      <c r="G24" s="1299" t="s">
        <v>113</v>
      </c>
      <c r="H24" s="1278" t="s">
        <v>113</v>
      </c>
      <c r="I24" s="1279" t="s">
        <v>113</v>
      </c>
      <c r="J24" s="14" t="s">
        <v>839</v>
      </c>
      <c r="K24" s="1300">
        <f t="shared" si="0"/>
        <v>1750</v>
      </c>
      <c r="L24" s="1080"/>
      <c r="M24" s="1080"/>
      <c r="N24" s="1080"/>
      <c r="O24" s="1080"/>
      <c r="P24" s="1080"/>
      <c r="Q24" s="1080"/>
      <c r="R24" s="1080"/>
      <c r="S24" s="1080"/>
      <c r="T24" s="1080"/>
      <c r="U24" s="1080"/>
      <c r="V24" s="1080"/>
      <c r="W24" s="1080"/>
      <c r="X24" s="1080"/>
      <c r="Y24" s="1080"/>
      <c r="Z24" s="1080"/>
      <c r="AA24" s="1080"/>
      <c r="AB24" s="1080"/>
      <c r="AC24" s="1080"/>
    </row>
    <row r="25" spans="1:29" ht="12" hidden="1" customHeight="1">
      <c r="A25" s="1275" t="s">
        <v>840</v>
      </c>
      <c r="B25" s="1298" t="s">
        <v>786</v>
      </c>
      <c r="C25" s="1277" t="s">
        <v>802</v>
      </c>
      <c r="D25" s="1278">
        <v>4.4582827093148182E-2</v>
      </c>
      <c r="E25" s="1278">
        <v>0.10337526396674374</v>
      </c>
      <c r="F25" s="1278">
        <v>6.007526396674373E-2</v>
      </c>
      <c r="G25" s="1299" t="s">
        <v>113</v>
      </c>
      <c r="H25" s="1278" t="s">
        <v>113</v>
      </c>
      <c r="I25" s="1279" t="s">
        <v>113</v>
      </c>
      <c r="J25" s="14" t="s">
        <v>38</v>
      </c>
      <c r="K25" s="1300">
        <f t="shared" si="0"/>
        <v>1307</v>
      </c>
      <c r="L25" s="1080"/>
      <c r="M25" s="1080"/>
      <c r="N25" s="1080"/>
      <c r="O25" s="1080"/>
      <c r="P25" s="1080"/>
      <c r="Q25" s="1080"/>
      <c r="R25" s="1080"/>
      <c r="S25" s="1080"/>
      <c r="T25" s="1080"/>
      <c r="U25" s="1080"/>
      <c r="V25" s="1080"/>
      <c r="W25" s="1080"/>
      <c r="X25" s="1080"/>
      <c r="Y25" s="1080"/>
      <c r="Z25" s="1080"/>
      <c r="AA25" s="1080"/>
      <c r="AB25" s="1080"/>
      <c r="AC25" s="1080"/>
    </row>
    <row r="26" spans="1:29" ht="12" hidden="1" customHeight="1">
      <c r="A26" s="1275" t="s">
        <v>841</v>
      </c>
      <c r="B26" s="1298" t="s">
        <v>817</v>
      </c>
      <c r="C26" s="1277" t="s">
        <v>807</v>
      </c>
      <c r="D26" s="1278">
        <v>8.3811058765187203E-3</v>
      </c>
      <c r="E26" s="1278">
        <v>5.4593522207847384E-2</v>
      </c>
      <c r="F26" s="1278">
        <v>1.1293522207847389E-2</v>
      </c>
      <c r="G26" s="1299" t="s">
        <v>113</v>
      </c>
      <c r="H26" s="1278" t="s">
        <v>113</v>
      </c>
      <c r="I26" s="1279" t="s">
        <v>113</v>
      </c>
      <c r="J26" s="14" t="s">
        <v>812</v>
      </c>
      <c r="K26" s="1300">
        <f t="shared" si="0"/>
        <v>817</v>
      </c>
      <c r="L26" s="1080"/>
      <c r="M26" s="1080"/>
      <c r="N26" s="1080"/>
      <c r="O26" s="1080"/>
      <c r="P26" s="1080"/>
      <c r="Q26" s="1080"/>
      <c r="R26" s="1080"/>
      <c r="S26" s="1080"/>
      <c r="T26" s="1080"/>
      <c r="U26" s="1080"/>
      <c r="V26" s="1080"/>
      <c r="W26" s="1080"/>
      <c r="X26" s="1080"/>
      <c r="Y26" s="1080"/>
      <c r="Z26" s="1080"/>
      <c r="AA26" s="1080"/>
      <c r="AB26" s="1080"/>
      <c r="AC26" s="1080"/>
    </row>
    <row r="27" spans="1:29" ht="12" hidden="1" customHeight="1">
      <c r="A27" s="1275" t="s">
        <v>842</v>
      </c>
      <c r="B27" s="1298" t="s">
        <v>811</v>
      </c>
      <c r="C27" s="1277" t="s">
        <v>838</v>
      </c>
      <c r="D27" s="1278">
        <v>9.9060015290519873E-2</v>
      </c>
      <c r="E27" s="1278">
        <v>0.17678315831775177</v>
      </c>
      <c r="F27" s="1278">
        <v>0.13348315831775176</v>
      </c>
      <c r="G27" s="1299" t="s">
        <v>113</v>
      </c>
      <c r="H27" s="1278" t="s">
        <v>113</v>
      </c>
      <c r="I27" s="1279" t="s">
        <v>113</v>
      </c>
      <c r="J27" s="14" t="str">
        <f t="shared" ref="J27:K27" si="1">B208</f>
        <v>Caa2</v>
      </c>
      <c r="K27" s="1300">
        <f t="shared" si="1"/>
        <v>981</v>
      </c>
      <c r="L27" s="1080"/>
      <c r="M27" s="1080"/>
      <c r="N27" s="1080"/>
      <c r="O27" s="1080"/>
      <c r="P27" s="1080"/>
      <c r="Q27" s="1080"/>
      <c r="R27" s="1080"/>
      <c r="S27" s="1080"/>
      <c r="T27" s="1080"/>
      <c r="U27" s="1080"/>
      <c r="V27" s="1080"/>
      <c r="W27" s="1080"/>
      <c r="X27" s="1080"/>
      <c r="Y27" s="1080"/>
      <c r="Z27" s="1080"/>
      <c r="AA27" s="1080"/>
      <c r="AB27" s="1080"/>
      <c r="AC27" s="1080"/>
    </row>
    <row r="28" spans="1:29" ht="12" hidden="1" customHeight="1">
      <c r="A28" s="1275" t="s">
        <v>843</v>
      </c>
      <c r="B28" s="1298" t="s">
        <v>801</v>
      </c>
      <c r="C28" s="1277" t="s">
        <v>828</v>
      </c>
      <c r="D28" s="1278">
        <v>6.4371549301595152E-2</v>
      </c>
      <c r="E28" s="1278">
        <v>0.13004052473527228</v>
      </c>
      <c r="F28" s="1278">
        <v>8.6740524735272273E-2</v>
      </c>
      <c r="G28" s="1299" t="s">
        <v>113</v>
      </c>
      <c r="H28" s="1278" t="s">
        <v>113</v>
      </c>
      <c r="I28" s="1279" t="s">
        <v>113</v>
      </c>
      <c r="J28" s="14" t="str">
        <f t="shared" ref="J28:K28" si="2">B209</f>
        <v>Caa3</v>
      </c>
      <c r="K28" s="1300">
        <f t="shared" si="2"/>
        <v>1090</v>
      </c>
      <c r="L28" s="1080"/>
      <c r="M28" s="1080"/>
      <c r="N28" s="1080"/>
      <c r="O28" s="1080"/>
      <c r="P28" s="1080"/>
      <c r="Q28" s="1080"/>
      <c r="R28" s="1080"/>
      <c r="S28" s="1080"/>
      <c r="T28" s="1080"/>
      <c r="U28" s="1080"/>
      <c r="V28" s="1080"/>
      <c r="W28" s="1080"/>
      <c r="X28" s="1080"/>
      <c r="Y28" s="1080"/>
      <c r="Z28" s="1080"/>
      <c r="AA28" s="1080"/>
      <c r="AB28" s="1080"/>
      <c r="AC28" s="1080"/>
    </row>
    <row r="29" spans="1:29" ht="12" hidden="1" customHeight="1">
      <c r="A29" s="1275" t="s">
        <v>844</v>
      </c>
      <c r="B29" s="1298" t="s">
        <v>786</v>
      </c>
      <c r="C29" s="1277" t="s">
        <v>809</v>
      </c>
      <c r="D29" s="1278">
        <v>1.1873233325068186E-2</v>
      </c>
      <c r="E29" s="1278">
        <v>5.9299156461117129E-2</v>
      </c>
      <c r="F29" s="1278">
        <v>1.5999156461117131E-2</v>
      </c>
      <c r="G29" s="1299" t="s">
        <v>113</v>
      </c>
      <c r="H29" s="1278" t="s">
        <v>113</v>
      </c>
      <c r="I29" s="1279" t="s">
        <v>113</v>
      </c>
      <c r="J29" s="14" t="str">
        <f t="shared" ref="J29:K29" si="3">B210</f>
        <v>NR</v>
      </c>
      <c r="K29" s="1300" t="str">
        <f t="shared" si="3"/>
        <v>NA</v>
      </c>
      <c r="L29" s="1080"/>
      <c r="M29" s="1080"/>
      <c r="N29" s="1080"/>
      <c r="O29" s="1080"/>
      <c r="P29" s="1080"/>
      <c r="Q29" s="1080"/>
      <c r="R29" s="1080"/>
      <c r="S29" s="1080"/>
      <c r="T29" s="1080"/>
      <c r="U29" s="1080"/>
      <c r="V29" s="1080"/>
      <c r="W29" s="1080"/>
      <c r="X29" s="1080"/>
      <c r="Y29" s="1080"/>
      <c r="Z29" s="1080"/>
      <c r="AA29" s="1080"/>
      <c r="AB29" s="1080"/>
      <c r="AC29" s="1080"/>
    </row>
    <row r="30" spans="1:29" ht="12" hidden="1" customHeight="1">
      <c r="A30" s="1275" t="s">
        <v>845</v>
      </c>
      <c r="B30" s="1298" t="s">
        <v>811</v>
      </c>
      <c r="C30" s="1277" t="s">
        <v>830</v>
      </c>
      <c r="D30" s="1278">
        <v>2.4794104884701216E-2</v>
      </c>
      <c r="E30" s="1278">
        <v>7.6710003198215193E-2</v>
      </c>
      <c r="F30" s="1278">
        <v>3.3410003198215195E-2</v>
      </c>
      <c r="G30" s="1299">
        <v>2.8200000000000003E-2</v>
      </c>
      <c r="H30" s="1278">
        <v>8.1299439567226073E-2</v>
      </c>
      <c r="I30" s="1279">
        <v>3.7999439567226068E-2</v>
      </c>
      <c r="J30" s="14" t="s">
        <v>846</v>
      </c>
      <c r="K30" s="1301">
        <f>C211</f>
        <v>0</v>
      </c>
      <c r="L30" s="1080"/>
      <c r="M30" s="1080"/>
      <c r="N30" s="1080"/>
      <c r="O30" s="1080"/>
      <c r="P30" s="1080"/>
      <c r="Q30" s="1080"/>
      <c r="R30" s="1080"/>
      <c r="S30" s="1080"/>
      <c r="T30" s="1080"/>
      <c r="U30" s="1080"/>
      <c r="V30" s="1080"/>
      <c r="W30" s="1080"/>
      <c r="X30" s="1080"/>
      <c r="Y30" s="1080"/>
      <c r="Z30" s="1080"/>
      <c r="AA30" s="1080"/>
      <c r="AB30" s="1080"/>
      <c r="AC30" s="1080"/>
    </row>
    <row r="31" spans="1:29" ht="12" hidden="1" customHeight="1">
      <c r="A31" s="1275" t="s">
        <v>847</v>
      </c>
      <c r="B31" s="1298" t="s">
        <v>801</v>
      </c>
      <c r="C31" s="1277" t="s">
        <v>818</v>
      </c>
      <c r="D31" s="1278">
        <v>1.5830977766757577E-2</v>
      </c>
      <c r="E31" s="1278">
        <v>6.4632208614822828E-2</v>
      </c>
      <c r="F31" s="1278">
        <v>2.1332208614822837E-2</v>
      </c>
      <c r="G31" s="1299">
        <v>1.0200000000000001E-2</v>
      </c>
      <c r="H31" s="1278">
        <v>5.704447814133709E-2</v>
      </c>
      <c r="I31" s="1279">
        <v>1.3744478141337089E-2</v>
      </c>
      <c r="J31" s="1"/>
      <c r="K31" s="1"/>
      <c r="L31" s="1080"/>
      <c r="M31" s="1080"/>
      <c r="N31" s="1080"/>
      <c r="O31" s="1080"/>
      <c r="P31" s="1080"/>
      <c r="Q31" s="1080"/>
      <c r="R31" s="1080"/>
      <c r="S31" s="1080"/>
      <c r="T31" s="1080"/>
      <c r="U31" s="1080"/>
      <c r="V31" s="1080"/>
      <c r="W31" s="1080"/>
      <c r="X31" s="1080"/>
      <c r="Y31" s="1080"/>
      <c r="Z31" s="1080"/>
      <c r="AA31" s="1080"/>
      <c r="AB31" s="1080"/>
      <c r="AC31" s="1080"/>
    </row>
    <row r="32" spans="1:29" ht="12" hidden="1" customHeight="1">
      <c r="A32" s="1275" t="s">
        <v>848</v>
      </c>
      <c r="B32" s="1298" t="s">
        <v>786</v>
      </c>
      <c r="C32" s="1277" t="s">
        <v>806</v>
      </c>
      <c r="D32" s="1278">
        <v>7.4265910405818647E-2</v>
      </c>
      <c r="E32" s="1278">
        <v>0.14337315511953655</v>
      </c>
      <c r="F32" s="1278">
        <v>0.10007315511953656</v>
      </c>
      <c r="G32" s="1299" t="s">
        <v>113</v>
      </c>
      <c r="H32" s="1278" t="s">
        <v>113</v>
      </c>
      <c r="I32" s="1279" t="s">
        <v>113</v>
      </c>
      <c r="J32" s="1"/>
      <c r="K32" s="1"/>
      <c r="L32" s="1080"/>
      <c r="M32" s="1080"/>
      <c r="N32" s="1080"/>
      <c r="O32" s="1080"/>
      <c r="P32" s="1080"/>
      <c r="Q32" s="1080"/>
      <c r="R32" s="1080"/>
      <c r="S32" s="1080"/>
      <c r="T32" s="1080"/>
      <c r="U32" s="1080"/>
      <c r="V32" s="1080"/>
      <c r="W32" s="1080"/>
      <c r="X32" s="1080"/>
      <c r="Y32" s="1080"/>
      <c r="Z32" s="1080"/>
      <c r="AA32" s="1080"/>
      <c r="AB32" s="1080"/>
      <c r="AC32" s="1080"/>
    </row>
    <row r="33" spans="1:29" ht="12" hidden="1" customHeight="1">
      <c r="A33" s="1275" t="s">
        <v>849</v>
      </c>
      <c r="B33" s="1298" t="s">
        <v>832</v>
      </c>
      <c r="C33" s="1277" t="s">
        <v>826</v>
      </c>
      <c r="D33" s="1278">
        <v>5.4477188197371677E-2</v>
      </c>
      <c r="E33" s="1278">
        <v>0.11670789435100801</v>
      </c>
      <c r="F33" s="1278">
        <v>7.3407894351008016E-2</v>
      </c>
      <c r="G33" s="1299" t="s">
        <v>113</v>
      </c>
      <c r="H33" s="1278" t="s">
        <v>113</v>
      </c>
      <c r="I33" s="1279" t="s">
        <v>113</v>
      </c>
      <c r="J33" s="1"/>
      <c r="K33" s="1"/>
      <c r="L33" s="1080"/>
      <c r="M33" s="1080"/>
      <c r="N33" s="1080"/>
      <c r="O33" s="1080"/>
      <c r="P33" s="1080"/>
      <c r="Q33" s="1080"/>
      <c r="R33" s="1080"/>
      <c r="S33" s="1080"/>
      <c r="T33" s="1080"/>
      <c r="U33" s="1080"/>
      <c r="V33" s="1080"/>
      <c r="W33" s="1080"/>
      <c r="X33" s="1080"/>
      <c r="Y33" s="1080"/>
      <c r="Z33" s="1080"/>
      <c r="AA33" s="1080"/>
      <c r="AB33" s="1080"/>
      <c r="AC33" s="1080"/>
    </row>
    <row r="34" spans="1:29" ht="12" hidden="1" customHeight="1">
      <c r="A34" s="1275" t="s">
        <v>850</v>
      </c>
      <c r="B34" s="1298" t="s">
        <v>786</v>
      </c>
      <c r="C34" s="1277" t="s">
        <v>806</v>
      </c>
      <c r="D34" s="1278">
        <v>7.4265910405818647E-2</v>
      </c>
      <c r="E34" s="1278">
        <v>0.14337315511953655</v>
      </c>
      <c r="F34" s="1278">
        <v>0.10007315511953656</v>
      </c>
      <c r="G34" s="1299">
        <v>6.6599999999999993E-2</v>
      </c>
      <c r="H34" s="1278">
        <v>0.1330433572757892</v>
      </c>
      <c r="I34" s="1279">
        <v>8.9743357275789207E-2</v>
      </c>
      <c r="J34" s="1"/>
      <c r="K34" s="1"/>
      <c r="L34" s="1080"/>
      <c r="M34" s="1080"/>
      <c r="N34" s="1080"/>
      <c r="O34" s="1080"/>
      <c r="P34" s="1080"/>
      <c r="Q34" s="1080"/>
      <c r="R34" s="1080"/>
      <c r="S34" s="1080"/>
      <c r="T34" s="1080"/>
      <c r="U34" s="1080"/>
      <c r="V34" s="1080"/>
      <c r="W34" s="1080"/>
      <c r="X34" s="1080"/>
      <c r="Y34" s="1080"/>
      <c r="Z34" s="1080"/>
      <c r="AA34" s="1080"/>
      <c r="AB34" s="1080"/>
      <c r="AC34" s="1080"/>
    </row>
    <row r="35" spans="1:29" ht="12" hidden="1" customHeight="1">
      <c r="A35" s="1275" t="s">
        <v>851</v>
      </c>
      <c r="B35" s="1298" t="s">
        <v>852</v>
      </c>
      <c r="C35" s="1277" t="s">
        <v>822</v>
      </c>
      <c r="D35" s="1278">
        <v>0</v>
      </c>
      <c r="E35" s="1278">
        <v>4.3299999999999998E-2</v>
      </c>
      <c r="F35" s="1278">
        <v>0</v>
      </c>
      <c r="G35" s="1299">
        <v>0</v>
      </c>
      <c r="H35" s="1278">
        <v>4.3299999999999998E-2</v>
      </c>
      <c r="I35" s="1279">
        <v>0</v>
      </c>
      <c r="J35" s="1"/>
      <c r="K35" s="1"/>
      <c r="L35" s="1080"/>
      <c r="M35" s="1080"/>
      <c r="N35" s="1080"/>
      <c r="O35" s="1080"/>
      <c r="P35" s="1080"/>
      <c r="Q35" s="1080"/>
      <c r="R35" s="1080"/>
      <c r="S35" s="1080"/>
      <c r="T35" s="1080"/>
      <c r="U35" s="1080"/>
      <c r="V35" s="1080"/>
      <c r="W35" s="1080"/>
      <c r="X35" s="1080"/>
      <c r="Y35" s="1080"/>
      <c r="Z35" s="1080"/>
      <c r="AA35" s="1080"/>
      <c r="AB35" s="1080"/>
      <c r="AC35" s="1080"/>
    </row>
    <row r="36" spans="1:29" ht="12" hidden="1" customHeight="1">
      <c r="A36" s="1275" t="s">
        <v>853</v>
      </c>
      <c r="B36" s="1298" t="s">
        <v>786</v>
      </c>
      <c r="C36" s="1277" t="s">
        <v>826</v>
      </c>
      <c r="D36" s="1278">
        <v>5.4477188197371677E-2</v>
      </c>
      <c r="E36" s="1278">
        <v>0.11670789435100801</v>
      </c>
      <c r="F36" s="1278">
        <v>7.3407894351008016E-2</v>
      </c>
      <c r="G36" s="1299" t="s">
        <v>113</v>
      </c>
      <c r="H36" s="1278" t="s">
        <v>113</v>
      </c>
      <c r="I36" s="1279" t="s">
        <v>113</v>
      </c>
      <c r="J36" s="1"/>
      <c r="K36" s="1"/>
      <c r="L36" s="1080"/>
      <c r="M36" s="1080"/>
      <c r="N36" s="1080"/>
      <c r="O36" s="1080"/>
      <c r="P36" s="1080"/>
      <c r="Q36" s="1080"/>
      <c r="R36" s="1080"/>
      <c r="S36" s="1080"/>
      <c r="T36" s="1080"/>
      <c r="U36" s="1080"/>
      <c r="V36" s="1080"/>
      <c r="W36" s="1080"/>
      <c r="X36" s="1080"/>
      <c r="Y36" s="1080"/>
      <c r="Z36" s="1080"/>
      <c r="AA36" s="1080"/>
      <c r="AB36" s="1080"/>
      <c r="AC36" s="1080"/>
    </row>
    <row r="37" spans="1:29" ht="12" hidden="1" customHeight="1">
      <c r="A37" s="1275" t="s">
        <v>854</v>
      </c>
      <c r="B37" s="1298" t="s">
        <v>817</v>
      </c>
      <c r="C37" s="1277" t="s">
        <v>819</v>
      </c>
      <c r="D37" s="1278">
        <v>5.9366166625340932E-3</v>
      </c>
      <c r="E37" s="1278">
        <v>5.1299578230558564E-2</v>
      </c>
      <c r="F37" s="1278">
        <v>7.9995782305585655E-3</v>
      </c>
      <c r="G37" s="1299" t="s">
        <v>113</v>
      </c>
      <c r="H37" s="1278" t="s">
        <v>113</v>
      </c>
      <c r="I37" s="1279" t="s">
        <v>113</v>
      </c>
      <c r="J37" s="1"/>
      <c r="K37" s="1"/>
      <c r="L37" s="1080"/>
      <c r="M37" s="1080"/>
      <c r="N37" s="1080"/>
      <c r="O37" s="1080"/>
      <c r="P37" s="1080"/>
      <c r="Q37" s="1080"/>
      <c r="R37" s="1080"/>
      <c r="S37" s="1080"/>
      <c r="T37" s="1080"/>
      <c r="U37" s="1080"/>
      <c r="V37" s="1080"/>
      <c r="W37" s="1080"/>
      <c r="X37" s="1080"/>
      <c r="Y37" s="1080"/>
      <c r="Z37" s="1080"/>
      <c r="AA37" s="1080"/>
      <c r="AB37" s="1080"/>
      <c r="AC37" s="1080"/>
    </row>
    <row r="38" spans="1:29" ht="12" hidden="1" customHeight="1">
      <c r="A38" s="1275" t="s">
        <v>855</v>
      </c>
      <c r="B38" s="1298" t="s">
        <v>811</v>
      </c>
      <c r="C38" s="1277" t="s">
        <v>807</v>
      </c>
      <c r="D38" s="1278">
        <v>8.3811058765187203E-3</v>
      </c>
      <c r="E38" s="1278">
        <v>5.4593522207847384E-2</v>
      </c>
      <c r="F38" s="1278">
        <v>1.1293522207847389E-2</v>
      </c>
      <c r="G38" s="1299">
        <v>7.6E-3</v>
      </c>
      <c r="H38" s="1278">
        <v>5.354098371315312E-2</v>
      </c>
      <c r="I38" s="1279">
        <v>1.0240983713153124E-2</v>
      </c>
      <c r="J38" s="1"/>
      <c r="K38" s="1"/>
      <c r="L38" s="1080"/>
      <c r="M38" s="1080"/>
      <c r="N38" s="1080"/>
      <c r="O38" s="1080"/>
      <c r="P38" s="1080"/>
      <c r="Q38" s="1080"/>
      <c r="R38" s="1080"/>
      <c r="S38" s="1080"/>
      <c r="T38" s="1080"/>
      <c r="U38" s="1080"/>
      <c r="V38" s="1080"/>
      <c r="W38" s="1080"/>
      <c r="X38" s="1080"/>
      <c r="Y38" s="1080"/>
      <c r="Z38" s="1080"/>
      <c r="AA38" s="1080"/>
      <c r="AB38" s="1080"/>
      <c r="AC38" s="1080"/>
    </row>
    <row r="39" spans="1:29" ht="12" hidden="1" customHeight="1">
      <c r="A39" s="1275" t="s">
        <v>856</v>
      </c>
      <c r="B39" s="1298" t="s">
        <v>832</v>
      </c>
      <c r="C39" s="1277" t="s">
        <v>803</v>
      </c>
      <c r="D39" s="1278">
        <v>6.9842548970989338E-3</v>
      </c>
      <c r="E39" s="1278">
        <v>5.271126850653949E-2</v>
      </c>
      <c r="F39" s="1278">
        <v>9.4112685065394896E-3</v>
      </c>
      <c r="G39" s="1299">
        <v>5.5999999999999999E-3</v>
      </c>
      <c r="H39" s="1278">
        <v>5.0845987999165454E-2</v>
      </c>
      <c r="I39" s="1279">
        <v>7.5459879991654592E-3</v>
      </c>
      <c r="J39" s="1"/>
      <c r="K39" s="1"/>
      <c r="L39" s="1080"/>
      <c r="M39" s="1080"/>
      <c r="N39" s="1080"/>
      <c r="O39" s="1080"/>
      <c r="P39" s="1080"/>
      <c r="Q39" s="1080"/>
      <c r="R39" s="1080"/>
      <c r="S39" s="1080"/>
      <c r="T39" s="1080"/>
      <c r="U39" s="1080"/>
      <c r="V39" s="1080"/>
      <c r="W39" s="1080"/>
      <c r="X39" s="1080"/>
      <c r="Y39" s="1080"/>
      <c r="Z39" s="1080"/>
      <c r="AA39" s="1080"/>
      <c r="AB39" s="1080"/>
      <c r="AC39" s="1080"/>
    </row>
    <row r="40" spans="1:29" ht="12" hidden="1" customHeight="1">
      <c r="A40" s="1275" t="s">
        <v>857</v>
      </c>
      <c r="B40" s="1298" t="s">
        <v>811</v>
      </c>
      <c r="C40" s="1277" t="s">
        <v>836</v>
      </c>
      <c r="D40" s="1278">
        <v>1.885748822216712E-2</v>
      </c>
      <c r="E40" s="1278">
        <v>6.8710424967656614E-2</v>
      </c>
      <c r="F40" s="1278">
        <v>2.5410424967656622E-2</v>
      </c>
      <c r="G40" s="1299">
        <v>2.9600000000000001E-2</v>
      </c>
      <c r="H40" s="1278">
        <v>8.3185936567017421E-2</v>
      </c>
      <c r="I40" s="1279">
        <v>3.988593656701743E-2</v>
      </c>
      <c r="J40" s="1"/>
      <c r="K40" s="1"/>
      <c r="L40" s="1080"/>
      <c r="M40" s="1080"/>
      <c r="N40" s="1080"/>
      <c r="O40" s="1080"/>
      <c r="P40" s="1080"/>
      <c r="Q40" s="1080"/>
      <c r="R40" s="1080"/>
      <c r="S40" s="1080"/>
      <c r="T40" s="1080"/>
      <c r="U40" s="1080"/>
      <c r="V40" s="1080"/>
      <c r="W40" s="1080"/>
      <c r="X40" s="1080"/>
      <c r="Y40" s="1080"/>
      <c r="Z40" s="1080"/>
      <c r="AA40" s="1080"/>
      <c r="AB40" s="1080"/>
      <c r="AC40" s="1080"/>
    </row>
    <row r="41" spans="1:29" ht="12" hidden="1" customHeight="1">
      <c r="A41" s="1275" t="s">
        <v>858</v>
      </c>
      <c r="B41" s="1298" t="s">
        <v>786</v>
      </c>
      <c r="C41" s="1277" t="s">
        <v>828</v>
      </c>
      <c r="D41" s="1278">
        <v>6.4371549301595152E-2</v>
      </c>
      <c r="E41" s="1278">
        <v>0.13004052473527228</v>
      </c>
      <c r="F41" s="1278">
        <v>8.6740524735272273E-2</v>
      </c>
      <c r="G41" s="1299" t="s">
        <v>113</v>
      </c>
      <c r="H41" s="1278" t="s">
        <v>113</v>
      </c>
      <c r="I41" s="1279" t="s">
        <v>113</v>
      </c>
      <c r="J41" s="1"/>
      <c r="K41" s="1"/>
      <c r="L41" s="1080"/>
      <c r="M41" s="1080"/>
      <c r="N41" s="1080"/>
      <c r="O41" s="1080"/>
      <c r="P41" s="1080"/>
      <c r="Q41" s="1080"/>
      <c r="R41" s="1080"/>
      <c r="S41" s="1080"/>
      <c r="T41" s="1080"/>
      <c r="U41" s="1080"/>
      <c r="V41" s="1080"/>
      <c r="W41" s="1080"/>
      <c r="X41" s="1080"/>
      <c r="Y41" s="1080"/>
      <c r="Z41" s="1080"/>
      <c r="AA41" s="1080"/>
      <c r="AB41" s="1080"/>
      <c r="AC41" s="1080"/>
    </row>
    <row r="42" spans="1:29" ht="12" hidden="1" customHeight="1">
      <c r="A42" s="1275" t="s">
        <v>859</v>
      </c>
      <c r="B42" s="1298" t="s">
        <v>786</v>
      </c>
      <c r="C42" s="1277" t="s">
        <v>860</v>
      </c>
      <c r="D42" s="1278">
        <v>8.9165654186296364E-2</v>
      </c>
      <c r="E42" s="1278">
        <v>0.16345052793348747</v>
      </c>
      <c r="F42" s="1278">
        <v>0.12015052793348746</v>
      </c>
      <c r="G42" s="1299" t="s">
        <v>113</v>
      </c>
      <c r="H42" s="1278" t="s">
        <v>113</v>
      </c>
      <c r="I42" s="1279" t="s">
        <v>113</v>
      </c>
      <c r="J42" s="1"/>
      <c r="K42" s="1"/>
      <c r="L42" s="1080"/>
      <c r="M42" s="1080"/>
      <c r="N42" s="1080"/>
      <c r="O42" s="1080"/>
      <c r="P42" s="1080"/>
      <c r="Q42" s="1080"/>
      <c r="R42" s="1080"/>
      <c r="S42" s="1080"/>
      <c r="T42" s="1080"/>
      <c r="U42" s="1080"/>
      <c r="V42" s="1080"/>
      <c r="W42" s="1080"/>
      <c r="X42" s="1080"/>
      <c r="Y42" s="1080"/>
      <c r="Z42" s="1080"/>
      <c r="AA42" s="1080"/>
      <c r="AB42" s="1080"/>
      <c r="AC42" s="1080"/>
    </row>
    <row r="43" spans="1:29" ht="12" hidden="1" customHeight="1">
      <c r="A43" s="1275" t="s">
        <v>861</v>
      </c>
      <c r="B43" s="1298" t="s">
        <v>821</v>
      </c>
      <c r="C43" s="1277" t="s">
        <v>802</v>
      </c>
      <c r="D43" s="1278">
        <v>4.4582827093148182E-2</v>
      </c>
      <c r="E43" s="1278">
        <v>0.10337526396674374</v>
      </c>
      <c r="F43" s="1278">
        <v>6.007526396674373E-2</v>
      </c>
      <c r="G43" s="1299" t="s">
        <v>113</v>
      </c>
      <c r="H43" s="1278" t="s">
        <v>113</v>
      </c>
      <c r="I43" s="1279" t="s">
        <v>113</v>
      </c>
      <c r="J43" s="1"/>
      <c r="K43" s="1"/>
      <c r="L43" s="1080"/>
      <c r="M43" s="1080"/>
      <c r="N43" s="1080"/>
      <c r="O43" s="1080"/>
      <c r="P43" s="1080"/>
      <c r="Q43" s="1080"/>
      <c r="R43" s="1080"/>
      <c r="S43" s="1080"/>
      <c r="T43" s="1080"/>
      <c r="U43" s="1080"/>
      <c r="V43" s="1080"/>
      <c r="W43" s="1080"/>
      <c r="X43" s="1080"/>
      <c r="Y43" s="1080"/>
      <c r="Z43" s="1080"/>
      <c r="AA43" s="1080"/>
      <c r="AB43" s="1080"/>
      <c r="AC43" s="1080"/>
    </row>
    <row r="44" spans="1:29" ht="12" hidden="1" customHeight="1">
      <c r="A44" s="1275" t="s">
        <v>862</v>
      </c>
      <c r="B44" s="1298" t="s">
        <v>811</v>
      </c>
      <c r="C44" s="1277" t="s">
        <v>815</v>
      </c>
      <c r="D44" s="1278">
        <v>3.5619699975204554E-2</v>
      </c>
      <c r="E44" s="1278">
        <v>9.1297469383351385E-2</v>
      </c>
      <c r="F44" s="1278">
        <v>4.7997469383351386E-2</v>
      </c>
      <c r="G44" s="1299">
        <v>2.0400000000000001E-2</v>
      </c>
      <c r="H44" s="1278">
        <v>7.0788956282674176E-2</v>
      </c>
      <c r="I44" s="1279">
        <v>2.7488956282674178E-2</v>
      </c>
      <c r="J44" s="1"/>
      <c r="K44" s="1"/>
      <c r="L44" s="1080"/>
      <c r="M44" s="1080"/>
      <c r="N44" s="1080"/>
      <c r="O44" s="1080"/>
      <c r="P44" s="1080"/>
      <c r="Q44" s="1080"/>
      <c r="R44" s="1080"/>
      <c r="S44" s="1080"/>
      <c r="T44" s="1080"/>
      <c r="U44" s="1080"/>
      <c r="V44" s="1080"/>
      <c r="W44" s="1080"/>
      <c r="X44" s="1080"/>
      <c r="Y44" s="1080"/>
      <c r="Z44" s="1080"/>
      <c r="AA44" s="1080"/>
      <c r="AB44" s="1080"/>
      <c r="AC44" s="1080"/>
    </row>
    <row r="45" spans="1:29" ht="12" hidden="1" customHeight="1">
      <c r="A45" s="1275" t="s">
        <v>863</v>
      </c>
      <c r="B45" s="1298" t="s">
        <v>786</v>
      </c>
      <c r="C45" s="1277" t="s">
        <v>825</v>
      </c>
      <c r="D45" s="1278">
        <v>2.9799487560955448E-2</v>
      </c>
      <c r="E45" s="1278">
        <v>8.3454745627901811E-2</v>
      </c>
      <c r="F45" s="1278">
        <v>4.0154745627901819E-2</v>
      </c>
      <c r="G45" s="1299" t="s">
        <v>113</v>
      </c>
      <c r="H45" s="1278" t="s">
        <v>113</v>
      </c>
      <c r="I45" s="1279" t="s">
        <v>113</v>
      </c>
      <c r="J45" s="1"/>
      <c r="K45" s="1"/>
      <c r="L45" s="1080"/>
      <c r="M45" s="1080"/>
      <c r="N45" s="1080"/>
      <c r="O45" s="1080"/>
      <c r="P45" s="1080"/>
      <c r="Q45" s="1080"/>
      <c r="R45" s="1080"/>
      <c r="S45" s="1080"/>
      <c r="T45" s="1080"/>
      <c r="U45" s="1080"/>
      <c r="V45" s="1080"/>
      <c r="W45" s="1080"/>
      <c r="X45" s="1080"/>
      <c r="Y45" s="1080"/>
      <c r="Z45" s="1080"/>
      <c r="AA45" s="1080"/>
      <c r="AB45" s="1080"/>
      <c r="AC45" s="1080"/>
    </row>
    <row r="46" spans="1:29" ht="12" hidden="1" customHeight="1">
      <c r="A46" s="1275" t="s">
        <v>864</v>
      </c>
      <c r="B46" s="1298" t="s">
        <v>801</v>
      </c>
      <c r="C46" s="1277" t="s">
        <v>809</v>
      </c>
      <c r="D46" s="1278">
        <v>1.1873233325068186E-2</v>
      </c>
      <c r="E46" s="1278">
        <v>5.9299156461117129E-2</v>
      </c>
      <c r="F46" s="1278">
        <v>1.5999156461117131E-2</v>
      </c>
      <c r="G46" s="1299">
        <v>8.5000000000000006E-3</v>
      </c>
      <c r="H46" s="1278">
        <v>5.4753731784447569E-2</v>
      </c>
      <c r="I46" s="1279">
        <v>1.1453731784447573E-2</v>
      </c>
      <c r="J46" s="1"/>
      <c r="K46" s="1"/>
      <c r="L46" s="1080"/>
      <c r="M46" s="1080"/>
      <c r="N46" s="1080"/>
      <c r="O46" s="1080"/>
      <c r="P46" s="1080"/>
      <c r="Q46" s="1080"/>
      <c r="R46" s="1080"/>
      <c r="S46" s="1080"/>
      <c r="T46" s="1080"/>
      <c r="U46" s="1080"/>
      <c r="V46" s="1080"/>
      <c r="W46" s="1080"/>
      <c r="X46" s="1080"/>
      <c r="Y46" s="1080"/>
      <c r="Z46" s="1080"/>
      <c r="AA46" s="1080"/>
      <c r="AB46" s="1080"/>
      <c r="AC46" s="1080"/>
    </row>
    <row r="47" spans="1:29" ht="12" hidden="1" customHeight="1">
      <c r="A47" s="1275" t="s">
        <v>865</v>
      </c>
      <c r="B47" s="1298" t="s">
        <v>817</v>
      </c>
      <c r="C47" s="1277" t="s">
        <v>812</v>
      </c>
      <c r="D47" s="1278">
        <v>0.11884873749896685</v>
      </c>
      <c r="E47" s="1278">
        <v>0.20344841908628034</v>
      </c>
      <c r="F47" s="1278">
        <v>0.16014841908628033</v>
      </c>
      <c r="G47" s="1299" t="s">
        <v>113</v>
      </c>
      <c r="H47" s="1278" t="s">
        <v>113</v>
      </c>
      <c r="I47" s="1279" t="s">
        <v>113</v>
      </c>
      <c r="J47" s="1"/>
      <c r="K47" s="1"/>
      <c r="L47" s="1080"/>
      <c r="M47" s="1080"/>
      <c r="N47" s="1080"/>
      <c r="O47" s="1080"/>
      <c r="P47" s="1080"/>
      <c r="Q47" s="1080"/>
      <c r="R47" s="1080"/>
      <c r="S47" s="1080"/>
      <c r="T47" s="1080"/>
      <c r="U47" s="1080"/>
      <c r="V47" s="1080"/>
      <c r="W47" s="1080"/>
      <c r="X47" s="1080"/>
      <c r="Y47" s="1080"/>
      <c r="Z47" s="1080"/>
      <c r="AA47" s="1080"/>
      <c r="AB47" s="1080"/>
      <c r="AC47" s="1080"/>
    </row>
    <row r="48" spans="1:29" ht="12" hidden="1" customHeight="1">
      <c r="A48" s="1275" t="s">
        <v>866</v>
      </c>
      <c r="B48" s="1298" t="s">
        <v>817</v>
      </c>
      <c r="C48" s="1277" t="s">
        <v>839</v>
      </c>
      <c r="D48" s="1278">
        <v>2.1767594429291676E-2</v>
      </c>
      <c r="E48" s="1278">
        <v>7.2631786845381408E-2</v>
      </c>
      <c r="F48" s="1278">
        <v>2.9331786845381409E-2</v>
      </c>
      <c r="G48" s="1299" t="s">
        <v>113</v>
      </c>
      <c r="H48" s="1278" t="s">
        <v>113</v>
      </c>
      <c r="I48" s="1279" t="s">
        <v>113</v>
      </c>
      <c r="J48" s="1"/>
      <c r="K48" s="1"/>
      <c r="L48" s="1080"/>
      <c r="M48" s="1080"/>
      <c r="N48" s="1080"/>
      <c r="O48" s="1080"/>
      <c r="P48" s="1080"/>
      <c r="Q48" s="1080"/>
      <c r="R48" s="1080"/>
      <c r="S48" s="1080"/>
      <c r="T48" s="1080"/>
      <c r="U48" s="1080"/>
      <c r="V48" s="1080"/>
      <c r="W48" s="1080"/>
      <c r="X48" s="1080"/>
      <c r="Y48" s="1080"/>
      <c r="Z48" s="1080"/>
      <c r="AA48" s="1080"/>
      <c r="AB48" s="1080"/>
      <c r="AC48" s="1080"/>
    </row>
    <row r="49" spans="1:29" ht="12" hidden="1" customHeight="1">
      <c r="A49" s="1275" t="s">
        <v>867</v>
      </c>
      <c r="B49" s="1298" t="s">
        <v>805</v>
      </c>
      <c r="C49" s="1277" t="s">
        <v>809</v>
      </c>
      <c r="D49" s="1278">
        <v>1.1873233325068186E-2</v>
      </c>
      <c r="E49" s="1278">
        <v>5.9299156461117129E-2</v>
      </c>
      <c r="F49" s="1278">
        <v>1.5999156461117131E-2</v>
      </c>
      <c r="G49" s="1299">
        <v>5.8000000000000005E-3</v>
      </c>
      <c r="H49" s="1278">
        <v>5.1115487570564222E-2</v>
      </c>
      <c r="I49" s="1279">
        <v>7.8154875705642272E-3</v>
      </c>
      <c r="J49" s="1"/>
      <c r="K49" s="1"/>
      <c r="L49" s="1080"/>
      <c r="M49" s="1080"/>
      <c r="N49" s="1080"/>
      <c r="O49" s="1080"/>
      <c r="P49" s="1080"/>
      <c r="Q49" s="1080"/>
      <c r="R49" s="1080"/>
      <c r="S49" s="1080"/>
      <c r="T49" s="1080"/>
      <c r="U49" s="1080"/>
      <c r="V49" s="1080"/>
      <c r="W49" s="1080"/>
      <c r="X49" s="1080"/>
      <c r="Y49" s="1080"/>
      <c r="Z49" s="1080"/>
      <c r="AA49" s="1080"/>
      <c r="AB49" s="1080"/>
      <c r="AC49" s="1080"/>
    </row>
    <row r="50" spans="1:29" ht="12" hidden="1" customHeight="1">
      <c r="A50" s="1275" t="s">
        <v>868</v>
      </c>
      <c r="B50" s="1298" t="s">
        <v>801</v>
      </c>
      <c r="C50" s="1277" t="s">
        <v>819</v>
      </c>
      <c r="D50" s="1278">
        <v>5.9366166625340932E-3</v>
      </c>
      <c r="E50" s="1278">
        <v>5.1299578230558564E-2</v>
      </c>
      <c r="F50" s="1278">
        <v>7.9995782305585655E-3</v>
      </c>
      <c r="G50" s="1299">
        <v>8.9999999999999976E-4</v>
      </c>
      <c r="H50" s="1278">
        <v>4.4512748071294447E-2</v>
      </c>
      <c r="I50" s="1279">
        <v>1.2127480712944485E-3</v>
      </c>
      <c r="J50" s="1"/>
      <c r="K50" s="1"/>
      <c r="L50" s="1080"/>
      <c r="M50" s="1080"/>
      <c r="N50" s="1080"/>
      <c r="O50" s="1080"/>
      <c r="P50" s="1080"/>
      <c r="Q50" s="1080"/>
      <c r="R50" s="1080"/>
      <c r="S50" s="1080"/>
      <c r="T50" s="1080"/>
      <c r="U50" s="1080"/>
      <c r="V50" s="1080"/>
      <c r="W50" s="1080"/>
      <c r="X50" s="1080"/>
      <c r="Y50" s="1080"/>
      <c r="Z50" s="1080"/>
      <c r="AA50" s="1080"/>
      <c r="AB50" s="1080"/>
      <c r="AC50" s="1080"/>
    </row>
    <row r="51" spans="1:29" ht="12" hidden="1" customHeight="1">
      <c r="A51" s="1275" t="s">
        <v>869</v>
      </c>
      <c r="B51" s="1298" t="s">
        <v>805</v>
      </c>
      <c r="C51" s="1277" t="s">
        <v>822</v>
      </c>
      <c r="D51" s="1278">
        <v>0</v>
      </c>
      <c r="E51" s="1278">
        <v>4.3299999999999998E-2</v>
      </c>
      <c r="F51" s="1278">
        <v>0</v>
      </c>
      <c r="G51" s="1299">
        <v>0</v>
      </c>
      <c r="H51" s="1278">
        <v>4.3299999999999998E-2</v>
      </c>
      <c r="I51" s="1279">
        <v>0</v>
      </c>
      <c r="J51" s="1"/>
      <c r="K51" s="1"/>
      <c r="L51" s="1080"/>
      <c r="M51" s="1080"/>
      <c r="N51" s="1080"/>
      <c r="O51" s="1080"/>
      <c r="P51" s="1080"/>
      <c r="Q51" s="1080"/>
      <c r="R51" s="1080"/>
      <c r="S51" s="1080"/>
      <c r="T51" s="1080"/>
      <c r="U51" s="1080"/>
      <c r="V51" s="1080"/>
      <c r="W51" s="1080"/>
      <c r="X51" s="1080"/>
      <c r="Y51" s="1080"/>
      <c r="Z51" s="1080"/>
      <c r="AA51" s="1080"/>
      <c r="AB51" s="1080"/>
      <c r="AC51" s="1080"/>
    </row>
    <row r="52" spans="1:29" ht="12" hidden="1" customHeight="1">
      <c r="A52" s="1275" t="s">
        <v>870</v>
      </c>
      <c r="B52" s="1298" t="s">
        <v>817</v>
      </c>
      <c r="C52" s="1277" t="s">
        <v>815</v>
      </c>
      <c r="D52" s="1278">
        <v>3.5619699975204554E-2</v>
      </c>
      <c r="E52" s="1278">
        <v>9.1297469383351385E-2</v>
      </c>
      <c r="F52" s="1278">
        <v>4.7997469383351386E-2</v>
      </c>
      <c r="G52" s="1299" t="s">
        <v>113</v>
      </c>
      <c r="H52" s="1278" t="s">
        <v>113</v>
      </c>
      <c r="I52" s="1279" t="s">
        <v>113</v>
      </c>
      <c r="J52" s="1"/>
      <c r="K52" s="1"/>
      <c r="L52" s="1080"/>
      <c r="M52" s="1080"/>
      <c r="N52" s="1080"/>
      <c r="O52" s="1080"/>
      <c r="P52" s="1080"/>
      <c r="Q52" s="1080"/>
      <c r="R52" s="1080"/>
      <c r="S52" s="1080"/>
      <c r="T52" s="1080"/>
      <c r="U52" s="1080"/>
      <c r="V52" s="1080"/>
      <c r="W52" s="1080"/>
      <c r="X52" s="1080"/>
      <c r="Y52" s="1080"/>
      <c r="Z52" s="1080"/>
      <c r="AA52" s="1080"/>
      <c r="AB52" s="1080"/>
      <c r="AC52" s="1080"/>
    </row>
    <row r="53" spans="1:29" ht="12" hidden="1" customHeight="1">
      <c r="A53" s="1275" t="s">
        <v>871</v>
      </c>
      <c r="B53" s="1298" t="s">
        <v>811</v>
      </c>
      <c r="C53" s="1277" t="s">
        <v>838</v>
      </c>
      <c r="D53" s="1278">
        <v>9.9060015290519873E-2</v>
      </c>
      <c r="E53" s="1278">
        <v>0.17678315831775177</v>
      </c>
      <c r="F53" s="1278">
        <v>0.13348315831775176</v>
      </c>
      <c r="G53" s="1299">
        <v>0.1867</v>
      </c>
      <c r="H53" s="1278">
        <v>0.29487784990074845</v>
      </c>
      <c r="I53" s="1279">
        <v>0.25157784990074844</v>
      </c>
      <c r="J53" s="1"/>
      <c r="K53" s="1"/>
      <c r="L53" s="1080"/>
      <c r="M53" s="1080"/>
      <c r="N53" s="1080"/>
      <c r="O53" s="1080"/>
      <c r="P53" s="1080"/>
      <c r="Q53" s="1080"/>
      <c r="R53" s="1080"/>
      <c r="S53" s="1080"/>
      <c r="T53" s="1080"/>
      <c r="U53" s="1080"/>
      <c r="V53" s="1080"/>
      <c r="W53" s="1080"/>
      <c r="X53" s="1080"/>
      <c r="Y53" s="1080"/>
      <c r="Z53" s="1080"/>
      <c r="AA53" s="1080"/>
      <c r="AB53" s="1080"/>
      <c r="AC53" s="1080"/>
    </row>
    <row r="54" spans="1:29" ht="12" hidden="1" customHeight="1">
      <c r="A54" s="1275" t="s">
        <v>872</v>
      </c>
      <c r="B54" s="1298" t="s">
        <v>786</v>
      </c>
      <c r="C54" s="1277" t="s">
        <v>806</v>
      </c>
      <c r="D54" s="1278">
        <v>7.4265910405818647E-2</v>
      </c>
      <c r="E54" s="1278">
        <v>0.14337315511953655</v>
      </c>
      <c r="F54" s="1278">
        <v>0.10007315511953656</v>
      </c>
      <c r="G54" s="1299">
        <v>5.9400000000000001E-2</v>
      </c>
      <c r="H54" s="1278">
        <v>0.12334137270543363</v>
      </c>
      <c r="I54" s="1279">
        <v>8.0041372705433628E-2</v>
      </c>
      <c r="J54" s="1"/>
      <c r="K54" s="1"/>
      <c r="L54" s="1080"/>
      <c r="M54" s="1080"/>
      <c r="N54" s="1080"/>
      <c r="O54" s="1080"/>
      <c r="P54" s="1080"/>
      <c r="Q54" s="1080"/>
      <c r="R54" s="1080"/>
      <c r="S54" s="1080"/>
      <c r="T54" s="1080"/>
      <c r="U54" s="1080"/>
      <c r="V54" s="1080"/>
      <c r="W54" s="1080"/>
      <c r="X54" s="1080"/>
      <c r="Y54" s="1080"/>
      <c r="Z54" s="1080"/>
      <c r="AA54" s="1080"/>
      <c r="AB54" s="1080"/>
      <c r="AC54" s="1080"/>
    </row>
    <row r="55" spans="1:29" ht="12" hidden="1" customHeight="1">
      <c r="A55" s="1275" t="s">
        <v>873</v>
      </c>
      <c r="B55" s="1298" t="s">
        <v>811</v>
      </c>
      <c r="C55" s="1277" t="s">
        <v>828</v>
      </c>
      <c r="D55" s="1278">
        <v>6.4371549301595152E-2</v>
      </c>
      <c r="E55" s="1278">
        <v>0.13004052473527228</v>
      </c>
      <c r="F55" s="1278">
        <v>8.6740524735272273E-2</v>
      </c>
      <c r="G55" s="1299">
        <v>3.7900000000000003E-2</v>
      </c>
      <c r="H55" s="1278">
        <v>9.4370168780066238E-2</v>
      </c>
      <c r="I55" s="1279">
        <v>5.107016878006624E-2</v>
      </c>
      <c r="J55" s="1"/>
      <c r="K55" s="1"/>
      <c r="L55" s="1080"/>
      <c r="M55" s="1080"/>
      <c r="N55" s="1080"/>
      <c r="O55" s="1080"/>
      <c r="P55" s="1080"/>
      <c r="Q55" s="1080"/>
      <c r="R55" s="1080"/>
      <c r="S55" s="1080"/>
      <c r="T55" s="1080"/>
      <c r="U55" s="1080"/>
      <c r="V55" s="1080"/>
      <c r="W55" s="1080"/>
      <c r="X55" s="1080"/>
      <c r="Y55" s="1080"/>
      <c r="Z55" s="1080"/>
      <c r="AA55" s="1080"/>
      <c r="AB55" s="1080"/>
      <c r="AC55" s="1080"/>
    </row>
    <row r="56" spans="1:29" ht="12" hidden="1" customHeight="1">
      <c r="A56" s="1275" t="s">
        <v>874</v>
      </c>
      <c r="B56" s="1298" t="s">
        <v>801</v>
      </c>
      <c r="C56" s="1277" t="s">
        <v>803</v>
      </c>
      <c r="D56" s="1278">
        <v>6.9842548970989338E-3</v>
      </c>
      <c r="E56" s="1278">
        <v>5.271126850653949E-2</v>
      </c>
      <c r="F56" s="1278">
        <v>9.4112685065394896E-3</v>
      </c>
      <c r="G56" s="1299">
        <v>3.9999999999999992E-3</v>
      </c>
      <c r="H56" s="1278">
        <v>4.8689991427975324E-2</v>
      </c>
      <c r="I56" s="1279">
        <v>5.3899914279753273E-3</v>
      </c>
      <c r="J56" s="1"/>
      <c r="K56" s="1"/>
      <c r="L56" s="1080"/>
      <c r="M56" s="1080"/>
      <c r="N56" s="1080"/>
      <c r="O56" s="1080"/>
      <c r="P56" s="1080"/>
      <c r="Q56" s="1080"/>
      <c r="R56" s="1080"/>
      <c r="S56" s="1080"/>
      <c r="T56" s="1080"/>
      <c r="U56" s="1080"/>
      <c r="V56" s="1080"/>
      <c r="W56" s="1080"/>
      <c r="X56" s="1080"/>
      <c r="Y56" s="1080"/>
      <c r="Z56" s="1080"/>
      <c r="AA56" s="1080"/>
      <c r="AB56" s="1080"/>
      <c r="AC56" s="1080"/>
    </row>
    <row r="57" spans="1:29" ht="12" hidden="1" customHeight="1">
      <c r="A57" s="1275" t="s">
        <v>875</v>
      </c>
      <c r="B57" s="1298" t="s">
        <v>786</v>
      </c>
      <c r="C57" s="1277" t="s">
        <v>860</v>
      </c>
      <c r="D57" s="1278">
        <v>8.9165654186296364E-2</v>
      </c>
      <c r="E57" s="1278">
        <v>0.16345052793348747</v>
      </c>
      <c r="F57" s="1278">
        <v>0.12015052793348746</v>
      </c>
      <c r="G57" s="1299">
        <v>0.3256</v>
      </c>
      <c r="H57" s="1278">
        <v>0.48204530223719172</v>
      </c>
      <c r="I57" s="1279">
        <v>0.43874530223719171</v>
      </c>
      <c r="J57" s="1"/>
      <c r="K57" s="1"/>
      <c r="L57" s="1080"/>
      <c r="M57" s="1080"/>
      <c r="N57" s="1080"/>
      <c r="O57" s="1080"/>
      <c r="P57" s="1080"/>
      <c r="Q57" s="1080"/>
      <c r="R57" s="1080"/>
      <c r="S57" s="1080"/>
      <c r="T57" s="1080"/>
      <c r="U57" s="1080"/>
      <c r="V57" s="1080"/>
      <c r="W57" s="1080"/>
      <c r="X57" s="1080"/>
      <c r="Y57" s="1080"/>
      <c r="Z57" s="1080"/>
      <c r="AA57" s="1080"/>
      <c r="AB57" s="1080"/>
      <c r="AC57" s="1080"/>
    </row>
    <row r="58" spans="1:29" ht="12" hidden="1" customHeight="1">
      <c r="A58" s="1275" t="s">
        <v>876</v>
      </c>
      <c r="B58" s="1298" t="s">
        <v>832</v>
      </c>
      <c r="C58" s="1277" t="s">
        <v>802</v>
      </c>
      <c r="D58" s="1278">
        <v>4.4582827093148182E-2</v>
      </c>
      <c r="E58" s="1278">
        <v>0.10337526396674374</v>
      </c>
      <c r="F58" s="1278">
        <v>6.007526396674373E-2</v>
      </c>
      <c r="G58" s="1299" t="s">
        <v>113</v>
      </c>
      <c r="H58" s="1278" t="s">
        <v>113</v>
      </c>
      <c r="I58" s="1279" t="s">
        <v>113</v>
      </c>
      <c r="J58" s="1"/>
      <c r="K58" s="1"/>
      <c r="L58" s="1080"/>
      <c r="M58" s="1080"/>
      <c r="N58" s="1080"/>
      <c r="O58" s="1080"/>
      <c r="P58" s="1080"/>
      <c r="Q58" s="1080"/>
      <c r="R58" s="1080"/>
      <c r="S58" s="1080"/>
      <c r="T58" s="1080"/>
      <c r="U58" s="1080"/>
      <c r="V58" s="1080"/>
      <c r="W58" s="1080"/>
      <c r="X58" s="1080"/>
      <c r="Y58" s="1080"/>
      <c r="Z58" s="1080"/>
      <c r="AA58" s="1080"/>
      <c r="AB58" s="1080"/>
      <c r="AC58" s="1080"/>
    </row>
    <row r="59" spans="1:29" ht="12" hidden="1" customHeight="1">
      <c r="A59" s="1275" t="s">
        <v>877</v>
      </c>
      <c r="B59" s="1298" t="s">
        <v>805</v>
      </c>
      <c r="C59" s="1277" t="s">
        <v>813</v>
      </c>
      <c r="D59" s="1278">
        <v>3.9577444416893943E-3</v>
      </c>
      <c r="E59" s="1278">
        <v>4.8633052153705711E-2</v>
      </c>
      <c r="F59" s="1278">
        <v>5.3330521537057092E-3</v>
      </c>
      <c r="G59" s="1299">
        <v>0</v>
      </c>
      <c r="H59" s="1278">
        <v>4.3299999999999998E-2</v>
      </c>
      <c r="I59" s="1279">
        <v>0</v>
      </c>
      <c r="J59" s="1"/>
      <c r="K59" s="1"/>
      <c r="L59" s="1080"/>
      <c r="M59" s="1080"/>
      <c r="N59" s="1080"/>
      <c r="O59" s="1080"/>
      <c r="P59" s="1080"/>
      <c r="Q59" s="1080"/>
      <c r="R59" s="1080"/>
      <c r="S59" s="1080"/>
      <c r="T59" s="1080"/>
      <c r="U59" s="1080"/>
      <c r="V59" s="1080"/>
      <c r="W59" s="1080"/>
      <c r="X59" s="1080"/>
      <c r="Y59" s="1080"/>
      <c r="Z59" s="1080"/>
      <c r="AA59" s="1080"/>
      <c r="AB59" s="1080"/>
      <c r="AC59" s="1080"/>
    </row>
    <row r="60" spans="1:29" ht="12" hidden="1" customHeight="1">
      <c r="A60" s="1275" t="s">
        <v>878</v>
      </c>
      <c r="B60" s="1298" t="s">
        <v>805</v>
      </c>
      <c r="C60" s="1277" t="s">
        <v>819</v>
      </c>
      <c r="D60" s="1278">
        <v>5.9366166625340932E-3</v>
      </c>
      <c r="E60" s="1278">
        <v>5.1299578230558564E-2</v>
      </c>
      <c r="F60" s="1278">
        <v>7.9995782305585655E-3</v>
      </c>
      <c r="G60" s="1299">
        <v>2.7999999999999995E-3</v>
      </c>
      <c r="H60" s="1278">
        <v>4.707299399958273E-2</v>
      </c>
      <c r="I60" s="1279">
        <v>3.7729939995827292E-3</v>
      </c>
      <c r="J60" s="1"/>
      <c r="K60" s="1"/>
      <c r="L60" s="1080"/>
      <c r="M60" s="1080"/>
      <c r="N60" s="1080"/>
      <c r="O60" s="1080"/>
      <c r="P60" s="1080"/>
      <c r="Q60" s="1080"/>
      <c r="R60" s="1080"/>
      <c r="S60" s="1080"/>
      <c r="T60" s="1080"/>
      <c r="U60" s="1080"/>
      <c r="V60" s="1080"/>
      <c r="W60" s="1080"/>
      <c r="X60" s="1080"/>
      <c r="Y60" s="1080"/>
      <c r="Z60" s="1080"/>
      <c r="AA60" s="1080"/>
      <c r="AB60" s="1080"/>
      <c r="AC60" s="1080"/>
    </row>
    <row r="61" spans="1:29" ht="12" hidden="1" customHeight="1">
      <c r="A61" s="1275" t="s">
        <v>879</v>
      </c>
      <c r="B61" s="1298" t="s">
        <v>786</v>
      </c>
      <c r="C61" s="1277" t="s">
        <v>860</v>
      </c>
      <c r="D61" s="1278">
        <v>8.9165654186296364E-2</v>
      </c>
      <c r="E61" s="1278">
        <v>0.16345052793348747</v>
      </c>
      <c r="F61" s="1278">
        <v>0.12015052793348746</v>
      </c>
      <c r="G61" s="1299" t="s">
        <v>113</v>
      </c>
      <c r="H61" s="1278" t="s">
        <v>113</v>
      </c>
      <c r="I61" s="1279" t="s">
        <v>113</v>
      </c>
      <c r="J61" s="1"/>
      <c r="K61" s="1"/>
      <c r="L61" s="1080"/>
      <c r="M61" s="1080"/>
      <c r="N61" s="1080"/>
      <c r="O61" s="1080"/>
      <c r="P61" s="1080"/>
      <c r="Q61" s="1080"/>
      <c r="R61" s="1080"/>
      <c r="S61" s="1080"/>
      <c r="T61" s="1080"/>
      <c r="U61" s="1080"/>
      <c r="V61" s="1080"/>
      <c r="W61" s="1080"/>
      <c r="X61" s="1080"/>
      <c r="Y61" s="1080"/>
      <c r="Z61" s="1080"/>
      <c r="AA61" s="1080"/>
      <c r="AB61" s="1080"/>
      <c r="AC61" s="1080"/>
    </row>
    <row r="62" spans="1:29" ht="12" hidden="1" customHeight="1">
      <c r="A62" s="1275" t="s">
        <v>880</v>
      </c>
      <c r="B62" s="1298" t="s">
        <v>801</v>
      </c>
      <c r="C62" s="1277" t="s">
        <v>825</v>
      </c>
      <c r="D62" s="1278">
        <v>2.9799487560955448E-2</v>
      </c>
      <c r="E62" s="1278">
        <v>8.3454745627901811E-2</v>
      </c>
      <c r="F62" s="1278">
        <v>4.0154745627901819E-2</v>
      </c>
      <c r="G62" s="1299" t="s">
        <v>113</v>
      </c>
      <c r="H62" s="1278" t="s">
        <v>113</v>
      </c>
      <c r="I62" s="1279" t="s">
        <v>113</v>
      </c>
      <c r="J62" s="1"/>
      <c r="K62" s="1"/>
      <c r="L62" s="1080"/>
      <c r="M62" s="1080"/>
      <c r="N62" s="1080"/>
      <c r="O62" s="1080"/>
      <c r="P62" s="1080"/>
      <c r="Q62" s="1080"/>
      <c r="R62" s="1080"/>
      <c r="S62" s="1080"/>
      <c r="T62" s="1080"/>
      <c r="U62" s="1080"/>
      <c r="V62" s="1080"/>
      <c r="W62" s="1080"/>
      <c r="X62" s="1080"/>
      <c r="Y62" s="1080"/>
      <c r="Z62" s="1080"/>
      <c r="AA62" s="1080"/>
      <c r="AB62" s="1080"/>
      <c r="AC62" s="1080"/>
    </row>
    <row r="63" spans="1:29" ht="12" hidden="1" customHeight="1">
      <c r="A63" s="1275" t="s">
        <v>881</v>
      </c>
      <c r="B63" s="1298" t="s">
        <v>805</v>
      </c>
      <c r="C63" s="1277" t="s">
        <v>822</v>
      </c>
      <c r="D63" s="1278">
        <v>0</v>
      </c>
      <c r="E63" s="1278">
        <v>4.3299999999999998E-2</v>
      </c>
      <c r="F63" s="1278">
        <v>0</v>
      </c>
      <c r="G63" s="1299">
        <v>0</v>
      </c>
      <c r="H63" s="1278">
        <v>4.3299999999999998E-2</v>
      </c>
      <c r="I63" s="1279">
        <v>0</v>
      </c>
      <c r="J63" s="1"/>
      <c r="K63" s="1"/>
      <c r="L63" s="1080"/>
      <c r="M63" s="1080"/>
      <c r="N63" s="1080"/>
      <c r="O63" s="1080"/>
      <c r="P63" s="1080"/>
      <c r="Q63" s="1080"/>
      <c r="R63" s="1080"/>
      <c r="S63" s="1080"/>
      <c r="T63" s="1080"/>
      <c r="U63" s="1080"/>
      <c r="V63" s="1080"/>
      <c r="W63" s="1080"/>
      <c r="X63" s="1080"/>
      <c r="Y63" s="1080"/>
      <c r="Z63" s="1080"/>
      <c r="AA63" s="1080"/>
      <c r="AB63" s="1080"/>
      <c r="AC63" s="1080"/>
    </row>
    <row r="64" spans="1:29" ht="12" hidden="1" customHeight="1">
      <c r="A64" s="1275" t="s">
        <v>882</v>
      </c>
      <c r="B64" s="1298" t="s">
        <v>786</v>
      </c>
      <c r="C64" s="1277" t="s">
        <v>860</v>
      </c>
      <c r="D64" s="1278">
        <v>8.9165654186296364E-2</v>
      </c>
      <c r="E64" s="1278">
        <v>0.16345052793348747</v>
      </c>
      <c r="F64" s="1278">
        <v>0.12015052793348746</v>
      </c>
      <c r="G64" s="1299" t="s">
        <v>113</v>
      </c>
      <c r="H64" s="1278" t="s">
        <v>113</v>
      </c>
      <c r="I64" s="1279" t="s">
        <v>113</v>
      </c>
      <c r="J64" s="1"/>
      <c r="K64" s="1"/>
      <c r="L64" s="1080"/>
      <c r="M64" s="1080"/>
      <c r="N64" s="1080"/>
      <c r="O64" s="1080"/>
      <c r="P64" s="1080"/>
      <c r="Q64" s="1080"/>
      <c r="R64" s="1080"/>
      <c r="S64" s="1080"/>
      <c r="T64" s="1080"/>
      <c r="U64" s="1080"/>
      <c r="V64" s="1080"/>
      <c r="W64" s="1080"/>
      <c r="X64" s="1080"/>
      <c r="Y64" s="1080"/>
      <c r="Z64" s="1080"/>
      <c r="AA64" s="1080"/>
      <c r="AB64" s="1080"/>
      <c r="AC64" s="1080"/>
    </row>
    <row r="65" spans="1:29" ht="12" hidden="1" customHeight="1">
      <c r="A65" s="1275" t="s">
        <v>883</v>
      </c>
      <c r="B65" s="1298" t="s">
        <v>805</v>
      </c>
      <c r="C65" s="1277" t="s">
        <v>830</v>
      </c>
      <c r="D65" s="1278">
        <v>2.4794104884701216E-2</v>
      </c>
      <c r="E65" s="1278">
        <v>7.6710003198215193E-2</v>
      </c>
      <c r="F65" s="1278">
        <v>3.3410003198215195E-2</v>
      </c>
      <c r="G65" s="1299">
        <v>7.6E-3</v>
      </c>
      <c r="H65" s="1278">
        <v>5.354098371315312E-2</v>
      </c>
      <c r="I65" s="1279">
        <v>1.0240983713153124E-2</v>
      </c>
      <c r="J65" s="1"/>
      <c r="K65" s="1"/>
      <c r="L65" s="1080"/>
      <c r="M65" s="1080"/>
      <c r="N65" s="1080"/>
      <c r="O65" s="1080"/>
      <c r="P65" s="1080"/>
      <c r="Q65" s="1080"/>
      <c r="R65" s="1080"/>
      <c r="S65" s="1080"/>
      <c r="T65" s="1080"/>
      <c r="U65" s="1080"/>
      <c r="V65" s="1080"/>
      <c r="W65" s="1080"/>
      <c r="X65" s="1080"/>
      <c r="Y65" s="1080"/>
      <c r="Z65" s="1080"/>
      <c r="AA65" s="1080"/>
      <c r="AB65" s="1080"/>
      <c r="AC65" s="1080"/>
    </row>
    <row r="66" spans="1:29" ht="12" hidden="1" customHeight="1">
      <c r="A66" s="1275" t="s">
        <v>884</v>
      </c>
      <c r="B66" s="1298" t="s">
        <v>811</v>
      </c>
      <c r="C66" s="1277" t="s">
        <v>830</v>
      </c>
      <c r="D66" s="1278">
        <v>2.4794104884701216E-2</v>
      </c>
      <c r="E66" s="1278">
        <v>7.6710003198215193E-2</v>
      </c>
      <c r="F66" s="1278">
        <v>3.3410003198215195E-2</v>
      </c>
      <c r="G66" s="1299" t="s">
        <v>113</v>
      </c>
      <c r="H66" s="1278" t="s">
        <v>113</v>
      </c>
      <c r="I66" s="1279" t="s">
        <v>113</v>
      </c>
      <c r="J66" s="1"/>
      <c r="K66" s="1"/>
      <c r="L66" s="1080"/>
      <c r="M66" s="1080"/>
      <c r="N66" s="1080"/>
      <c r="O66" s="1080"/>
      <c r="P66" s="1080"/>
      <c r="Q66" s="1080"/>
      <c r="R66" s="1080"/>
      <c r="S66" s="1080"/>
      <c r="T66" s="1080"/>
      <c r="U66" s="1080"/>
      <c r="V66" s="1080"/>
      <c r="W66" s="1080"/>
      <c r="X66" s="1080"/>
      <c r="Y66" s="1080"/>
      <c r="Z66" s="1080"/>
      <c r="AA66" s="1080"/>
      <c r="AB66" s="1080"/>
      <c r="AC66" s="1080"/>
    </row>
    <row r="67" spans="1:29" ht="12" hidden="1" customHeight="1">
      <c r="A67" s="1275" t="s">
        <v>885</v>
      </c>
      <c r="B67" s="1298" t="s">
        <v>805</v>
      </c>
      <c r="C67" s="1277" t="s">
        <v>803</v>
      </c>
      <c r="D67" s="1278">
        <v>6.9842548970989338E-3</v>
      </c>
      <c r="E67" s="1278">
        <v>5.271126850653949E-2</v>
      </c>
      <c r="F67" s="1278">
        <v>9.4112685065394896E-3</v>
      </c>
      <c r="G67" s="1299" t="s">
        <v>113</v>
      </c>
      <c r="H67" s="1278" t="s">
        <v>113</v>
      </c>
      <c r="I67" s="1279" t="s">
        <v>113</v>
      </c>
      <c r="J67" s="1"/>
      <c r="K67" s="1"/>
      <c r="L67" s="1080"/>
      <c r="M67" s="1080"/>
      <c r="N67" s="1080"/>
      <c r="O67" s="1080"/>
      <c r="P67" s="1080"/>
      <c r="Q67" s="1080"/>
      <c r="R67" s="1080"/>
      <c r="S67" s="1080"/>
      <c r="T67" s="1080"/>
      <c r="U67" s="1080"/>
      <c r="V67" s="1080"/>
      <c r="W67" s="1080"/>
      <c r="X67" s="1080"/>
      <c r="Y67" s="1080"/>
      <c r="Z67" s="1080"/>
      <c r="AA67" s="1080"/>
      <c r="AB67" s="1080"/>
      <c r="AC67" s="1080"/>
    </row>
    <row r="68" spans="1:29" ht="12" hidden="1" customHeight="1">
      <c r="A68" s="1275" t="s">
        <v>886</v>
      </c>
      <c r="B68" s="1298" t="s">
        <v>811</v>
      </c>
      <c r="C68" s="1277" t="s">
        <v>802</v>
      </c>
      <c r="D68" s="1278">
        <v>4.4582827093148182E-2</v>
      </c>
      <c r="E68" s="1278">
        <v>0.10337526396674374</v>
      </c>
      <c r="F68" s="1278">
        <v>6.007526396674373E-2</v>
      </c>
      <c r="G68" s="1299" t="s">
        <v>113</v>
      </c>
      <c r="H68" s="1278" t="s">
        <v>113</v>
      </c>
      <c r="I68" s="1279" t="s">
        <v>113</v>
      </c>
      <c r="J68" s="1"/>
      <c r="K68" s="1"/>
      <c r="L68" s="1080"/>
      <c r="M68" s="1080"/>
      <c r="N68" s="1080"/>
      <c r="O68" s="1080"/>
      <c r="P68" s="1080"/>
      <c r="Q68" s="1080"/>
      <c r="R68" s="1080"/>
      <c r="S68" s="1080"/>
      <c r="T68" s="1080"/>
      <c r="U68" s="1080"/>
      <c r="V68" s="1080"/>
      <c r="W68" s="1080"/>
      <c r="X68" s="1080"/>
      <c r="Y68" s="1080"/>
      <c r="Z68" s="1080"/>
      <c r="AA68" s="1080"/>
      <c r="AB68" s="1080"/>
      <c r="AC68" s="1080"/>
    </row>
    <row r="69" spans="1:29" ht="12" hidden="1" customHeight="1">
      <c r="A69" s="1275" t="s">
        <v>887</v>
      </c>
      <c r="B69" s="1298" t="s">
        <v>832</v>
      </c>
      <c r="C69" s="1277" t="s">
        <v>819</v>
      </c>
      <c r="D69" s="1278">
        <v>5.9366166625340932E-3</v>
      </c>
      <c r="E69" s="1278">
        <v>5.1299578230558564E-2</v>
      </c>
      <c r="F69" s="1278">
        <v>7.9995782305585655E-3</v>
      </c>
      <c r="G69" s="1299">
        <v>2.3E-3</v>
      </c>
      <c r="H69" s="1278">
        <v>4.639924507108581E-2</v>
      </c>
      <c r="I69" s="1279">
        <v>3.0992450710858135E-3</v>
      </c>
      <c r="J69" s="1"/>
      <c r="K69" s="1"/>
      <c r="L69" s="1080"/>
      <c r="M69" s="1080"/>
      <c r="N69" s="1080"/>
      <c r="O69" s="1080"/>
      <c r="P69" s="1080"/>
      <c r="Q69" s="1080"/>
      <c r="R69" s="1080"/>
      <c r="S69" s="1080"/>
      <c r="T69" s="1080"/>
      <c r="U69" s="1080"/>
      <c r="V69" s="1080"/>
      <c r="W69" s="1080"/>
      <c r="X69" s="1080"/>
      <c r="Y69" s="1080"/>
      <c r="Z69" s="1080"/>
      <c r="AA69" s="1080"/>
      <c r="AB69" s="1080"/>
      <c r="AC69" s="1080"/>
    </row>
    <row r="70" spans="1:29" ht="12" hidden="1" customHeight="1">
      <c r="A70" s="1275" t="s">
        <v>888</v>
      </c>
      <c r="B70" s="1298" t="s">
        <v>801</v>
      </c>
      <c r="C70" s="1277" t="s">
        <v>836</v>
      </c>
      <c r="D70" s="1278">
        <v>1.885748822216712E-2</v>
      </c>
      <c r="E70" s="1278">
        <v>6.8710424967656614E-2</v>
      </c>
      <c r="F70" s="1278">
        <v>2.5410424967656622E-2</v>
      </c>
      <c r="G70" s="1299">
        <v>1.38E-2</v>
      </c>
      <c r="H70" s="1278">
        <v>6.189547042651488E-2</v>
      </c>
      <c r="I70" s="1279">
        <v>1.8595470426514882E-2</v>
      </c>
      <c r="J70" s="1"/>
      <c r="K70" s="1"/>
      <c r="L70" s="1080"/>
      <c r="M70" s="1080"/>
      <c r="N70" s="1080"/>
      <c r="O70" s="1080"/>
      <c r="P70" s="1080"/>
      <c r="Q70" s="1080"/>
      <c r="R70" s="1080"/>
      <c r="S70" s="1080"/>
      <c r="T70" s="1080"/>
      <c r="U70" s="1080"/>
      <c r="V70" s="1080"/>
      <c r="W70" s="1080"/>
      <c r="X70" s="1080"/>
      <c r="Y70" s="1080"/>
      <c r="Z70" s="1080"/>
      <c r="AA70" s="1080"/>
      <c r="AB70" s="1080"/>
      <c r="AC70" s="1080"/>
    </row>
    <row r="71" spans="1:29" ht="12" hidden="1" customHeight="1">
      <c r="A71" s="1275" t="s">
        <v>889</v>
      </c>
      <c r="B71" s="1298" t="s">
        <v>805</v>
      </c>
      <c r="C71" s="1277" t="s">
        <v>803</v>
      </c>
      <c r="D71" s="1278">
        <v>6.9842548970989338E-3</v>
      </c>
      <c r="E71" s="1278">
        <v>5.271126850653949E-2</v>
      </c>
      <c r="F71" s="1278">
        <v>9.4112685065394896E-3</v>
      </c>
      <c r="G71" s="1299">
        <v>0</v>
      </c>
      <c r="H71" s="1278">
        <v>4.3299999999999998E-2</v>
      </c>
      <c r="I71" s="1279">
        <v>0</v>
      </c>
      <c r="J71" s="1"/>
      <c r="K71" s="1"/>
      <c r="L71" s="1080"/>
      <c r="M71" s="1080"/>
      <c r="N71" s="1080"/>
      <c r="O71" s="1080"/>
      <c r="P71" s="1080"/>
      <c r="Q71" s="1080"/>
      <c r="R71" s="1080"/>
      <c r="S71" s="1080"/>
      <c r="T71" s="1080"/>
      <c r="U71" s="1080"/>
      <c r="V71" s="1080"/>
      <c r="W71" s="1080"/>
      <c r="X71" s="1080"/>
      <c r="Y71" s="1080"/>
      <c r="Z71" s="1080"/>
      <c r="AA71" s="1080"/>
      <c r="AB71" s="1080"/>
      <c r="AC71" s="1080"/>
    </row>
    <row r="72" spans="1:29" ht="12" hidden="1" customHeight="1">
      <c r="A72" s="1275" t="s">
        <v>890</v>
      </c>
      <c r="B72" s="1298" t="s">
        <v>832</v>
      </c>
      <c r="C72" s="1277" t="s">
        <v>839</v>
      </c>
      <c r="D72" s="1278">
        <v>2.1767594429291676E-2</v>
      </c>
      <c r="E72" s="1278">
        <v>7.2631786845381408E-2</v>
      </c>
      <c r="F72" s="1278">
        <v>2.9331786845381409E-2</v>
      </c>
      <c r="G72" s="1299">
        <v>5.3999999999999994E-3</v>
      </c>
      <c r="H72" s="1278">
        <v>5.0576488427766693E-2</v>
      </c>
      <c r="I72" s="1279">
        <v>7.2764884277666921E-3</v>
      </c>
      <c r="J72" s="1"/>
      <c r="K72" s="1"/>
      <c r="L72" s="1080"/>
      <c r="M72" s="1080"/>
      <c r="N72" s="1080"/>
      <c r="O72" s="1080"/>
      <c r="P72" s="1080"/>
      <c r="Q72" s="1080"/>
      <c r="R72" s="1080"/>
      <c r="S72" s="1080"/>
      <c r="T72" s="1080"/>
      <c r="U72" s="1080"/>
      <c r="V72" s="1080"/>
      <c r="W72" s="1080"/>
      <c r="X72" s="1080"/>
      <c r="Y72" s="1080"/>
      <c r="Z72" s="1080"/>
      <c r="AA72" s="1080"/>
      <c r="AB72" s="1080"/>
      <c r="AC72" s="1080"/>
    </row>
    <row r="73" spans="1:29" ht="12" hidden="1" customHeight="1">
      <c r="A73" s="1275" t="s">
        <v>891</v>
      </c>
      <c r="B73" s="1298" t="s">
        <v>832</v>
      </c>
      <c r="C73" s="1277" t="s">
        <v>836</v>
      </c>
      <c r="D73" s="1278">
        <v>1.885748822216712E-2</v>
      </c>
      <c r="E73" s="1278">
        <v>6.8710424967656614E-2</v>
      </c>
      <c r="F73" s="1278">
        <v>2.5410424967656622E-2</v>
      </c>
      <c r="G73" s="1299">
        <v>9.0000000000000011E-3</v>
      </c>
      <c r="H73" s="1278">
        <v>5.5427480712944489E-2</v>
      </c>
      <c r="I73" s="1279">
        <v>1.2127480712944489E-2</v>
      </c>
      <c r="J73" s="1"/>
      <c r="K73" s="1"/>
      <c r="L73" s="1080"/>
      <c r="M73" s="1080"/>
      <c r="N73" s="1080"/>
      <c r="O73" s="1080"/>
      <c r="P73" s="1080"/>
      <c r="Q73" s="1080"/>
      <c r="R73" s="1080"/>
      <c r="S73" s="1080"/>
      <c r="T73" s="1080"/>
      <c r="U73" s="1080"/>
      <c r="V73" s="1080"/>
      <c r="W73" s="1080"/>
      <c r="X73" s="1080"/>
      <c r="Y73" s="1080"/>
      <c r="Z73" s="1080"/>
      <c r="AA73" s="1080"/>
      <c r="AB73" s="1080"/>
      <c r="AC73" s="1080"/>
    </row>
    <row r="74" spans="1:29" ht="12" hidden="1" customHeight="1">
      <c r="A74" s="1275" t="s">
        <v>892</v>
      </c>
      <c r="B74" s="1298" t="s">
        <v>796</v>
      </c>
      <c r="C74" s="1277" t="s">
        <v>806</v>
      </c>
      <c r="D74" s="1278">
        <v>7.4265910405818647E-2</v>
      </c>
      <c r="E74" s="1278">
        <v>0.14337315511953655</v>
      </c>
      <c r="F74" s="1278">
        <v>0.10007315511953656</v>
      </c>
      <c r="G74" s="1299">
        <v>3.7400000000000003E-2</v>
      </c>
      <c r="H74" s="1278">
        <v>9.3696419851569318E-2</v>
      </c>
      <c r="I74" s="1279">
        <v>5.039641985156932E-2</v>
      </c>
      <c r="J74" s="1"/>
      <c r="K74" s="1"/>
      <c r="L74" s="1080"/>
      <c r="M74" s="1080"/>
      <c r="N74" s="1080"/>
      <c r="O74" s="1080"/>
      <c r="P74" s="1080"/>
      <c r="Q74" s="1080"/>
      <c r="R74" s="1080"/>
      <c r="S74" s="1080"/>
      <c r="T74" s="1080"/>
      <c r="U74" s="1080"/>
      <c r="V74" s="1080"/>
      <c r="W74" s="1080"/>
      <c r="X74" s="1080"/>
      <c r="Y74" s="1080"/>
      <c r="Z74" s="1080"/>
      <c r="AA74" s="1080"/>
      <c r="AB74" s="1080"/>
      <c r="AC74" s="1080"/>
    </row>
    <row r="75" spans="1:29" ht="12" hidden="1" customHeight="1">
      <c r="A75" s="1275" t="s">
        <v>893</v>
      </c>
      <c r="B75" s="1298" t="s">
        <v>805</v>
      </c>
      <c r="C75" s="1277" t="s">
        <v>819</v>
      </c>
      <c r="D75" s="1278">
        <v>5.9366166625340932E-3</v>
      </c>
      <c r="E75" s="1278">
        <v>5.1299578230558564E-2</v>
      </c>
      <c r="F75" s="1278">
        <v>7.9995782305585655E-3</v>
      </c>
      <c r="G75" s="1299">
        <v>0</v>
      </c>
      <c r="H75" s="1278">
        <v>4.3299999999999998E-2</v>
      </c>
      <c r="I75" s="1279">
        <v>0</v>
      </c>
      <c r="J75" s="1"/>
      <c r="K75" s="1"/>
      <c r="L75" s="1080"/>
      <c r="M75" s="1080"/>
      <c r="N75" s="1080"/>
      <c r="O75" s="1080"/>
      <c r="P75" s="1080"/>
      <c r="Q75" s="1080"/>
      <c r="R75" s="1080"/>
      <c r="S75" s="1080"/>
      <c r="T75" s="1080"/>
      <c r="U75" s="1080"/>
      <c r="V75" s="1080"/>
      <c r="W75" s="1080"/>
      <c r="X75" s="1080"/>
      <c r="Y75" s="1080"/>
      <c r="Z75" s="1080"/>
      <c r="AA75" s="1080"/>
      <c r="AB75" s="1080"/>
      <c r="AC75" s="1080"/>
    </row>
    <row r="76" spans="1:29" ht="12" hidden="1" customHeight="1">
      <c r="A76" s="1275" t="s">
        <v>894</v>
      </c>
      <c r="B76" s="1298" t="s">
        <v>805</v>
      </c>
      <c r="C76" s="1277" t="s">
        <v>819</v>
      </c>
      <c r="D76" s="1278">
        <v>5.9366166625340932E-3</v>
      </c>
      <c r="E76" s="1278">
        <v>5.1299578230558564E-2</v>
      </c>
      <c r="F76" s="1278">
        <v>7.9995782305585655E-3</v>
      </c>
      <c r="G76" s="1299" t="s">
        <v>113</v>
      </c>
      <c r="H76" s="1278" t="s">
        <v>113</v>
      </c>
      <c r="I76" s="1279" t="s">
        <v>113</v>
      </c>
      <c r="J76" s="1"/>
      <c r="K76" s="1"/>
      <c r="L76" s="1080"/>
      <c r="M76" s="1080"/>
      <c r="N76" s="1080"/>
      <c r="O76" s="1080"/>
      <c r="P76" s="1080"/>
      <c r="Q76" s="1080"/>
      <c r="R76" s="1080"/>
      <c r="S76" s="1080"/>
      <c r="T76" s="1080"/>
      <c r="U76" s="1080"/>
      <c r="V76" s="1080"/>
      <c r="W76" s="1080"/>
      <c r="X76" s="1080"/>
      <c r="Y76" s="1080"/>
      <c r="Z76" s="1080"/>
      <c r="AA76" s="1080"/>
      <c r="AB76" s="1080"/>
      <c r="AC76" s="1080"/>
    </row>
    <row r="77" spans="1:29" ht="12" hidden="1" customHeight="1">
      <c r="A77" s="1275" t="s">
        <v>895</v>
      </c>
      <c r="B77" s="1298" t="s">
        <v>796</v>
      </c>
      <c r="C77" s="1277" t="s">
        <v>818</v>
      </c>
      <c r="D77" s="1278">
        <v>1.5830977766757577E-2</v>
      </c>
      <c r="E77" s="1278">
        <v>6.4632208614822828E-2</v>
      </c>
      <c r="F77" s="1278">
        <v>2.1332208614822837E-2</v>
      </c>
      <c r="G77" s="1299">
        <v>1.03E-2</v>
      </c>
      <c r="H77" s="1278">
        <v>5.7179227927036468E-2</v>
      </c>
      <c r="I77" s="1279">
        <v>1.3879227927036471E-2</v>
      </c>
      <c r="J77" s="1"/>
      <c r="K77" s="1"/>
      <c r="L77" s="1080"/>
      <c r="M77" s="1080"/>
      <c r="N77" s="1080"/>
      <c r="O77" s="1080"/>
      <c r="P77" s="1080"/>
      <c r="Q77" s="1080"/>
      <c r="R77" s="1080"/>
      <c r="S77" s="1080"/>
      <c r="T77" s="1080"/>
      <c r="U77" s="1080"/>
      <c r="V77" s="1080"/>
      <c r="W77" s="1080"/>
      <c r="X77" s="1080"/>
      <c r="Y77" s="1080"/>
      <c r="Z77" s="1080"/>
      <c r="AA77" s="1080"/>
      <c r="AB77" s="1080"/>
      <c r="AC77" s="1080"/>
    </row>
    <row r="78" spans="1:29" ht="12" hidden="1" customHeight="1">
      <c r="A78" s="1275" t="s">
        <v>896</v>
      </c>
      <c r="B78" s="1298" t="s">
        <v>805</v>
      </c>
      <c r="C78" s="1277" t="s">
        <v>839</v>
      </c>
      <c r="D78" s="1278">
        <v>2.1767594429291676E-2</v>
      </c>
      <c r="E78" s="1278">
        <v>7.2631786845381408E-2</v>
      </c>
      <c r="F78" s="1278">
        <v>2.9331786845381409E-2</v>
      </c>
      <c r="G78" s="1299">
        <v>7.6999999999999994E-3</v>
      </c>
      <c r="H78" s="1278">
        <v>5.3675733498852504E-2</v>
      </c>
      <c r="I78" s="1279">
        <v>1.0375733498852506E-2</v>
      </c>
      <c r="J78" s="1"/>
      <c r="K78" s="1"/>
      <c r="L78" s="1080"/>
      <c r="M78" s="1080"/>
      <c r="N78" s="1080"/>
      <c r="O78" s="1080"/>
      <c r="P78" s="1080"/>
      <c r="Q78" s="1080"/>
      <c r="R78" s="1080"/>
      <c r="S78" s="1080"/>
      <c r="T78" s="1080"/>
      <c r="U78" s="1080"/>
      <c r="V78" s="1080"/>
      <c r="W78" s="1080"/>
      <c r="X78" s="1080"/>
      <c r="Y78" s="1080"/>
      <c r="Z78" s="1080"/>
      <c r="AA78" s="1080"/>
      <c r="AB78" s="1080"/>
      <c r="AC78" s="1080"/>
    </row>
    <row r="79" spans="1:29" ht="12" hidden="1" customHeight="1">
      <c r="A79" s="1275" t="s">
        <v>897</v>
      </c>
      <c r="B79" s="1298" t="s">
        <v>817</v>
      </c>
      <c r="C79" s="1277" t="s">
        <v>802</v>
      </c>
      <c r="D79" s="1278">
        <v>4.4582827093148182E-2</v>
      </c>
      <c r="E79" s="1278">
        <v>0.10337526396674374</v>
      </c>
      <c r="F79" s="1278">
        <v>6.007526396674373E-2</v>
      </c>
      <c r="G79" s="1299" t="s">
        <v>113</v>
      </c>
      <c r="H79" s="1278" t="s">
        <v>113</v>
      </c>
      <c r="I79" s="1279" t="s">
        <v>113</v>
      </c>
      <c r="J79" s="1"/>
      <c r="K79" s="1"/>
      <c r="L79" s="1080"/>
      <c r="M79" s="1080"/>
      <c r="N79" s="1080"/>
      <c r="O79" s="1080"/>
      <c r="P79" s="1080"/>
      <c r="Q79" s="1080"/>
      <c r="R79" s="1080"/>
      <c r="S79" s="1080"/>
      <c r="T79" s="1080"/>
      <c r="U79" s="1080"/>
      <c r="V79" s="1080"/>
      <c r="W79" s="1080"/>
      <c r="X79" s="1080"/>
      <c r="Y79" s="1080"/>
      <c r="Z79" s="1080"/>
      <c r="AA79" s="1080"/>
      <c r="AB79" s="1080"/>
      <c r="AC79" s="1080"/>
    </row>
    <row r="80" spans="1:29" ht="12" hidden="1" customHeight="1">
      <c r="A80" s="1275" t="s">
        <v>898</v>
      </c>
      <c r="B80" s="1298" t="s">
        <v>832</v>
      </c>
      <c r="C80" s="1277" t="s">
        <v>803</v>
      </c>
      <c r="D80" s="1278">
        <v>6.9842548970989338E-3</v>
      </c>
      <c r="E80" s="1278">
        <v>5.271126850653949E-2</v>
      </c>
      <c r="F80" s="1278">
        <v>9.4112685065394896E-3</v>
      </c>
      <c r="G80" s="1299">
        <v>0</v>
      </c>
      <c r="H80" s="1278">
        <v>4.3299999999999998E-2</v>
      </c>
      <c r="I80" s="1279">
        <v>0</v>
      </c>
      <c r="J80" s="1"/>
      <c r="K80" s="1"/>
      <c r="L80" s="1080"/>
      <c r="M80" s="1080"/>
      <c r="N80" s="1080"/>
      <c r="O80" s="1080"/>
      <c r="P80" s="1080"/>
      <c r="Q80" s="1080"/>
      <c r="R80" s="1080"/>
      <c r="S80" s="1080"/>
      <c r="T80" s="1080"/>
      <c r="U80" s="1080"/>
      <c r="V80" s="1080"/>
      <c r="W80" s="1080"/>
      <c r="X80" s="1080"/>
      <c r="Y80" s="1080"/>
      <c r="Z80" s="1080"/>
      <c r="AA80" s="1080"/>
      <c r="AB80" s="1080"/>
      <c r="AC80" s="1080"/>
    </row>
    <row r="81" spans="1:29" ht="12" hidden="1" customHeight="1">
      <c r="A81" s="1275" t="s">
        <v>899</v>
      </c>
      <c r="B81" s="1298" t="s">
        <v>805</v>
      </c>
      <c r="C81" s="1277" t="s">
        <v>797</v>
      </c>
      <c r="D81" s="1278">
        <v>4.8889784279692525E-3</v>
      </c>
      <c r="E81" s="1278">
        <v>4.9887887954577638E-2</v>
      </c>
      <c r="F81" s="1278">
        <v>6.5878879545776415E-3</v>
      </c>
      <c r="G81" s="1299" t="s">
        <v>113</v>
      </c>
      <c r="H81" s="1278" t="s">
        <v>113</v>
      </c>
      <c r="I81" s="1279" t="s">
        <v>113</v>
      </c>
      <c r="J81" s="1"/>
      <c r="K81" s="1"/>
      <c r="L81" s="1080"/>
      <c r="M81" s="1080"/>
      <c r="N81" s="1080"/>
      <c r="O81" s="1080"/>
      <c r="P81" s="1080"/>
      <c r="Q81" s="1080"/>
      <c r="R81" s="1080"/>
      <c r="S81" s="1080"/>
      <c r="T81" s="1080"/>
      <c r="U81" s="1080"/>
      <c r="V81" s="1080"/>
      <c r="W81" s="1080"/>
      <c r="X81" s="1080"/>
      <c r="Y81" s="1080"/>
      <c r="Z81" s="1080"/>
      <c r="AA81" s="1080"/>
      <c r="AB81" s="1080"/>
      <c r="AC81" s="1080"/>
    </row>
    <row r="82" spans="1:29" ht="12" hidden="1" customHeight="1">
      <c r="A82" s="1275" t="s">
        <v>900</v>
      </c>
      <c r="B82" s="1298" t="s">
        <v>796</v>
      </c>
      <c r="C82" s="1277" t="s">
        <v>815</v>
      </c>
      <c r="D82" s="1278">
        <v>3.5619699975204554E-2</v>
      </c>
      <c r="E82" s="1278">
        <v>9.1297469383351385E-2</v>
      </c>
      <c r="F82" s="1278">
        <v>4.7997469383351386E-2</v>
      </c>
      <c r="G82" s="1299" t="s">
        <v>113</v>
      </c>
      <c r="H82" s="1278" t="s">
        <v>113</v>
      </c>
      <c r="I82" s="1279" t="s">
        <v>113</v>
      </c>
      <c r="J82" s="1"/>
      <c r="K82" s="1"/>
      <c r="L82" s="1080"/>
      <c r="M82" s="1080"/>
      <c r="N82" s="1080"/>
      <c r="O82" s="1080"/>
      <c r="P82" s="1080"/>
      <c r="Q82" s="1080"/>
      <c r="R82" s="1080"/>
      <c r="S82" s="1080"/>
      <c r="T82" s="1080"/>
      <c r="U82" s="1080"/>
      <c r="V82" s="1080"/>
      <c r="W82" s="1080"/>
      <c r="X82" s="1080"/>
      <c r="Y82" s="1080"/>
      <c r="Z82" s="1080"/>
      <c r="AA82" s="1080"/>
      <c r="AB82" s="1080"/>
      <c r="AC82" s="1080"/>
    </row>
    <row r="83" spans="1:29" ht="12" hidden="1" customHeight="1">
      <c r="A83" s="1275" t="s">
        <v>901</v>
      </c>
      <c r="B83" s="1298" t="s">
        <v>801</v>
      </c>
      <c r="C83" s="1277" t="s">
        <v>818</v>
      </c>
      <c r="D83" s="1278">
        <v>1.5830977766757577E-2</v>
      </c>
      <c r="E83" s="1278">
        <v>6.4632208614822828E-2</v>
      </c>
      <c r="F83" s="1278">
        <v>2.1332208614822837E-2</v>
      </c>
      <c r="G83" s="1299">
        <v>9.499999999999998E-3</v>
      </c>
      <c r="H83" s="1278">
        <v>5.6101229641441402E-2</v>
      </c>
      <c r="I83" s="1279">
        <v>1.2801229641441403E-2</v>
      </c>
      <c r="J83" s="1"/>
      <c r="K83" s="1"/>
      <c r="L83" s="1080"/>
      <c r="M83" s="1080"/>
      <c r="N83" s="1080"/>
      <c r="O83" s="1080"/>
      <c r="P83" s="1080"/>
      <c r="Q83" s="1080"/>
      <c r="R83" s="1080"/>
      <c r="S83" s="1080"/>
      <c r="T83" s="1080"/>
      <c r="U83" s="1080"/>
      <c r="V83" s="1080"/>
      <c r="W83" s="1080"/>
      <c r="X83" s="1080"/>
      <c r="Y83" s="1080"/>
      <c r="Z83" s="1080"/>
      <c r="AA83" s="1080"/>
      <c r="AB83" s="1080"/>
      <c r="AC83" s="1080"/>
    </row>
    <row r="84" spans="1:29" ht="12" hidden="1" customHeight="1">
      <c r="A84" s="1275" t="s">
        <v>902</v>
      </c>
      <c r="B84" s="1298" t="s">
        <v>786</v>
      </c>
      <c r="C84" s="1277" t="s">
        <v>806</v>
      </c>
      <c r="D84" s="1278">
        <v>7.4265910405818647E-2</v>
      </c>
      <c r="E84" s="1278">
        <v>0.14337315511953655</v>
      </c>
      <c r="F84" s="1278">
        <v>0.10007315511953656</v>
      </c>
      <c r="G84" s="1299">
        <v>5.5100000000000003E-2</v>
      </c>
      <c r="H84" s="1278">
        <v>0.11754713192036015</v>
      </c>
      <c r="I84" s="1279">
        <v>7.4247131920360157E-2</v>
      </c>
      <c r="J84" s="1"/>
      <c r="K84" s="1"/>
      <c r="L84" s="1080"/>
      <c r="M84" s="1080"/>
      <c r="N84" s="1080"/>
      <c r="O84" s="1080"/>
      <c r="P84" s="1080"/>
      <c r="Q84" s="1080"/>
      <c r="R84" s="1080"/>
      <c r="S84" s="1080"/>
      <c r="T84" s="1080"/>
      <c r="U84" s="1080"/>
      <c r="V84" s="1080"/>
      <c r="W84" s="1080"/>
      <c r="X84" s="1080"/>
      <c r="Y84" s="1080"/>
      <c r="Z84" s="1080"/>
      <c r="AA84" s="1080"/>
      <c r="AB84" s="1080"/>
      <c r="AC84" s="1080"/>
    </row>
    <row r="85" spans="1:29" ht="12" hidden="1" customHeight="1">
      <c r="A85" s="1275" t="s">
        <v>903</v>
      </c>
      <c r="B85" s="1298" t="s">
        <v>832</v>
      </c>
      <c r="C85" s="1277" t="s">
        <v>797</v>
      </c>
      <c r="D85" s="1278">
        <v>4.8889784279692525E-3</v>
      </c>
      <c r="E85" s="1278">
        <v>4.9887887954577638E-2</v>
      </c>
      <c r="F85" s="1278">
        <v>6.5878879545776415E-3</v>
      </c>
      <c r="G85" s="1299">
        <v>6.9999999999999923E-4</v>
      </c>
      <c r="H85" s="1278">
        <v>4.4243248499895679E-2</v>
      </c>
      <c r="I85" s="1279">
        <v>9.4324849989568143E-4</v>
      </c>
      <c r="J85" s="1"/>
      <c r="K85" s="1"/>
      <c r="L85" s="1080"/>
      <c r="M85" s="1080"/>
      <c r="N85" s="1080"/>
      <c r="O85" s="1080"/>
      <c r="P85" s="1080"/>
      <c r="Q85" s="1080"/>
      <c r="R85" s="1080"/>
      <c r="S85" s="1080"/>
      <c r="T85" s="1080"/>
      <c r="U85" s="1080"/>
      <c r="V85" s="1080"/>
      <c r="W85" s="1080"/>
      <c r="X85" s="1080"/>
      <c r="Y85" s="1080"/>
      <c r="Z85" s="1080"/>
      <c r="AA85" s="1080"/>
      <c r="AB85" s="1080"/>
      <c r="AC85" s="1080"/>
    </row>
    <row r="86" spans="1:29" ht="12" hidden="1" customHeight="1">
      <c r="A86" s="1275" t="s">
        <v>904</v>
      </c>
      <c r="B86" s="1298" t="s">
        <v>796</v>
      </c>
      <c r="C86" s="1277" t="s">
        <v>803</v>
      </c>
      <c r="D86" s="1278">
        <v>6.9842548970989338E-3</v>
      </c>
      <c r="E86" s="1278">
        <v>5.271126850653949E-2</v>
      </c>
      <c r="F86" s="1278">
        <v>9.4112685065394896E-3</v>
      </c>
      <c r="G86" s="1299">
        <v>5.3E-3</v>
      </c>
      <c r="H86" s="1278">
        <v>5.0441738642067309E-2</v>
      </c>
      <c r="I86" s="1279">
        <v>7.1417386420673098E-3</v>
      </c>
      <c r="J86" s="1"/>
      <c r="K86" s="1"/>
      <c r="L86" s="1080"/>
      <c r="M86" s="1080"/>
      <c r="N86" s="1080"/>
      <c r="O86" s="1080"/>
      <c r="P86" s="1080"/>
      <c r="Q86" s="1080"/>
      <c r="R86" s="1080"/>
      <c r="S86" s="1080"/>
      <c r="T86" s="1080"/>
      <c r="U86" s="1080"/>
      <c r="V86" s="1080"/>
      <c r="W86" s="1080"/>
      <c r="X86" s="1080"/>
      <c r="Y86" s="1080"/>
      <c r="Z86" s="1080"/>
      <c r="AA86" s="1080"/>
      <c r="AB86" s="1080"/>
      <c r="AC86" s="1080"/>
    </row>
    <row r="87" spans="1:29" ht="12" hidden="1" customHeight="1">
      <c r="A87" s="1275" t="s">
        <v>905</v>
      </c>
      <c r="B87" s="1298" t="s">
        <v>801</v>
      </c>
      <c r="C87" s="1277" t="s">
        <v>828</v>
      </c>
      <c r="D87" s="1278">
        <v>6.4371549301595152E-2</v>
      </c>
      <c r="E87" s="1278">
        <v>0.13004052473527228</v>
      </c>
      <c r="F87" s="1278">
        <v>8.6740524735272273E-2</v>
      </c>
      <c r="G87" s="1299" t="s">
        <v>113</v>
      </c>
      <c r="H87" s="1278" t="s">
        <v>113</v>
      </c>
      <c r="I87" s="1279" t="s">
        <v>113</v>
      </c>
      <c r="J87" s="1"/>
      <c r="K87" s="1"/>
      <c r="L87" s="1080"/>
      <c r="M87" s="1080"/>
      <c r="N87" s="1080"/>
      <c r="O87" s="1080"/>
      <c r="P87" s="1080"/>
      <c r="Q87" s="1080"/>
      <c r="R87" s="1080"/>
      <c r="S87" s="1080"/>
      <c r="T87" s="1080"/>
      <c r="U87" s="1080"/>
      <c r="V87" s="1080"/>
      <c r="W87" s="1080"/>
      <c r="X87" s="1080"/>
      <c r="Y87" s="1080"/>
      <c r="Z87" s="1080"/>
      <c r="AA87" s="1080"/>
      <c r="AB87" s="1080"/>
      <c r="AC87" s="1080"/>
    </row>
    <row r="88" spans="1:29" ht="12" hidden="1" customHeight="1">
      <c r="A88" s="1275" t="s">
        <v>906</v>
      </c>
      <c r="B88" s="1298" t="s">
        <v>832</v>
      </c>
      <c r="C88" s="1277" t="s">
        <v>838</v>
      </c>
      <c r="D88" s="1278">
        <v>9.9060015290519873E-2</v>
      </c>
      <c r="E88" s="1278">
        <v>0.17678315831775177</v>
      </c>
      <c r="F88" s="1278">
        <v>0.13348315831775176</v>
      </c>
      <c r="G88" s="1299" t="s">
        <v>113</v>
      </c>
      <c r="H88" s="1278" t="s">
        <v>113</v>
      </c>
      <c r="I88" s="1279" t="s">
        <v>113</v>
      </c>
      <c r="J88" s="1"/>
      <c r="K88" s="1"/>
      <c r="L88" s="1080"/>
      <c r="M88" s="1080"/>
      <c r="N88" s="1080"/>
      <c r="O88" s="1080"/>
      <c r="P88" s="1080"/>
      <c r="Q88" s="1080"/>
      <c r="R88" s="1080"/>
      <c r="S88" s="1080"/>
      <c r="T88" s="1080"/>
      <c r="U88" s="1080"/>
      <c r="V88" s="1080"/>
      <c r="W88" s="1080"/>
      <c r="X88" s="1080"/>
      <c r="Y88" s="1080"/>
      <c r="Z88" s="1080"/>
      <c r="AA88" s="1080"/>
      <c r="AB88" s="1080"/>
      <c r="AC88" s="1080"/>
    </row>
    <row r="89" spans="1:29" ht="12" hidden="1" customHeight="1">
      <c r="A89" s="1275" t="s">
        <v>907</v>
      </c>
      <c r="B89" s="1298" t="s">
        <v>801</v>
      </c>
      <c r="C89" s="1277" t="s">
        <v>809</v>
      </c>
      <c r="D89" s="1278">
        <v>1.1873233325068186E-2</v>
      </c>
      <c r="E89" s="1278">
        <v>5.9299156461117129E-2</v>
      </c>
      <c r="F89" s="1278">
        <v>1.5999156461117131E-2</v>
      </c>
      <c r="G89" s="1299">
        <v>4.4000000000000003E-3</v>
      </c>
      <c r="H89" s="1278">
        <v>4.922899057077286E-2</v>
      </c>
      <c r="I89" s="1279">
        <v>5.9289905707728616E-3</v>
      </c>
      <c r="J89" s="1"/>
      <c r="K89" s="1"/>
      <c r="L89" s="1080"/>
      <c r="M89" s="1080"/>
      <c r="N89" s="1080"/>
      <c r="O89" s="1080"/>
      <c r="P89" s="1080"/>
      <c r="Q89" s="1080"/>
      <c r="R89" s="1080"/>
      <c r="S89" s="1080"/>
      <c r="T89" s="1080"/>
      <c r="U89" s="1080"/>
      <c r="V89" s="1080"/>
      <c r="W89" s="1080"/>
      <c r="X89" s="1080"/>
      <c r="Y89" s="1080"/>
      <c r="Z89" s="1080"/>
      <c r="AA89" s="1080"/>
      <c r="AB89" s="1080"/>
      <c r="AC89" s="1080"/>
    </row>
    <row r="90" spans="1:29" ht="12" hidden="1" customHeight="1">
      <c r="A90" s="1275" t="s">
        <v>908</v>
      </c>
      <c r="B90" s="1298" t="s">
        <v>796</v>
      </c>
      <c r="C90" s="1277" t="s">
        <v>38</v>
      </c>
      <c r="D90" s="1278">
        <v>0.17499999999999999</v>
      </c>
      <c r="E90" s="1278">
        <v>0.27911212497392057</v>
      </c>
      <c r="F90" s="1278">
        <v>0.23581212497392059</v>
      </c>
      <c r="G90" s="1299" t="s">
        <v>113</v>
      </c>
      <c r="H90" s="1278" t="s">
        <v>113</v>
      </c>
      <c r="I90" s="1279" t="s">
        <v>113</v>
      </c>
      <c r="J90" s="1"/>
      <c r="K90" s="1"/>
      <c r="L90" s="1080"/>
      <c r="M90" s="1080"/>
      <c r="N90" s="1080"/>
      <c r="O90" s="1080"/>
      <c r="P90" s="1080"/>
      <c r="Q90" s="1080"/>
      <c r="R90" s="1080"/>
      <c r="S90" s="1080"/>
      <c r="T90" s="1080"/>
      <c r="U90" s="1080"/>
      <c r="V90" s="1080"/>
      <c r="W90" s="1080"/>
      <c r="X90" s="1080"/>
      <c r="Y90" s="1080"/>
      <c r="Z90" s="1080"/>
      <c r="AA90" s="1080"/>
      <c r="AB90" s="1080"/>
      <c r="AC90" s="1080"/>
    </row>
    <row r="91" spans="1:29" ht="12" hidden="1" customHeight="1">
      <c r="A91" s="1275" t="s">
        <v>909</v>
      </c>
      <c r="B91" s="1298" t="s">
        <v>805</v>
      </c>
      <c r="C91" s="1277" t="s">
        <v>822</v>
      </c>
      <c r="D91" s="1278">
        <v>0</v>
      </c>
      <c r="E91" s="1278">
        <v>4.3299999999999998E-2</v>
      </c>
      <c r="F91" s="1278">
        <v>0</v>
      </c>
      <c r="G91" s="1299" t="s">
        <v>113</v>
      </c>
      <c r="H91" s="1278" t="s">
        <v>113</v>
      </c>
      <c r="I91" s="1279" t="s">
        <v>113</v>
      </c>
      <c r="J91" s="1"/>
      <c r="K91" s="1"/>
      <c r="L91" s="1080"/>
      <c r="M91" s="1080"/>
      <c r="N91" s="1080"/>
      <c r="O91" s="1080"/>
      <c r="P91" s="1080"/>
      <c r="Q91" s="1080"/>
      <c r="R91" s="1080"/>
      <c r="S91" s="1080"/>
      <c r="T91" s="1080"/>
      <c r="U91" s="1080"/>
      <c r="V91" s="1080"/>
      <c r="W91" s="1080"/>
      <c r="X91" s="1080"/>
      <c r="Y91" s="1080"/>
      <c r="Z91" s="1080"/>
      <c r="AA91" s="1080"/>
      <c r="AB91" s="1080"/>
      <c r="AC91" s="1080"/>
    </row>
    <row r="92" spans="1:29" ht="12" hidden="1" customHeight="1">
      <c r="A92" s="1275" t="s">
        <v>910</v>
      </c>
      <c r="B92" s="1298" t="s">
        <v>801</v>
      </c>
      <c r="C92" s="1277" t="s">
        <v>807</v>
      </c>
      <c r="D92" s="1278">
        <v>8.3811058765187203E-3</v>
      </c>
      <c r="E92" s="1278">
        <v>5.4593522207847384E-2</v>
      </c>
      <c r="F92" s="1278">
        <v>1.1293522207847389E-2</v>
      </c>
      <c r="G92" s="1299">
        <v>5.4999999999999988E-3</v>
      </c>
      <c r="H92" s="1278">
        <v>5.071123821346607E-2</v>
      </c>
      <c r="I92" s="1279">
        <v>7.4112382134660744E-3</v>
      </c>
      <c r="J92" s="1"/>
      <c r="K92" s="1"/>
      <c r="L92" s="1080"/>
      <c r="M92" s="1080"/>
      <c r="N92" s="1080"/>
      <c r="O92" s="1080"/>
      <c r="P92" s="1080"/>
      <c r="Q92" s="1080"/>
      <c r="R92" s="1080"/>
      <c r="S92" s="1080"/>
      <c r="T92" s="1080"/>
      <c r="U92" s="1080"/>
      <c r="V92" s="1080"/>
      <c r="W92" s="1080"/>
      <c r="X92" s="1080"/>
      <c r="Y92" s="1080"/>
      <c r="Z92" s="1080"/>
      <c r="AA92" s="1080"/>
      <c r="AB92" s="1080"/>
      <c r="AC92" s="1080"/>
    </row>
    <row r="93" spans="1:29" ht="12" hidden="1" customHeight="1">
      <c r="A93" s="1275" t="s">
        <v>911</v>
      </c>
      <c r="B93" s="1298" t="s">
        <v>805</v>
      </c>
      <c r="C93" s="1277" t="s">
        <v>822</v>
      </c>
      <c r="D93" s="1278">
        <v>0</v>
      </c>
      <c r="E93" s="1278">
        <v>4.3299999999999998E-2</v>
      </c>
      <c r="F93" s="1278">
        <v>0</v>
      </c>
      <c r="G93" s="1299" t="s">
        <v>113</v>
      </c>
      <c r="H93" s="1278" t="s">
        <v>113</v>
      </c>
      <c r="I93" s="1279" t="s">
        <v>113</v>
      </c>
      <c r="J93" s="1"/>
      <c r="K93" s="1"/>
      <c r="L93" s="1080"/>
      <c r="M93" s="1080"/>
      <c r="N93" s="1080"/>
      <c r="O93" s="1080"/>
      <c r="P93" s="1080"/>
      <c r="Q93" s="1080"/>
      <c r="R93" s="1080"/>
      <c r="S93" s="1080"/>
      <c r="T93" s="1080"/>
      <c r="U93" s="1080"/>
      <c r="V93" s="1080"/>
      <c r="W93" s="1080"/>
      <c r="X93" s="1080"/>
      <c r="Y93" s="1080"/>
      <c r="Z93" s="1080"/>
      <c r="AA93" s="1080"/>
      <c r="AB93" s="1080"/>
      <c r="AC93" s="1080"/>
    </row>
    <row r="94" spans="1:29" ht="12" hidden="1" customHeight="1">
      <c r="A94" s="1275" t="s">
        <v>912</v>
      </c>
      <c r="B94" s="1298" t="s">
        <v>832</v>
      </c>
      <c r="C94" s="1277" t="s">
        <v>819</v>
      </c>
      <c r="D94" s="1278">
        <v>5.9366166625340932E-3</v>
      </c>
      <c r="E94" s="1278">
        <v>5.1299578230558564E-2</v>
      </c>
      <c r="F94" s="1278">
        <v>7.9995782305585655E-3</v>
      </c>
      <c r="G94" s="1299" t="s">
        <v>113</v>
      </c>
      <c r="H94" s="1278" t="s">
        <v>113</v>
      </c>
      <c r="I94" s="1279" t="s">
        <v>113</v>
      </c>
      <c r="J94" s="1"/>
      <c r="K94" s="1"/>
      <c r="L94" s="1080"/>
      <c r="M94" s="1080"/>
      <c r="N94" s="1080"/>
      <c r="O94" s="1080"/>
      <c r="P94" s="1080"/>
      <c r="Q94" s="1080"/>
      <c r="R94" s="1080"/>
      <c r="S94" s="1080"/>
      <c r="T94" s="1080"/>
      <c r="U94" s="1080"/>
      <c r="V94" s="1080"/>
      <c r="W94" s="1080"/>
      <c r="X94" s="1080"/>
      <c r="Y94" s="1080"/>
      <c r="Z94" s="1080"/>
      <c r="AA94" s="1080"/>
      <c r="AB94" s="1080"/>
      <c r="AC94" s="1080"/>
    </row>
    <row r="95" spans="1:29" ht="12" hidden="1" customHeight="1">
      <c r="A95" s="1275" t="s">
        <v>913</v>
      </c>
      <c r="B95" s="1298" t="s">
        <v>801</v>
      </c>
      <c r="C95" s="1277" t="s">
        <v>815</v>
      </c>
      <c r="D95" s="1278">
        <v>3.5619699975204554E-2</v>
      </c>
      <c r="E95" s="1278">
        <v>9.1297469383351385E-2</v>
      </c>
      <c r="F95" s="1278">
        <v>4.7997469383351386E-2</v>
      </c>
      <c r="G95" s="1299" t="s">
        <v>113</v>
      </c>
      <c r="H95" s="1278" t="s">
        <v>113</v>
      </c>
      <c r="I95" s="1279" t="s">
        <v>113</v>
      </c>
      <c r="J95" s="1"/>
      <c r="K95" s="1"/>
      <c r="L95" s="1080"/>
      <c r="M95" s="1080"/>
      <c r="N95" s="1080"/>
      <c r="O95" s="1080"/>
      <c r="P95" s="1080"/>
      <c r="Q95" s="1080"/>
      <c r="R95" s="1080"/>
      <c r="S95" s="1080"/>
      <c r="T95" s="1080"/>
      <c r="U95" s="1080"/>
      <c r="V95" s="1080"/>
      <c r="W95" s="1080"/>
      <c r="X95" s="1080"/>
      <c r="Y95" s="1080"/>
      <c r="Z95" s="1080"/>
      <c r="AA95" s="1080"/>
      <c r="AB95" s="1080"/>
      <c r="AC95" s="1080"/>
    </row>
    <row r="96" spans="1:29" ht="12" hidden="1" customHeight="1">
      <c r="A96" s="1275" t="s">
        <v>914</v>
      </c>
      <c r="B96" s="1298" t="s">
        <v>832</v>
      </c>
      <c r="C96" s="1277" t="s">
        <v>809</v>
      </c>
      <c r="D96" s="1278">
        <v>1.1873233325068186E-2</v>
      </c>
      <c r="E96" s="1278">
        <v>5.9299156461117129E-2</v>
      </c>
      <c r="F96" s="1278">
        <v>1.5999156461117131E-2</v>
      </c>
      <c r="G96" s="1299">
        <v>4.4000000000000003E-3</v>
      </c>
      <c r="H96" s="1278">
        <v>4.922899057077286E-2</v>
      </c>
      <c r="I96" s="1279">
        <v>5.9289905707728616E-3</v>
      </c>
      <c r="J96" s="1"/>
      <c r="K96" s="1"/>
      <c r="L96" s="1080"/>
      <c r="M96" s="1080"/>
      <c r="N96" s="1080"/>
      <c r="O96" s="1080"/>
      <c r="P96" s="1080"/>
      <c r="Q96" s="1080"/>
      <c r="R96" s="1080"/>
      <c r="S96" s="1080"/>
      <c r="T96" s="1080"/>
      <c r="U96" s="1080"/>
      <c r="V96" s="1080"/>
      <c r="W96" s="1080"/>
      <c r="X96" s="1080"/>
      <c r="Y96" s="1080"/>
      <c r="Z96" s="1080"/>
      <c r="AA96" s="1080"/>
      <c r="AB96" s="1080"/>
      <c r="AC96" s="1080"/>
    </row>
    <row r="97" spans="1:29" ht="12" hidden="1" customHeight="1">
      <c r="A97" s="1275" t="s">
        <v>915</v>
      </c>
      <c r="B97" s="1298" t="s">
        <v>832</v>
      </c>
      <c r="C97" s="1277" t="s">
        <v>860</v>
      </c>
      <c r="D97" s="1278">
        <v>8.9165654186296364E-2</v>
      </c>
      <c r="E97" s="1278">
        <v>0.16345052793348747</v>
      </c>
      <c r="F97" s="1278">
        <v>0.12015052793348746</v>
      </c>
      <c r="G97" s="1299" t="s">
        <v>113</v>
      </c>
      <c r="H97" s="1278" t="s">
        <v>113</v>
      </c>
      <c r="I97" s="1279" t="s">
        <v>113</v>
      </c>
      <c r="J97" s="1"/>
      <c r="K97" s="1"/>
      <c r="L97" s="1080"/>
      <c r="M97" s="1080"/>
      <c r="N97" s="1080"/>
      <c r="O97" s="1080"/>
      <c r="P97" s="1080"/>
      <c r="Q97" s="1080"/>
      <c r="R97" s="1080"/>
      <c r="S97" s="1080"/>
      <c r="T97" s="1080"/>
      <c r="U97" s="1080"/>
      <c r="V97" s="1080"/>
      <c r="W97" s="1080"/>
      <c r="X97" s="1080"/>
      <c r="Y97" s="1080"/>
      <c r="Z97" s="1080"/>
      <c r="AA97" s="1080"/>
      <c r="AB97" s="1080"/>
      <c r="AC97" s="1080"/>
    </row>
    <row r="98" spans="1:29" ht="12" hidden="1" customHeight="1">
      <c r="A98" s="1275" t="s">
        <v>916</v>
      </c>
      <c r="B98" s="1298" t="s">
        <v>786</v>
      </c>
      <c r="C98" s="1277" t="s">
        <v>860</v>
      </c>
      <c r="D98" s="1278">
        <v>8.9165654186296364E-2</v>
      </c>
      <c r="E98" s="1278">
        <v>0.16345052793348747</v>
      </c>
      <c r="F98" s="1278">
        <v>0.12015052793348746</v>
      </c>
      <c r="G98" s="1299" t="s">
        <v>113</v>
      </c>
      <c r="H98" s="1278" t="s">
        <v>113</v>
      </c>
      <c r="I98" s="1279" t="s">
        <v>113</v>
      </c>
      <c r="J98" s="1"/>
      <c r="K98" s="1"/>
      <c r="L98" s="1080"/>
      <c r="M98" s="1080"/>
      <c r="N98" s="1080"/>
      <c r="O98" s="1080"/>
      <c r="P98" s="1080"/>
      <c r="Q98" s="1080"/>
      <c r="R98" s="1080"/>
      <c r="S98" s="1080"/>
      <c r="T98" s="1080"/>
      <c r="U98" s="1080"/>
      <c r="V98" s="1080"/>
      <c r="W98" s="1080"/>
      <c r="X98" s="1080"/>
      <c r="Y98" s="1080"/>
      <c r="Z98" s="1080"/>
      <c r="AA98" s="1080"/>
      <c r="AB98" s="1080"/>
      <c r="AC98" s="1080"/>
    </row>
    <row r="99" spans="1:29" ht="12" hidden="1" customHeight="1">
      <c r="A99" s="1275" t="s">
        <v>917</v>
      </c>
      <c r="B99" s="1298" t="s">
        <v>805</v>
      </c>
      <c r="C99" s="1277" t="s">
        <v>807</v>
      </c>
      <c r="D99" s="1278">
        <v>8.3811058765187203E-3</v>
      </c>
      <c r="E99" s="1278">
        <v>5.4593522207847384E-2</v>
      </c>
      <c r="F99" s="1278">
        <v>1.1293522207847389E-2</v>
      </c>
      <c r="G99" s="1299" t="s">
        <v>113</v>
      </c>
      <c r="H99" s="1278" t="s">
        <v>113</v>
      </c>
      <c r="I99" s="1279" t="s">
        <v>113</v>
      </c>
      <c r="J99" s="1"/>
      <c r="K99" s="1"/>
      <c r="L99" s="1080"/>
      <c r="M99" s="1080"/>
      <c r="N99" s="1080"/>
      <c r="O99" s="1080"/>
      <c r="P99" s="1080"/>
      <c r="Q99" s="1080"/>
      <c r="R99" s="1080"/>
      <c r="S99" s="1080"/>
      <c r="T99" s="1080"/>
      <c r="U99" s="1080"/>
      <c r="V99" s="1080"/>
      <c r="W99" s="1080"/>
      <c r="X99" s="1080"/>
      <c r="Y99" s="1080"/>
      <c r="Z99" s="1080"/>
      <c r="AA99" s="1080"/>
      <c r="AB99" s="1080"/>
      <c r="AC99" s="1080"/>
    </row>
    <row r="100" spans="1:29" ht="12" hidden="1" customHeight="1">
      <c r="A100" s="1275" t="s">
        <v>918</v>
      </c>
      <c r="B100" s="1298" t="s">
        <v>786</v>
      </c>
      <c r="C100" s="1277" t="s">
        <v>839</v>
      </c>
      <c r="D100" s="1278">
        <v>2.1767594429291676E-2</v>
      </c>
      <c r="E100" s="1278">
        <v>7.2631786845381408E-2</v>
      </c>
      <c r="F100" s="1278">
        <v>2.9331786845381409E-2</v>
      </c>
      <c r="G100" s="1299" t="s">
        <v>113</v>
      </c>
      <c r="H100" s="1278" t="s">
        <v>113</v>
      </c>
      <c r="I100" s="1279" t="s">
        <v>113</v>
      </c>
      <c r="J100" s="1"/>
      <c r="K100" s="1"/>
      <c r="L100" s="1080"/>
      <c r="M100" s="1080"/>
      <c r="N100" s="1080"/>
      <c r="O100" s="1080"/>
      <c r="P100" s="1080"/>
      <c r="Q100" s="1080"/>
      <c r="R100" s="1080"/>
      <c r="S100" s="1080"/>
      <c r="T100" s="1080"/>
      <c r="U100" s="1080"/>
      <c r="V100" s="1080"/>
      <c r="W100" s="1080"/>
      <c r="X100" s="1080"/>
      <c r="Y100" s="1080"/>
      <c r="Z100" s="1080"/>
      <c r="AA100" s="1080"/>
      <c r="AB100" s="1080"/>
      <c r="AC100" s="1080"/>
    </row>
    <row r="101" spans="1:29" ht="12" customHeight="1">
      <c r="A101" s="1275" t="s">
        <v>919</v>
      </c>
      <c r="B101" s="1298" t="s">
        <v>811</v>
      </c>
      <c r="C101" s="1277" t="s">
        <v>836</v>
      </c>
      <c r="D101" s="1278">
        <v>1.885748822216712E-2</v>
      </c>
      <c r="E101" s="1278">
        <v>6.8710424967656614E-2</v>
      </c>
      <c r="F101" s="1278">
        <v>2.5410424967656622E-2</v>
      </c>
      <c r="G101" s="1299">
        <v>1.8100000000000002E-2</v>
      </c>
      <c r="H101" s="1278">
        <v>6.7689711211588358E-2</v>
      </c>
      <c r="I101" s="1279">
        <v>2.4389711211588363E-2</v>
      </c>
      <c r="J101" s="1"/>
      <c r="K101" s="1"/>
      <c r="L101" s="1080"/>
      <c r="M101" s="1080"/>
      <c r="N101" s="1080"/>
      <c r="O101" s="1080"/>
      <c r="P101" s="1080"/>
      <c r="Q101" s="1080"/>
      <c r="R101" s="1080"/>
      <c r="S101" s="1080"/>
      <c r="T101" s="1080"/>
      <c r="U101" s="1080"/>
      <c r="V101" s="1080"/>
      <c r="W101" s="1080"/>
      <c r="X101" s="1080"/>
      <c r="Y101" s="1080"/>
      <c r="Z101" s="1080"/>
      <c r="AA101" s="1080"/>
      <c r="AB101" s="1080"/>
      <c r="AC101" s="1080"/>
    </row>
    <row r="102" spans="1:29" ht="12" hidden="1" customHeight="1">
      <c r="A102" s="1275" t="s">
        <v>920</v>
      </c>
      <c r="B102" s="1298" t="s">
        <v>801</v>
      </c>
      <c r="C102" s="1277" t="s">
        <v>828</v>
      </c>
      <c r="D102" s="1278">
        <v>6.4371549301595152E-2</v>
      </c>
      <c r="E102" s="1278">
        <v>0.13004052473527228</v>
      </c>
      <c r="F102" s="1278">
        <v>8.6740524735272273E-2</v>
      </c>
      <c r="G102" s="1299" t="s">
        <v>113</v>
      </c>
      <c r="H102" s="1278" t="s">
        <v>113</v>
      </c>
      <c r="I102" s="1279" t="s">
        <v>113</v>
      </c>
      <c r="J102" s="1"/>
      <c r="K102" s="1"/>
      <c r="L102" s="1080"/>
      <c r="M102" s="1080"/>
      <c r="N102" s="1080"/>
      <c r="O102" s="1080"/>
      <c r="P102" s="1080"/>
      <c r="Q102" s="1080"/>
      <c r="R102" s="1080"/>
      <c r="S102" s="1080"/>
      <c r="T102" s="1080"/>
      <c r="U102" s="1080"/>
      <c r="V102" s="1080"/>
      <c r="W102" s="1080"/>
      <c r="X102" s="1080"/>
      <c r="Y102" s="1080"/>
      <c r="Z102" s="1080"/>
      <c r="AA102" s="1080"/>
      <c r="AB102" s="1080"/>
      <c r="AC102" s="1080"/>
    </row>
    <row r="103" spans="1:29" ht="12" hidden="1" customHeight="1">
      <c r="A103" s="1275" t="s">
        <v>921</v>
      </c>
      <c r="B103" s="1298" t="s">
        <v>832</v>
      </c>
      <c r="C103" s="1277" t="s">
        <v>826</v>
      </c>
      <c r="D103" s="1278">
        <v>5.4477188197371677E-2</v>
      </c>
      <c r="E103" s="1278">
        <v>0.11670789435100801</v>
      </c>
      <c r="F103" s="1278">
        <v>7.3407894351008016E-2</v>
      </c>
      <c r="G103" s="1299" t="s">
        <v>113</v>
      </c>
      <c r="H103" s="1278" t="s">
        <v>113</v>
      </c>
      <c r="I103" s="1279" t="s">
        <v>113</v>
      </c>
      <c r="J103" s="1"/>
      <c r="K103" s="1"/>
      <c r="L103" s="1080"/>
      <c r="M103" s="1080"/>
      <c r="N103" s="1080"/>
      <c r="O103" s="1080"/>
      <c r="P103" s="1080"/>
      <c r="Q103" s="1080"/>
      <c r="R103" s="1080"/>
      <c r="S103" s="1080"/>
      <c r="T103" s="1080"/>
      <c r="U103" s="1080"/>
      <c r="V103" s="1080"/>
      <c r="W103" s="1080"/>
      <c r="X103" s="1080"/>
      <c r="Y103" s="1080"/>
      <c r="Z103" s="1080"/>
      <c r="AA103" s="1080"/>
      <c r="AB103" s="1080"/>
      <c r="AC103" s="1080"/>
    </row>
    <row r="104" spans="1:29" ht="12" hidden="1" customHeight="1">
      <c r="A104" s="1275" t="s">
        <v>922</v>
      </c>
      <c r="B104" s="1298" t="s">
        <v>801</v>
      </c>
      <c r="C104" s="1277" t="s">
        <v>802</v>
      </c>
      <c r="D104" s="1278">
        <v>4.4582827093148182E-2</v>
      </c>
      <c r="E104" s="1278">
        <v>0.10337526396674374</v>
      </c>
      <c r="F104" s="1278">
        <v>6.007526396674373E-2</v>
      </c>
      <c r="G104" s="1299" t="s">
        <v>113</v>
      </c>
      <c r="H104" s="1278" t="s">
        <v>113</v>
      </c>
      <c r="I104" s="1279" t="s">
        <v>113</v>
      </c>
      <c r="J104" s="1"/>
      <c r="K104" s="1"/>
      <c r="L104" s="1080"/>
      <c r="M104" s="1080"/>
      <c r="N104" s="1080"/>
      <c r="O104" s="1080"/>
      <c r="P104" s="1080"/>
      <c r="Q104" s="1080"/>
      <c r="R104" s="1080"/>
      <c r="S104" s="1080"/>
      <c r="T104" s="1080"/>
      <c r="U104" s="1080"/>
      <c r="V104" s="1080"/>
      <c r="W104" s="1080"/>
      <c r="X104" s="1080"/>
      <c r="Y104" s="1080"/>
      <c r="Z104" s="1080"/>
      <c r="AA104" s="1080"/>
      <c r="AB104" s="1080"/>
      <c r="AC104" s="1080"/>
    </row>
    <row r="105" spans="1:29" ht="12" hidden="1" customHeight="1">
      <c r="A105" s="1275" t="s">
        <v>923</v>
      </c>
      <c r="B105" s="1298" t="s">
        <v>817</v>
      </c>
      <c r="C105" s="1277" t="s">
        <v>839</v>
      </c>
      <c r="D105" s="1278">
        <v>2.1767594429291676E-2</v>
      </c>
      <c r="E105" s="1278">
        <v>7.2631786845381408E-2</v>
      </c>
      <c r="F105" s="1278">
        <v>2.9331786845381409E-2</v>
      </c>
      <c r="G105" s="1299" t="s">
        <v>113</v>
      </c>
      <c r="H105" s="1278" t="s">
        <v>113</v>
      </c>
      <c r="I105" s="1279" t="s">
        <v>113</v>
      </c>
      <c r="J105" s="1"/>
      <c r="K105" s="1"/>
      <c r="L105" s="1080"/>
      <c r="M105" s="1080"/>
      <c r="N105" s="1080"/>
      <c r="O105" s="1080"/>
      <c r="P105" s="1080"/>
      <c r="Q105" s="1080"/>
      <c r="R105" s="1080"/>
      <c r="S105" s="1080"/>
      <c r="T105" s="1080"/>
      <c r="U105" s="1080"/>
      <c r="V105" s="1080"/>
      <c r="W105" s="1080"/>
      <c r="X105" s="1080"/>
      <c r="Y105" s="1080"/>
      <c r="Z105" s="1080"/>
      <c r="AA105" s="1080"/>
      <c r="AB105" s="1080"/>
      <c r="AC105" s="1080"/>
    </row>
    <row r="106" spans="1:29" ht="12" hidden="1" customHeight="1">
      <c r="A106" s="1275" t="s">
        <v>924</v>
      </c>
      <c r="B106" s="1298" t="s">
        <v>786</v>
      </c>
      <c r="C106" s="1277" t="s">
        <v>830</v>
      </c>
      <c r="D106" s="1278">
        <v>2.4794104884701216E-2</v>
      </c>
      <c r="E106" s="1278">
        <v>7.6710003198215193E-2</v>
      </c>
      <c r="F106" s="1278">
        <v>3.3410003198215195E-2</v>
      </c>
      <c r="G106" s="1299">
        <v>1.0999999999999999E-2</v>
      </c>
      <c r="H106" s="1278">
        <v>5.8122476426932149E-2</v>
      </c>
      <c r="I106" s="1279">
        <v>1.4822476426932152E-2</v>
      </c>
      <c r="J106" s="1"/>
      <c r="K106" s="1"/>
      <c r="L106" s="1080"/>
      <c r="M106" s="1080"/>
      <c r="N106" s="1080"/>
      <c r="O106" s="1080"/>
      <c r="P106" s="1080"/>
      <c r="Q106" s="1080"/>
      <c r="R106" s="1080"/>
      <c r="S106" s="1080"/>
      <c r="T106" s="1080"/>
      <c r="U106" s="1080"/>
      <c r="V106" s="1080"/>
      <c r="W106" s="1080"/>
      <c r="X106" s="1080"/>
      <c r="Y106" s="1080"/>
      <c r="Z106" s="1080"/>
      <c r="AA106" s="1080"/>
      <c r="AB106" s="1080"/>
      <c r="AC106" s="1080"/>
    </row>
    <row r="107" spans="1:29" ht="12" hidden="1" customHeight="1">
      <c r="A107" s="1275" t="s">
        <v>925</v>
      </c>
      <c r="B107" s="1298" t="s">
        <v>786</v>
      </c>
      <c r="C107" s="1277" t="s">
        <v>860</v>
      </c>
      <c r="D107" s="1278">
        <v>8.9165654186296364E-2</v>
      </c>
      <c r="E107" s="1278">
        <v>0.16345052793348747</v>
      </c>
      <c r="F107" s="1278">
        <v>0.12015052793348746</v>
      </c>
      <c r="G107" s="1299" t="s">
        <v>113</v>
      </c>
      <c r="H107" s="1278" t="s">
        <v>113</v>
      </c>
      <c r="I107" s="1279" t="s">
        <v>113</v>
      </c>
      <c r="J107" s="1"/>
      <c r="K107" s="1"/>
      <c r="L107" s="1080"/>
      <c r="M107" s="1080"/>
      <c r="N107" s="1080"/>
      <c r="O107" s="1080"/>
      <c r="P107" s="1080"/>
      <c r="Q107" s="1080"/>
      <c r="R107" s="1080"/>
      <c r="S107" s="1080"/>
      <c r="T107" s="1080"/>
      <c r="U107" s="1080"/>
      <c r="V107" s="1080"/>
      <c r="W107" s="1080"/>
      <c r="X107" s="1080"/>
      <c r="Y107" s="1080"/>
      <c r="Z107" s="1080"/>
      <c r="AA107" s="1080"/>
      <c r="AB107" s="1080"/>
      <c r="AC107" s="1080"/>
    </row>
    <row r="108" spans="1:29" ht="12" hidden="1" customHeight="1">
      <c r="A108" s="1275" t="s">
        <v>926</v>
      </c>
      <c r="B108" s="1298" t="s">
        <v>786</v>
      </c>
      <c r="C108" s="1277" t="s">
        <v>802</v>
      </c>
      <c r="D108" s="1278">
        <v>4.4582827093148182E-2</v>
      </c>
      <c r="E108" s="1278">
        <v>0.10337526396674374</v>
      </c>
      <c r="F108" s="1278">
        <v>6.007526396674373E-2</v>
      </c>
      <c r="G108" s="1299" t="s">
        <v>113</v>
      </c>
      <c r="H108" s="1278" t="s">
        <v>113</v>
      </c>
      <c r="I108" s="1279" t="s">
        <v>113</v>
      </c>
      <c r="J108" s="1"/>
      <c r="K108" s="1"/>
      <c r="L108" s="1080"/>
      <c r="M108" s="1080"/>
      <c r="N108" s="1080"/>
      <c r="O108" s="1080"/>
      <c r="P108" s="1080"/>
      <c r="Q108" s="1080"/>
      <c r="R108" s="1080"/>
      <c r="S108" s="1080"/>
      <c r="T108" s="1080"/>
      <c r="U108" s="1080"/>
      <c r="V108" s="1080"/>
      <c r="W108" s="1080"/>
      <c r="X108" s="1080"/>
      <c r="Y108" s="1080"/>
      <c r="Z108" s="1080"/>
      <c r="AA108" s="1080"/>
      <c r="AB108" s="1080"/>
      <c r="AC108" s="1080"/>
    </row>
    <row r="109" spans="1:29" ht="12" hidden="1" customHeight="1">
      <c r="A109" s="1275" t="s">
        <v>1008</v>
      </c>
      <c r="B109" s="1298" t="s">
        <v>832</v>
      </c>
      <c r="C109" s="1277" t="s">
        <v>815</v>
      </c>
      <c r="D109" s="1278">
        <v>3.5619699975204554E-2</v>
      </c>
      <c r="E109" s="1278">
        <v>9.1297469383351385E-2</v>
      </c>
      <c r="F109" s="1278">
        <v>4.7997469383351386E-2</v>
      </c>
      <c r="G109" s="1299" t="s">
        <v>113</v>
      </c>
      <c r="H109" s="1278" t="s">
        <v>113</v>
      </c>
      <c r="I109" s="1279" t="s">
        <v>113</v>
      </c>
      <c r="J109" s="1"/>
      <c r="K109" s="1"/>
      <c r="L109" s="1080"/>
      <c r="M109" s="1080"/>
      <c r="N109" s="1080"/>
      <c r="O109" s="1080"/>
      <c r="P109" s="1080"/>
      <c r="Q109" s="1080"/>
      <c r="R109" s="1080"/>
      <c r="S109" s="1080"/>
      <c r="T109" s="1080"/>
      <c r="U109" s="1080"/>
      <c r="V109" s="1080"/>
      <c r="W109" s="1080"/>
      <c r="X109" s="1080"/>
      <c r="Y109" s="1080"/>
      <c r="Z109" s="1080"/>
      <c r="AA109" s="1080"/>
      <c r="AB109" s="1080"/>
      <c r="AC109" s="1080"/>
    </row>
    <row r="110" spans="1:29" ht="12" hidden="1" customHeight="1">
      <c r="A110" s="1275" t="s">
        <v>927</v>
      </c>
      <c r="B110" s="1298" t="s">
        <v>805</v>
      </c>
      <c r="C110" s="1277" t="s">
        <v>822</v>
      </c>
      <c r="D110" s="1278">
        <v>0</v>
      </c>
      <c r="E110" s="1278">
        <v>4.3299999999999998E-2</v>
      </c>
      <c r="F110" s="1278">
        <v>0</v>
      </c>
      <c r="G110" s="1299">
        <v>0</v>
      </c>
      <c r="H110" s="1278">
        <v>4.3299999999999998E-2</v>
      </c>
      <c r="I110" s="1279">
        <v>0</v>
      </c>
      <c r="J110" s="1"/>
      <c r="K110" s="1"/>
      <c r="L110" s="1080"/>
      <c r="M110" s="1080"/>
      <c r="N110" s="1080"/>
      <c r="O110" s="1080"/>
      <c r="P110" s="1080"/>
      <c r="Q110" s="1080"/>
      <c r="R110" s="1080"/>
      <c r="S110" s="1080"/>
      <c r="T110" s="1080"/>
      <c r="U110" s="1080"/>
      <c r="V110" s="1080"/>
      <c r="W110" s="1080"/>
      <c r="X110" s="1080"/>
      <c r="Y110" s="1080"/>
      <c r="Z110" s="1080"/>
      <c r="AA110" s="1080"/>
      <c r="AB110" s="1080"/>
      <c r="AC110" s="1080"/>
    </row>
    <row r="111" spans="1:29" ht="12" hidden="1" customHeight="1">
      <c r="A111" s="1275" t="s">
        <v>928</v>
      </c>
      <c r="B111" s="1298" t="s">
        <v>821</v>
      </c>
      <c r="C111" s="1277" t="s">
        <v>822</v>
      </c>
      <c r="D111" s="1278">
        <v>0</v>
      </c>
      <c r="E111" s="1278">
        <v>4.3299999999999998E-2</v>
      </c>
      <c r="F111" s="1278">
        <v>0</v>
      </c>
      <c r="G111" s="1299">
        <v>0</v>
      </c>
      <c r="H111" s="1278">
        <v>4.3299999999999998E-2</v>
      </c>
      <c r="I111" s="1279">
        <v>0</v>
      </c>
      <c r="J111" s="1"/>
      <c r="K111" s="1"/>
      <c r="L111" s="1080"/>
      <c r="M111" s="1080"/>
      <c r="N111" s="1080"/>
      <c r="O111" s="1080"/>
      <c r="P111" s="1080"/>
      <c r="Q111" s="1080"/>
      <c r="R111" s="1080"/>
      <c r="S111" s="1080"/>
      <c r="T111" s="1080"/>
      <c r="U111" s="1080"/>
      <c r="V111" s="1080"/>
      <c r="W111" s="1080"/>
      <c r="X111" s="1080"/>
      <c r="Y111" s="1080"/>
      <c r="Z111" s="1080"/>
      <c r="AA111" s="1080"/>
      <c r="AB111" s="1080"/>
      <c r="AC111" s="1080"/>
    </row>
    <row r="112" spans="1:29" ht="12" hidden="1" customHeight="1">
      <c r="A112" s="1275" t="s">
        <v>929</v>
      </c>
      <c r="B112" s="1298" t="s">
        <v>811</v>
      </c>
      <c r="C112" s="1277" t="s">
        <v>826</v>
      </c>
      <c r="D112" s="1278">
        <v>5.4477188197371677E-2</v>
      </c>
      <c r="E112" s="1278">
        <v>0.11670789435100801</v>
      </c>
      <c r="F112" s="1278">
        <v>7.3407894351008016E-2</v>
      </c>
      <c r="G112" s="1299">
        <v>6.1599999999999995E-2</v>
      </c>
      <c r="H112" s="1278">
        <v>0.12630586799082005</v>
      </c>
      <c r="I112" s="1279">
        <v>8.3005867990820048E-2</v>
      </c>
      <c r="J112" s="1"/>
      <c r="K112" s="1"/>
      <c r="L112" s="1080"/>
      <c r="M112" s="1080"/>
      <c r="N112" s="1080"/>
      <c r="O112" s="1080"/>
      <c r="P112" s="1080"/>
      <c r="Q112" s="1080"/>
      <c r="R112" s="1080"/>
      <c r="S112" s="1080"/>
      <c r="T112" s="1080"/>
      <c r="U112" s="1080"/>
      <c r="V112" s="1080"/>
      <c r="W112" s="1080"/>
      <c r="X112" s="1080"/>
      <c r="Y112" s="1080"/>
      <c r="Z112" s="1080"/>
      <c r="AA112" s="1080"/>
      <c r="AB112" s="1080"/>
      <c r="AC112" s="1080"/>
    </row>
    <row r="113" spans="1:29" ht="12" hidden="1" customHeight="1">
      <c r="A113" s="1275" t="s">
        <v>930</v>
      </c>
      <c r="B113" s="1298" t="s">
        <v>786</v>
      </c>
      <c r="C113" s="1277" t="s">
        <v>838</v>
      </c>
      <c r="D113" s="1278">
        <v>9.9060015290519873E-2</v>
      </c>
      <c r="E113" s="1278">
        <v>0.17678315831775177</v>
      </c>
      <c r="F113" s="1278">
        <v>0.13348315831775176</v>
      </c>
      <c r="G113" s="1299" t="s">
        <v>113</v>
      </c>
      <c r="H113" s="1278" t="s">
        <v>113</v>
      </c>
      <c r="I113" s="1279" t="s">
        <v>113</v>
      </c>
      <c r="J113" s="1"/>
      <c r="K113" s="1"/>
      <c r="L113" s="1080"/>
      <c r="M113" s="1080"/>
      <c r="N113" s="1080"/>
      <c r="O113" s="1080"/>
      <c r="P113" s="1080"/>
      <c r="Q113" s="1080"/>
      <c r="R113" s="1080"/>
      <c r="S113" s="1080"/>
      <c r="T113" s="1080"/>
      <c r="U113" s="1080"/>
      <c r="V113" s="1080"/>
      <c r="W113" s="1080"/>
      <c r="X113" s="1080"/>
      <c r="Y113" s="1080"/>
      <c r="Z113" s="1080"/>
      <c r="AA113" s="1080"/>
      <c r="AB113" s="1080"/>
      <c r="AC113" s="1080"/>
    </row>
    <row r="114" spans="1:29" ht="12" hidden="1" customHeight="1">
      <c r="A114" s="1275" t="s">
        <v>931</v>
      </c>
      <c r="B114" s="1298" t="s">
        <v>786</v>
      </c>
      <c r="C114" s="1277" t="s">
        <v>806</v>
      </c>
      <c r="D114" s="1278">
        <v>7.4265910405818647E-2</v>
      </c>
      <c r="E114" s="1278">
        <v>0.14337315511953655</v>
      </c>
      <c r="F114" s="1278">
        <v>0.10007315511953656</v>
      </c>
      <c r="G114" s="1299">
        <v>6.0299999999999999E-2</v>
      </c>
      <c r="H114" s="1278">
        <v>0.12455412077672806</v>
      </c>
      <c r="I114" s="1279">
        <v>8.125412077672807E-2</v>
      </c>
      <c r="J114" s="1"/>
      <c r="K114" s="1"/>
      <c r="L114" s="1080"/>
      <c r="M114" s="1080"/>
      <c r="N114" s="1080"/>
      <c r="O114" s="1080"/>
      <c r="P114" s="1080"/>
      <c r="Q114" s="1080"/>
      <c r="R114" s="1080"/>
      <c r="S114" s="1080"/>
      <c r="T114" s="1080"/>
      <c r="U114" s="1080"/>
      <c r="V114" s="1080"/>
      <c r="W114" s="1080"/>
      <c r="X114" s="1080"/>
      <c r="Y114" s="1080"/>
      <c r="Z114" s="1080"/>
      <c r="AA114" s="1080"/>
      <c r="AB114" s="1080"/>
      <c r="AC114" s="1080"/>
    </row>
    <row r="115" spans="1:29" ht="12" hidden="1" customHeight="1">
      <c r="A115" s="1275" t="s">
        <v>932</v>
      </c>
      <c r="B115" s="1298" t="s">
        <v>805</v>
      </c>
      <c r="C115" s="1277" t="s">
        <v>822</v>
      </c>
      <c r="D115" s="1278">
        <v>0</v>
      </c>
      <c r="E115" s="1278">
        <v>4.3299999999999998E-2</v>
      </c>
      <c r="F115" s="1278">
        <v>0</v>
      </c>
      <c r="G115" s="1299">
        <v>0</v>
      </c>
      <c r="H115" s="1278">
        <v>4.3299999999999998E-2</v>
      </c>
      <c r="I115" s="1279">
        <v>0</v>
      </c>
      <c r="J115" s="1"/>
      <c r="K115" s="1"/>
      <c r="L115" s="1080"/>
      <c r="M115" s="1080"/>
      <c r="N115" s="1080"/>
      <c r="O115" s="1080"/>
      <c r="P115" s="1080"/>
      <c r="Q115" s="1080"/>
      <c r="R115" s="1080"/>
      <c r="S115" s="1080"/>
      <c r="T115" s="1080"/>
      <c r="U115" s="1080"/>
      <c r="V115" s="1080"/>
      <c r="W115" s="1080"/>
      <c r="X115" s="1080"/>
      <c r="Y115" s="1080"/>
      <c r="Z115" s="1080"/>
      <c r="AA115" s="1080"/>
      <c r="AB115" s="1080"/>
      <c r="AC115" s="1080"/>
    </row>
    <row r="116" spans="1:29" ht="12" hidden="1" customHeight="1">
      <c r="A116" s="1275" t="s">
        <v>933</v>
      </c>
      <c r="B116" s="1298" t="s">
        <v>796</v>
      </c>
      <c r="C116" s="1277" t="s">
        <v>830</v>
      </c>
      <c r="D116" s="1278">
        <v>2.4794104884701216E-2</v>
      </c>
      <c r="E116" s="1278">
        <v>7.6710003198215193E-2</v>
      </c>
      <c r="F116" s="1278">
        <v>3.3410003198215195E-2</v>
      </c>
      <c r="G116" s="1299">
        <v>1.2199999999999999E-2</v>
      </c>
      <c r="H116" s="1278">
        <v>5.973947385532475E-2</v>
      </c>
      <c r="I116" s="1279">
        <v>1.6439473855324752E-2</v>
      </c>
      <c r="J116" s="1"/>
      <c r="K116" s="1"/>
      <c r="L116" s="1080"/>
      <c r="M116" s="1080"/>
      <c r="N116" s="1080"/>
      <c r="O116" s="1080"/>
      <c r="P116" s="1080"/>
      <c r="Q116" s="1080"/>
      <c r="R116" s="1080"/>
      <c r="S116" s="1080"/>
      <c r="T116" s="1080"/>
      <c r="U116" s="1080"/>
      <c r="V116" s="1080"/>
      <c r="W116" s="1080"/>
      <c r="X116" s="1080"/>
      <c r="Y116" s="1080"/>
      <c r="Z116" s="1080"/>
      <c r="AA116" s="1080"/>
      <c r="AB116" s="1080"/>
      <c r="AC116" s="1080"/>
    </row>
    <row r="117" spans="1:29" ht="12" hidden="1" customHeight="1">
      <c r="A117" s="1275" t="s">
        <v>934</v>
      </c>
      <c r="B117" s="1298" t="s">
        <v>832</v>
      </c>
      <c r="C117" s="1277" t="s">
        <v>860</v>
      </c>
      <c r="D117" s="1278">
        <v>8.9165654186296364E-2</v>
      </c>
      <c r="E117" s="1278">
        <v>0.16345052793348747</v>
      </c>
      <c r="F117" s="1278">
        <v>0.12015052793348746</v>
      </c>
      <c r="G117" s="1299">
        <v>0.1608</v>
      </c>
      <c r="H117" s="1278">
        <v>0.25997765540460821</v>
      </c>
      <c r="I117" s="1279">
        <v>0.2166776554046082</v>
      </c>
      <c r="J117" s="1"/>
      <c r="K117" s="1"/>
      <c r="L117" s="1080"/>
      <c r="M117" s="1080"/>
      <c r="N117" s="1080"/>
      <c r="O117" s="1080"/>
      <c r="P117" s="1080"/>
      <c r="Q117" s="1080"/>
      <c r="R117" s="1080"/>
      <c r="S117" s="1080"/>
      <c r="T117" s="1080"/>
      <c r="U117" s="1080"/>
      <c r="V117" s="1080"/>
      <c r="W117" s="1080"/>
      <c r="X117" s="1080"/>
      <c r="Y117" s="1080"/>
      <c r="Z117" s="1080"/>
      <c r="AA117" s="1080"/>
      <c r="AB117" s="1080"/>
      <c r="AC117" s="1080"/>
    </row>
    <row r="118" spans="1:29" ht="12" hidden="1" customHeight="1">
      <c r="A118" s="1275" t="s">
        <v>935</v>
      </c>
      <c r="B118" s="1298" t="s">
        <v>811</v>
      </c>
      <c r="C118" s="1277" t="s">
        <v>839</v>
      </c>
      <c r="D118" s="1278">
        <v>2.1767594429291676E-2</v>
      </c>
      <c r="E118" s="1278">
        <v>7.2631786845381408E-2</v>
      </c>
      <c r="F118" s="1278">
        <v>2.9331786845381409E-2</v>
      </c>
      <c r="G118" s="1299">
        <v>2.6700000000000002E-2</v>
      </c>
      <c r="H118" s="1278">
        <v>7.9278192781735313E-2</v>
      </c>
      <c r="I118" s="1279">
        <v>3.5978192781735321E-2</v>
      </c>
      <c r="J118" s="1"/>
      <c r="K118" s="1"/>
      <c r="L118" s="1080"/>
      <c r="M118" s="1080"/>
      <c r="N118" s="1080"/>
      <c r="O118" s="1080"/>
      <c r="P118" s="1080"/>
      <c r="Q118" s="1080"/>
      <c r="R118" s="1080"/>
      <c r="S118" s="1080"/>
      <c r="T118" s="1080"/>
      <c r="U118" s="1080"/>
      <c r="V118" s="1080"/>
      <c r="W118" s="1080"/>
      <c r="X118" s="1080"/>
      <c r="Y118" s="1080"/>
      <c r="Z118" s="1080"/>
      <c r="AA118" s="1080"/>
      <c r="AB118" s="1080"/>
      <c r="AC118" s="1080"/>
    </row>
    <row r="119" spans="1:29" ht="12" hidden="1" customHeight="1">
      <c r="A119" s="1275" t="s">
        <v>936</v>
      </c>
      <c r="B119" s="1298" t="s">
        <v>832</v>
      </c>
      <c r="C119" s="1277" t="s">
        <v>826</v>
      </c>
      <c r="D119" s="1278">
        <v>5.4477188197371677E-2</v>
      </c>
      <c r="E119" s="1278">
        <v>0.11670789435100801</v>
      </c>
      <c r="F119" s="1278">
        <v>7.3407894351008016E-2</v>
      </c>
      <c r="G119" s="1299" t="s">
        <v>113</v>
      </c>
      <c r="H119" s="1278" t="s">
        <v>113</v>
      </c>
      <c r="I119" s="1279" t="s">
        <v>113</v>
      </c>
      <c r="J119" s="1"/>
      <c r="K119" s="1"/>
      <c r="L119" s="1080"/>
      <c r="M119" s="1080"/>
      <c r="N119" s="1080"/>
      <c r="O119" s="1080"/>
      <c r="P119" s="1080"/>
      <c r="Q119" s="1080"/>
      <c r="R119" s="1080"/>
      <c r="S119" s="1080"/>
      <c r="T119" s="1080"/>
      <c r="U119" s="1080"/>
      <c r="V119" s="1080"/>
      <c r="W119" s="1080"/>
      <c r="X119" s="1080"/>
      <c r="Y119" s="1080"/>
      <c r="Z119" s="1080"/>
      <c r="AA119" s="1080"/>
      <c r="AB119" s="1080"/>
      <c r="AC119" s="1080"/>
    </row>
    <row r="120" spans="1:29" ht="12" hidden="1" customHeight="1">
      <c r="A120" s="1275" t="s">
        <v>937</v>
      </c>
      <c r="B120" s="1298" t="s">
        <v>811</v>
      </c>
      <c r="C120" s="1277" t="s">
        <v>839</v>
      </c>
      <c r="D120" s="1278">
        <v>2.1767594429291676E-2</v>
      </c>
      <c r="E120" s="1278">
        <v>7.2631786845381408E-2</v>
      </c>
      <c r="F120" s="1278">
        <v>2.9331786845381409E-2</v>
      </c>
      <c r="G120" s="1299" t="s">
        <v>113</v>
      </c>
      <c r="H120" s="1278" t="s">
        <v>113</v>
      </c>
      <c r="I120" s="1279" t="s">
        <v>113</v>
      </c>
      <c r="J120" s="1"/>
      <c r="K120" s="1"/>
      <c r="L120" s="1080"/>
      <c r="M120" s="1080"/>
      <c r="N120" s="1080"/>
      <c r="O120" s="1080"/>
      <c r="P120" s="1080"/>
      <c r="Q120" s="1080"/>
      <c r="R120" s="1080"/>
      <c r="S120" s="1080"/>
      <c r="T120" s="1080"/>
      <c r="U120" s="1080"/>
      <c r="V120" s="1080"/>
      <c r="W120" s="1080"/>
      <c r="X120" s="1080"/>
      <c r="Y120" s="1080"/>
      <c r="Z120" s="1080"/>
      <c r="AA120" s="1080"/>
      <c r="AB120" s="1080"/>
      <c r="AC120" s="1080"/>
    </row>
    <row r="121" spans="1:29" ht="12" hidden="1" customHeight="1">
      <c r="A121" s="1275" t="s">
        <v>938</v>
      </c>
      <c r="B121" s="1298" t="s">
        <v>811</v>
      </c>
      <c r="C121" s="1277" t="s">
        <v>818</v>
      </c>
      <c r="D121" s="1278">
        <v>1.5830977766757577E-2</v>
      </c>
      <c r="E121" s="1278">
        <v>6.4632208614822828E-2</v>
      </c>
      <c r="F121" s="1278">
        <v>2.1332208614822837E-2</v>
      </c>
      <c r="G121" s="1299">
        <v>1.0599999999999998E-2</v>
      </c>
      <c r="H121" s="1278">
        <v>5.7583477284134613E-2</v>
      </c>
      <c r="I121" s="1279">
        <v>1.4283477284134618E-2</v>
      </c>
      <c r="J121" s="1"/>
      <c r="K121" s="1"/>
      <c r="L121" s="1080"/>
      <c r="M121" s="1080"/>
      <c r="N121" s="1080"/>
      <c r="O121" s="1080"/>
      <c r="P121" s="1080"/>
      <c r="Q121" s="1080"/>
      <c r="R121" s="1080"/>
      <c r="S121" s="1080"/>
      <c r="T121" s="1080"/>
      <c r="U121" s="1080"/>
      <c r="V121" s="1080"/>
      <c r="W121" s="1080"/>
      <c r="X121" s="1080"/>
      <c r="Y121" s="1080"/>
      <c r="Z121" s="1080"/>
      <c r="AA121" s="1080"/>
      <c r="AB121" s="1080"/>
      <c r="AC121" s="1080"/>
    </row>
    <row r="122" spans="1:29" ht="12" hidden="1" customHeight="1">
      <c r="A122" s="1275" t="s">
        <v>939</v>
      </c>
      <c r="B122" s="1298" t="s">
        <v>832</v>
      </c>
      <c r="C122" s="1277" t="s">
        <v>836</v>
      </c>
      <c r="D122" s="1278">
        <v>1.885748822216712E-2</v>
      </c>
      <c r="E122" s="1278">
        <v>6.8710424967656614E-2</v>
      </c>
      <c r="F122" s="1278">
        <v>2.5410424967656622E-2</v>
      </c>
      <c r="G122" s="1299">
        <v>8.0000000000000002E-3</v>
      </c>
      <c r="H122" s="1278">
        <v>5.4079982855950656E-2</v>
      </c>
      <c r="I122" s="1279">
        <v>1.0779982855950656E-2</v>
      </c>
      <c r="J122" s="1"/>
      <c r="K122" s="1"/>
      <c r="L122" s="1080"/>
      <c r="M122" s="1080"/>
      <c r="N122" s="1080"/>
      <c r="O122" s="1080"/>
      <c r="P122" s="1080"/>
      <c r="Q122" s="1080"/>
      <c r="R122" s="1080"/>
      <c r="S122" s="1080"/>
      <c r="T122" s="1080"/>
      <c r="U122" s="1080"/>
      <c r="V122" s="1080"/>
      <c r="W122" s="1080"/>
      <c r="X122" s="1080"/>
      <c r="Y122" s="1080"/>
      <c r="Z122" s="1080"/>
      <c r="AA122" s="1080"/>
      <c r="AB122" s="1080"/>
      <c r="AC122" s="1080"/>
    </row>
    <row r="123" spans="1:29" ht="12" hidden="1" customHeight="1">
      <c r="A123" s="1275" t="s">
        <v>940</v>
      </c>
      <c r="B123" s="1298" t="s">
        <v>801</v>
      </c>
      <c r="C123" s="1277" t="s">
        <v>807</v>
      </c>
      <c r="D123" s="1278">
        <v>8.3811058765187203E-3</v>
      </c>
      <c r="E123" s="1278">
        <v>5.4593522207847384E-2</v>
      </c>
      <c r="F123" s="1278">
        <v>1.1293522207847389E-2</v>
      </c>
      <c r="G123" s="1299">
        <v>6.4000000000000003E-3</v>
      </c>
      <c r="H123" s="1278">
        <v>5.1923986284760526E-2</v>
      </c>
      <c r="I123" s="1279">
        <v>8.6239862847605261E-3</v>
      </c>
      <c r="J123" s="1"/>
      <c r="K123" s="1"/>
      <c r="L123" s="1080"/>
      <c r="M123" s="1080"/>
      <c r="N123" s="1080"/>
      <c r="O123" s="1080"/>
      <c r="P123" s="1080"/>
      <c r="Q123" s="1080"/>
      <c r="R123" s="1080"/>
      <c r="S123" s="1080"/>
      <c r="T123" s="1080"/>
      <c r="U123" s="1080"/>
      <c r="V123" s="1080"/>
      <c r="W123" s="1080"/>
      <c r="X123" s="1080"/>
      <c r="Y123" s="1080"/>
      <c r="Z123" s="1080"/>
      <c r="AA123" s="1080"/>
      <c r="AB123" s="1080"/>
      <c r="AC123" s="1080"/>
    </row>
    <row r="124" spans="1:29" ht="12" hidden="1" customHeight="1">
      <c r="A124" s="1275" t="s">
        <v>941</v>
      </c>
      <c r="B124" s="1298" t="s">
        <v>805</v>
      </c>
      <c r="C124" s="1277" t="s">
        <v>809</v>
      </c>
      <c r="D124" s="1278">
        <v>1.1873233325068186E-2</v>
      </c>
      <c r="E124" s="1278">
        <v>5.9299156461117129E-2</v>
      </c>
      <c r="F124" s="1278">
        <v>1.5999156461117131E-2</v>
      </c>
      <c r="G124" s="1299">
        <v>1.6999999999999993E-3</v>
      </c>
      <c r="H124" s="1278">
        <v>4.5590746356889512E-2</v>
      </c>
      <c r="I124" s="1279">
        <v>2.2907463568895134E-3</v>
      </c>
      <c r="J124" s="1"/>
      <c r="K124" s="1"/>
      <c r="L124" s="1080"/>
      <c r="M124" s="1080"/>
      <c r="N124" s="1080"/>
      <c r="O124" s="1080"/>
      <c r="P124" s="1080"/>
      <c r="Q124" s="1080"/>
      <c r="R124" s="1080"/>
      <c r="S124" s="1080"/>
      <c r="T124" s="1080"/>
      <c r="U124" s="1080"/>
      <c r="V124" s="1080"/>
      <c r="W124" s="1080"/>
      <c r="X124" s="1080"/>
      <c r="Y124" s="1080"/>
      <c r="Z124" s="1080"/>
      <c r="AA124" s="1080"/>
      <c r="AB124" s="1080"/>
      <c r="AC124" s="1080"/>
    </row>
    <row r="125" spans="1:29" ht="12" hidden="1" customHeight="1">
      <c r="A125" s="1275" t="s">
        <v>942</v>
      </c>
      <c r="B125" s="1298" t="s">
        <v>796</v>
      </c>
      <c r="C125" s="1277" t="s">
        <v>797</v>
      </c>
      <c r="D125" s="1278">
        <v>4.8889784279692525E-3</v>
      </c>
      <c r="E125" s="1278">
        <v>4.9887887954577638E-2</v>
      </c>
      <c r="F125" s="1278">
        <v>6.5878879545776415E-3</v>
      </c>
      <c r="G125" s="1299">
        <v>3.5999999999999999E-3</v>
      </c>
      <c r="H125" s="1278">
        <v>4.8150992285177795E-2</v>
      </c>
      <c r="I125" s="1279">
        <v>4.8509922851777956E-3</v>
      </c>
      <c r="J125" s="1"/>
      <c r="K125" s="1"/>
      <c r="L125" s="1080"/>
      <c r="M125" s="1080"/>
      <c r="N125" s="1080"/>
      <c r="O125" s="1080"/>
      <c r="P125" s="1080"/>
      <c r="Q125" s="1080"/>
      <c r="R125" s="1080"/>
      <c r="S125" s="1080"/>
      <c r="T125" s="1080"/>
      <c r="U125" s="1080"/>
      <c r="V125" s="1080"/>
      <c r="W125" s="1080"/>
      <c r="X125" s="1080"/>
      <c r="Y125" s="1080"/>
      <c r="Z125" s="1080"/>
      <c r="AA125" s="1080"/>
      <c r="AB125" s="1080"/>
      <c r="AC125" s="1080"/>
    </row>
    <row r="126" spans="1:29" ht="12" hidden="1" customHeight="1">
      <c r="A126" s="1275" t="s">
        <v>943</v>
      </c>
      <c r="B126" s="1298" t="s">
        <v>796</v>
      </c>
      <c r="C126" s="1277" t="s">
        <v>809</v>
      </c>
      <c r="D126" s="1278">
        <v>1.1873233325068186E-2</v>
      </c>
      <c r="E126" s="1278">
        <v>5.9299156461117129E-2</v>
      </c>
      <c r="F126" s="1278">
        <v>1.5999156461117131E-2</v>
      </c>
      <c r="G126" s="1299" t="s">
        <v>113</v>
      </c>
      <c r="H126" s="1278" t="s">
        <v>113</v>
      </c>
      <c r="I126" s="1279" t="s">
        <v>113</v>
      </c>
      <c r="J126" s="1"/>
      <c r="K126" s="1"/>
      <c r="L126" s="1080"/>
      <c r="M126" s="1080"/>
      <c r="N126" s="1080"/>
      <c r="O126" s="1080"/>
      <c r="P126" s="1080"/>
      <c r="Q126" s="1080"/>
      <c r="R126" s="1080"/>
      <c r="S126" s="1080"/>
      <c r="T126" s="1080"/>
      <c r="U126" s="1080"/>
      <c r="V126" s="1080"/>
      <c r="W126" s="1080"/>
      <c r="X126" s="1080"/>
      <c r="Y126" s="1080"/>
      <c r="Z126" s="1080"/>
      <c r="AA126" s="1080"/>
      <c r="AB126" s="1080"/>
      <c r="AC126" s="1080"/>
    </row>
    <row r="127" spans="1:29" ht="12" hidden="1" customHeight="1">
      <c r="A127" s="1275" t="s">
        <v>944</v>
      </c>
      <c r="B127" s="1298" t="s">
        <v>801</v>
      </c>
      <c r="C127" s="1277" t="s">
        <v>839</v>
      </c>
      <c r="D127" s="1278">
        <v>2.1767594429291676E-2</v>
      </c>
      <c r="E127" s="1278">
        <v>7.2631786845381408E-2</v>
      </c>
      <c r="F127" s="1278">
        <v>2.9331786845381409E-2</v>
      </c>
      <c r="G127" s="1299">
        <v>1.9800000000000002E-2</v>
      </c>
      <c r="H127" s="1278">
        <v>6.9980457568477872E-2</v>
      </c>
      <c r="I127" s="1279">
        <v>2.6680457568477877E-2</v>
      </c>
      <c r="J127" s="1"/>
      <c r="K127" s="1"/>
      <c r="L127" s="1080"/>
      <c r="M127" s="1080"/>
      <c r="N127" s="1080"/>
      <c r="O127" s="1080"/>
      <c r="P127" s="1080"/>
      <c r="Q127" s="1080"/>
      <c r="R127" s="1080"/>
      <c r="S127" s="1080"/>
      <c r="T127" s="1080"/>
      <c r="U127" s="1080"/>
      <c r="V127" s="1080"/>
      <c r="W127" s="1080"/>
      <c r="X127" s="1080"/>
      <c r="Y127" s="1080"/>
      <c r="Z127" s="1080"/>
      <c r="AA127" s="1080"/>
      <c r="AB127" s="1080"/>
      <c r="AC127" s="1080"/>
    </row>
    <row r="128" spans="1:29" ht="12" hidden="1" customHeight="1">
      <c r="A128" s="1275" t="s">
        <v>946</v>
      </c>
      <c r="B128" s="1298" t="s">
        <v>786</v>
      </c>
      <c r="C128" s="1277" t="s">
        <v>826</v>
      </c>
      <c r="D128" s="1278">
        <v>5.4477188197371677E-2</v>
      </c>
      <c r="E128" s="1278">
        <v>0.11670789435100801</v>
      </c>
      <c r="F128" s="1278">
        <v>7.3407894351008016E-2</v>
      </c>
      <c r="G128" s="1299">
        <v>4.1399999999999999E-2</v>
      </c>
      <c r="H128" s="1278">
        <v>9.9086411279544651E-2</v>
      </c>
      <c r="I128" s="1279">
        <v>5.5786411279544645E-2</v>
      </c>
      <c r="J128" s="1"/>
      <c r="K128" s="1"/>
      <c r="L128" s="1080"/>
      <c r="M128" s="1080"/>
      <c r="N128" s="1080"/>
      <c r="O128" s="1080"/>
      <c r="P128" s="1080"/>
      <c r="Q128" s="1080"/>
      <c r="R128" s="1080"/>
      <c r="S128" s="1080"/>
      <c r="T128" s="1080"/>
      <c r="U128" s="1080"/>
      <c r="V128" s="1080"/>
      <c r="W128" s="1080"/>
      <c r="X128" s="1080"/>
      <c r="Y128" s="1080"/>
      <c r="Z128" s="1080"/>
      <c r="AA128" s="1080"/>
      <c r="AB128" s="1080"/>
      <c r="AC128" s="1080"/>
    </row>
    <row r="129" spans="1:29" ht="12" hidden="1" customHeight="1">
      <c r="A129" s="1275" t="s">
        <v>947</v>
      </c>
      <c r="B129" s="1298" t="s">
        <v>796</v>
      </c>
      <c r="C129" s="1277" t="s">
        <v>819</v>
      </c>
      <c r="D129" s="1278">
        <v>5.9366166625340932E-3</v>
      </c>
      <c r="E129" s="1278">
        <v>5.1299578230558564E-2</v>
      </c>
      <c r="F129" s="1278">
        <v>7.9995782305585655E-3</v>
      </c>
      <c r="G129" s="1299">
        <v>6.4000000000000003E-3</v>
      </c>
      <c r="H129" s="1278">
        <v>5.1923986284760526E-2</v>
      </c>
      <c r="I129" s="1279">
        <v>8.6239862847605261E-3</v>
      </c>
      <c r="J129" s="1"/>
      <c r="K129" s="1"/>
      <c r="L129" s="1080"/>
      <c r="M129" s="1080"/>
      <c r="N129" s="1080"/>
      <c r="O129" s="1080"/>
      <c r="P129" s="1080"/>
      <c r="Q129" s="1080"/>
      <c r="R129" s="1080"/>
      <c r="S129" s="1080"/>
      <c r="T129" s="1080"/>
      <c r="U129" s="1080"/>
      <c r="V129" s="1080"/>
      <c r="W129" s="1080"/>
      <c r="X129" s="1080"/>
      <c r="Y129" s="1080"/>
      <c r="Z129" s="1080"/>
      <c r="AA129" s="1080"/>
      <c r="AB129" s="1080"/>
      <c r="AC129" s="1080"/>
    </row>
    <row r="130" spans="1:29" ht="12" hidden="1" customHeight="1">
      <c r="A130" s="1275" t="s">
        <v>948</v>
      </c>
      <c r="B130" s="1298" t="s">
        <v>786</v>
      </c>
      <c r="C130" s="1277" t="s">
        <v>802</v>
      </c>
      <c r="D130" s="1278">
        <v>4.4582827093148182E-2</v>
      </c>
      <c r="E130" s="1278">
        <v>0.10337526396674374</v>
      </c>
      <c r="F130" s="1278">
        <v>6.007526396674373E-2</v>
      </c>
      <c r="G130" s="1299">
        <v>5.8200000000000002E-2</v>
      </c>
      <c r="H130" s="1278">
        <v>0.12172437527704102</v>
      </c>
      <c r="I130" s="1279">
        <v>7.8424375277041034E-2</v>
      </c>
      <c r="J130" s="1"/>
      <c r="K130" s="1"/>
      <c r="L130" s="1080"/>
      <c r="M130" s="1080"/>
      <c r="N130" s="1080"/>
      <c r="O130" s="1080"/>
      <c r="P130" s="1080"/>
      <c r="Q130" s="1080"/>
      <c r="R130" s="1080"/>
      <c r="S130" s="1080"/>
      <c r="T130" s="1080"/>
      <c r="U130" s="1080"/>
      <c r="V130" s="1080"/>
      <c r="W130" s="1080"/>
      <c r="X130" s="1080"/>
      <c r="Y130" s="1080"/>
      <c r="Z130" s="1080"/>
      <c r="AA130" s="1080"/>
      <c r="AB130" s="1080"/>
      <c r="AC130" s="1080"/>
    </row>
    <row r="131" spans="1:29" ht="12" hidden="1" customHeight="1">
      <c r="A131" s="1275" t="s">
        <v>949</v>
      </c>
      <c r="B131" s="1298" t="s">
        <v>801</v>
      </c>
      <c r="C131" s="1277" t="s">
        <v>825</v>
      </c>
      <c r="D131" s="1278">
        <v>2.9799487560955448E-2</v>
      </c>
      <c r="E131" s="1278">
        <v>8.3454745627901811E-2</v>
      </c>
      <c r="F131" s="1278">
        <v>4.0154745627901819E-2</v>
      </c>
      <c r="G131" s="1299">
        <v>8.5000000000000006E-3</v>
      </c>
      <c r="H131" s="1278">
        <v>5.4753731784447569E-2</v>
      </c>
      <c r="I131" s="1279">
        <v>1.1453731784447573E-2</v>
      </c>
      <c r="J131" s="1"/>
      <c r="K131" s="1"/>
      <c r="L131" s="1080"/>
      <c r="M131" s="1080"/>
      <c r="N131" s="1080"/>
      <c r="O131" s="1080"/>
      <c r="P131" s="1080"/>
      <c r="Q131" s="1080"/>
      <c r="R131" s="1080"/>
      <c r="S131" s="1080"/>
      <c r="T131" s="1080"/>
      <c r="U131" s="1080"/>
      <c r="V131" s="1080"/>
      <c r="W131" s="1080"/>
      <c r="X131" s="1080"/>
      <c r="Y131" s="1080"/>
      <c r="Z131" s="1080"/>
      <c r="AA131" s="1080"/>
      <c r="AB131" s="1080"/>
      <c r="AC131" s="1080"/>
    </row>
    <row r="132" spans="1:29" ht="12" hidden="1" customHeight="1">
      <c r="A132" s="1275" t="s">
        <v>950</v>
      </c>
      <c r="B132" s="1298" t="s">
        <v>796</v>
      </c>
      <c r="C132" s="1277" t="s">
        <v>830</v>
      </c>
      <c r="D132" s="1278">
        <v>2.4794104884701216E-2</v>
      </c>
      <c r="E132" s="1278">
        <v>7.6710003198215193E-2</v>
      </c>
      <c r="F132" s="1278">
        <v>3.3410003198215195E-2</v>
      </c>
      <c r="G132" s="1299" t="e">
        <v>#N/A</v>
      </c>
      <c r="H132" s="1278" t="e">
        <v>#N/A</v>
      </c>
      <c r="I132" s="1279" t="e">
        <v>#N/A</v>
      </c>
      <c r="J132" s="1"/>
      <c r="K132" s="1"/>
      <c r="L132" s="1080"/>
      <c r="M132" s="1080"/>
      <c r="N132" s="1080"/>
      <c r="O132" s="1080"/>
      <c r="P132" s="1080"/>
      <c r="Q132" s="1080"/>
      <c r="R132" s="1080"/>
      <c r="S132" s="1080"/>
      <c r="T132" s="1080"/>
      <c r="U132" s="1080"/>
      <c r="V132" s="1080"/>
      <c r="W132" s="1080"/>
      <c r="X132" s="1080"/>
      <c r="Y132" s="1080"/>
      <c r="Z132" s="1080"/>
      <c r="AA132" s="1080"/>
      <c r="AB132" s="1080"/>
      <c r="AC132" s="1080"/>
    </row>
    <row r="133" spans="1:29" ht="12" hidden="1" customHeight="1">
      <c r="A133" s="1275" t="s">
        <v>951</v>
      </c>
      <c r="B133" s="1298" t="s">
        <v>832</v>
      </c>
      <c r="C133" s="1277" t="s">
        <v>822</v>
      </c>
      <c r="D133" s="1278">
        <v>0</v>
      </c>
      <c r="E133" s="1278">
        <v>4.3299999999999998E-2</v>
      </c>
      <c r="F133" s="1278">
        <v>0</v>
      </c>
      <c r="G133" s="1299" t="e">
        <v>#N/A</v>
      </c>
      <c r="H133" s="1278" t="e">
        <v>#N/A</v>
      </c>
      <c r="I133" s="1279" t="e">
        <v>#N/A</v>
      </c>
      <c r="J133" s="1"/>
      <c r="K133" s="1"/>
      <c r="L133" s="1080"/>
      <c r="M133" s="1080"/>
      <c r="N133" s="1080"/>
      <c r="O133" s="1080"/>
      <c r="P133" s="1080"/>
      <c r="Q133" s="1080"/>
      <c r="R133" s="1080"/>
      <c r="S133" s="1080"/>
      <c r="T133" s="1080"/>
      <c r="U133" s="1080"/>
      <c r="V133" s="1080"/>
      <c r="W133" s="1080"/>
      <c r="X133" s="1080"/>
      <c r="Y133" s="1080"/>
      <c r="Z133" s="1080"/>
      <c r="AA133" s="1080"/>
      <c r="AB133" s="1080"/>
      <c r="AC133" s="1080"/>
    </row>
    <row r="134" spans="1:29" ht="12" hidden="1" customHeight="1">
      <c r="A134" s="1275" t="s">
        <v>952</v>
      </c>
      <c r="B134" s="1298" t="s">
        <v>801</v>
      </c>
      <c r="C134" s="1277" t="s">
        <v>809</v>
      </c>
      <c r="D134" s="1278">
        <v>1.1873233325068186E-2</v>
      </c>
      <c r="E134" s="1278">
        <v>5.9299156461117129E-2</v>
      </c>
      <c r="F134" s="1278">
        <v>1.5999156461117131E-2</v>
      </c>
      <c r="G134" s="1299">
        <v>1.3999999999999993E-3</v>
      </c>
      <c r="H134" s="1278">
        <v>4.518649699979136E-2</v>
      </c>
      <c r="I134" s="1279">
        <v>1.8864969997913639E-3</v>
      </c>
      <c r="J134" s="1"/>
      <c r="K134" s="1"/>
      <c r="L134" s="1080"/>
      <c r="M134" s="1080"/>
      <c r="N134" s="1080"/>
      <c r="O134" s="1080"/>
      <c r="P134" s="1080"/>
      <c r="Q134" s="1080"/>
      <c r="R134" s="1080"/>
      <c r="S134" s="1080"/>
      <c r="T134" s="1080"/>
      <c r="U134" s="1080"/>
      <c r="V134" s="1080"/>
      <c r="W134" s="1080"/>
      <c r="X134" s="1080"/>
      <c r="Y134" s="1080"/>
      <c r="Z134" s="1080"/>
      <c r="AA134" s="1080"/>
      <c r="AB134" s="1080"/>
      <c r="AC134" s="1080"/>
    </row>
    <row r="135" spans="1:29" ht="12" hidden="1" customHeight="1">
      <c r="A135" s="1275" t="s">
        <v>953</v>
      </c>
      <c r="B135" s="1298" t="s">
        <v>801</v>
      </c>
      <c r="C135" s="1277" t="s">
        <v>809</v>
      </c>
      <c r="D135" s="1278">
        <v>1.1873233325068186E-2</v>
      </c>
      <c r="E135" s="1278">
        <v>5.9299156461117129E-2</v>
      </c>
      <c r="F135" s="1278">
        <v>1.5999156461117131E-2</v>
      </c>
      <c r="G135" s="1299">
        <v>3.0999999999999995E-3</v>
      </c>
      <c r="H135" s="1278">
        <v>4.7477243356680875E-2</v>
      </c>
      <c r="I135" s="1279">
        <v>4.177243356680879E-3</v>
      </c>
      <c r="J135" s="1"/>
      <c r="K135" s="1"/>
      <c r="L135" s="1080"/>
      <c r="M135" s="1080"/>
      <c r="N135" s="1080"/>
      <c r="O135" s="1080"/>
      <c r="P135" s="1080"/>
      <c r="Q135" s="1080"/>
      <c r="R135" s="1080"/>
      <c r="S135" s="1080"/>
      <c r="T135" s="1080"/>
      <c r="U135" s="1080"/>
      <c r="V135" s="1080"/>
      <c r="W135" s="1080"/>
      <c r="X135" s="1080"/>
      <c r="Y135" s="1080"/>
      <c r="Z135" s="1080"/>
      <c r="AA135" s="1080"/>
      <c r="AB135" s="1080"/>
      <c r="AC135" s="1080"/>
    </row>
    <row r="136" spans="1:29" ht="12" hidden="1" customHeight="1">
      <c r="A136" s="1275" t="s">
        <v>954</v>
      </c>
      <c r="B136" s="1298" t="s">
        <v>832</v>
      </c>
      <c r="C136" s="1277" t="s">
        <v>806</v>
      </c>
      <c r="D136" s="1278">
        <v>7.4265910405818647E-2</v>
      </c>
      <c r="E136" s="1278">
        <v>0.14337315511953655</v>
      </c>
      <c r="F136" s="1278">
        <v>0.10007315511953656</v>
      </c>
      <c r="G136" s="1299" t="e">
        <v>#N/A</v>
      </c>
      <c r="H136" s="1278" t="e">
        <v>#N/A</v>
      </c>
      <c r="I136" s="1279" t="e">
        <v>#N/A</v>
      </c>
      <c r="J136" s="1"/>
      <c r="K136" s="1"/>
      <c r="L136" s="1080"/>
      <c r="M136" s="1080"/>
      <c r="N136" s="1080"/>
      <c r="O136" s="1080"/>
      <c r="P136" s="1080"/>
      <c r="Q136" s="1080"/>
      <c r="R136" s="1080"/>
      <c r="S136" s="1080"/>
      <c r="T136" s="1080"/>
      <c r="U136" s="1080"/>
      <c r="V136" s="1080"/>
      <c r="W136" s="1080"/>
      <c r="X136" s="1080"/>
      <c r="Y136" s="1080"/>
      <c r="Z136" s="1080"/>
      <c r="AA136" s="1080"/>
      <c r="AB136" s="1080"/>
      <c r="AC136" s="1080"/>
    </row>
    <row r="137" spans="1:29" ht="12" hidden="1" customHeight="1">
      <c r="A137" s="1275" t="s">
        <v>955</v>
      </c>
      <c r="B137" s="1298" t="s">
        <v>786</v>
      </c>
      <c r="C137" s="1277" t="s">
        <v>825</v>
      </c>
      <c r="D137" s="1278">
        <v>2.9799487560955448E-2</v>
      </c>
      <c r="E137" s="1278">
        <v>8.3454745627901811E-2</v>
      </c>
      <c r="F137" s="1278">
        <v>4.0154745627901819E-2</v>
      </c>
      <c r="G137" s="1299">
        <v>2.5899999999999999E-2</v>
      </c>
      <c r="H137" s="1278">
        <v>7.8200194496140241E-2</v>
      </c>
      <c r="I137" s="1279">
        <v>3.4900194496140249E-2</v>
      </c>
      <c r="J137" s="1"/>
      <c r="K137" s="1"/>
      <c r="L137" s="1080"/>
      <c r="M137" s="1080"/>
      <c r="N137" s="1080"/>
      <c r="O137" s="1080"/>
      <c r="P137" s="1080"/>
      <c r="Q137" s="1080"/>
      <c r="R137" s="1080"/>
      <c r="S137" s="1080"/>
      <c r="T137" s="1080"/>
      <c r="U137" s="1080"/>
      <c r="V137" s="1080"/>
      <c r="W137" s="1080"/>
      <c r="X137" s="1080"/>
      <c r="Y137" s="1080"/>
      <c r="Z137" s="1080"/>
      <c r="AA137" s="1080"/>
      <c r="AB137" s="1080"/>
      <c r="AC137" s="1080"/>
    </row>
    <row r="138" spans="1:29" ht="12" hidden="1" customHeight="1">
      <c r="A138" s="1275" t="s">
        <v>956</v>
      </c>
      <c r="B138" s="1298" t="s">
        <v>805</v>
      </c>
      <c r="C138" s="1277" t="s">
        <v>818</v>
      </c>
      <c r="D138" s="1278">
        <v>1.5830977766757577E-2</v>
      </c>
      <c r="E138" s="1278">
        <v>6.4632208614822828E-2</v>
      </c>
      <c r="F138" s="1278">
        <v>2.1332208614822837E-2</v>
      </c>
      <c r="G138" s="1299">
        <v>2.5999999999999999E-3</v>
      </c>
      <c r="H138" s="1278">
        <v>4.6803494428183962E-2</v>
      </c>
      <c r="I138" s="1279">
        <v>3.5034944281839633E-3</v>
      </c>
      <c r="J138" s="1"/>
      <c r="K138" s="1"/>
      <c r="L138" s="1080"/>
      <c r="M138" s="1080"/>
      <c r="N138" s="1080"/>
      <c r="O138" s="1080"/>
      <c r="P138" s="1080"/>
      <c r="Q138" s="1080"/>
      <c r="R138" s="1080"/>
      <c r="S138" s="1080"/>
      <c r="T138" s="1080"/>
      <c r="U138" s="1080"/>
      <c r="V138" s="1080"/>
      <c r="W138" s="1080"/>
      <c r="X138" s="1080"/>
      <c r="Y138" s="1080"/>
      <c r="Z138" s="1080"/>
      <c r="AA138" s="1080"/>
      <c r="AB138" s="1080"/>
      <c r="AC138" s="1080"/>
    </row>
    <row r="139" spans="1:29" ht="12" hidden="1" customHeight="1">
      <c r="A139" s="1275" t="s">
        <v>957</v>
      </c>
      <c r="B139" s="1298" t="s">
        <v>832</v>
      </c>
      <c r="C139" s="1277" t="s">
        <v>812</v>
      </c>
      <c r="D139" s="1278">
        <v>0.11884873749896685</v>
      </c>
      <c r="E139" s="1278">
        <v>0.20344841908628034</v>
      </c>
      <c r="F139" s="1278">
        <v>0.16014841908628033</v>
      </c>
      <c r="G139" s="1299" t="s">
        <v>113</v>
      </c>
      <c r="H139" s="1278" t="s">
        <v>113</v>
      </c>
      <c r="I139" s="1279" t="s">
        <v>113</v>
      </c>
      <c r="J139" s="1"/>
      <c r="K139" s="1"/>
      <c r="L139" s="1080"/>
      <c r="M139" s="1080"/>
      <c r="N139" s="1080"/>
      <c r="O139" s="1080"/>
      <c r="P139" s="1080"/>
      <c r="Q139" s="1080"/>
      <c r="R139" s="1080"/>
      <c r="S139" s="1080"/>
      <c r="T139" s="1080"/>
      <c r="U139" s="1080"/>
      <c r="V139" s="1080"/>
      <c r="W139" s="1080"/>
      <c r="X139" s="1080"/>
      <c r="Y139" s="1080"/>
      <c r="Z139" s="1080"/>
      <c r="AA139" s="1080"/>
      <c r="AB139" s="1080"/>
      <c r="AC139" s="1080"/>
    </row>
    <row r="140" spans="1:29" ht="12" hidden="1" customHeight="1">
      <c r="A140" s="1275" t="s">
        <v>958</v>
      </c>
      <c r="B140" s="1298" t="s">
        <v>817</v>
      </c>
      <c r="C140" s="1277" t="s">
        <v>825</v>
      </c>
      <c r="D140" s="1278">
        <v>2.9799487560955448E-2</v>
      </c>
      <c r="E140" s="1278">
        <v>8.3454745627901811E-2</v>
      </c>
      <c r="F140" s="1278">
        <v>4.0154745627901819E-2</v>
      </c>
      <c r="G140" s="1299" t="e">
        <v>#N/A</v>
      </c>
      <c r="H140" s="1278" t="e">
        <v>#N/A</v>
      </c>
      <c r="I140" s="1279" t="e">
        <v>#N/A</v>
      </c>
      <c r="J140" s="1"/>
      <c r="K140" s="1"/>
      <c r="L140" s="1080"/>
      <c r="M140" s="1080"/>
      <c r="N140" s="1080"/>
      <c r="O140" s="1080"/>
      <c r="P140" s="1080"/>
      <c r="Q140" s="1080"/>
      <c r="R140" s="1080"/>
      <c r="S140" s="1080"/>
      <c r="T140" s="1080"/>
      <c r="U140" s="1080"/>
      <c r="V140" s="1080"/>
      <c r="W140" s="1080"/>
      <c r="X140" s="1080"/>
      <c r="Y140" s="1080"/>
      <c r="Z140" s="1080"/>
      <c r="AA140" s="1080"/>
      <c r="AB140" s="1080"/>
      <c r="AC140" s="1080"/>
    </row>
    <row r="141" spans="1:29" ht="12" hidden="1" customHeight="1">
      <c r="A141" s="1275" t="s">
        <v>959</v>
      </c>
      <c r="B141" s="1298" t="s">
        <v>817</v>
      </c>
      <c r="C141" s="1277" t="s">
        <v>828</v>
      </c>
      <c r="D141" s="1278">
        <v>6.4371549301595152E-2</v>
      </c>
      <c r="E141" s="1278">
        <v>0.13004052473527228</v>
      </c>
      <c r="F141" s="1278">
        <v>8.6740524735272273E-2</v>
      </c>
      <c r="G141" s="1299" t="e">
        <v>#N/A</v>
      </c>
      <c r="H141" s="1278" t="e">
        <v>#N/A</v>
      </c>
      <c r="I141" s="1279" t="e">
        <v>#N/A</v>
      </c>
      <c r="J141" s="1"/>
      <c r="K141" s="1"/>
      <c r="L141" s="1080"/>
      <c r="M141" s="1080"/>
      <c r="N141" s="1080"/>
      <c r="O141" s="1080"/>
      <c r="P141" s="1080"/>
      <c r="Q141" s="1080"/>
      <c r="R141" s="1080"/>
      <c r="S141" s="1080"/>
      <c r="T141" s="1080"/>
      <c r="U141" s="1080"/>
      <c r="V141" s="1080"/>
      <c r="W141" s="1080"/>
      <c r="X141" s="1080"/>
      <c r="Y141" s="1080"/>
      <c r="Z141" s="1080"/>
      <c r="AA141" s="1080"/>
      <c r="AB141" s="1080"/>
      <c r="AC141" s="1080"/>
    </row>
    <row r="142" spans="1:29" ht="12" hidden="1" customHeight="1">
      <c r="A142" s="1275" t="s">
        <v>960</v>
      </c>
      <c r="B142" s="1298" t="s">
        <v>811</v>
      </c>
      <c r="C142" s="1277" t="s">
        <v>806</v>
      </c>
      <c r="D142" s="1278">
        <v>7.4265910405818647E-2</v>
      </c>
      <c r="E142" s="1278">
        <v>0.14337315511953655</v>
      </c>
      <c r="F142" s="1278">
        <v>0.10007315511953656</v>
      </c>
      <c r="G142" s="1299" t="e">
        <v>#N/A</v>
      </c>
      <c r="H142" s="1278" t="e">
        <v>#N/A</v>
      </c>
      <c r="I142" s="1279" t="e">
        <v>#N/A</v>
      </c>
      <c r="J142" s="1"/>
      <c r="K142" s="1"/>
      <c r="L142" s="1080"/>
      <c r="M142" s="1080"/>
      <c r="N142" s="1080"/>
      <c r="O142" s="1080"/>
      <c r="P142" s="1080"/>
      <c r="Q142" s="1080"/>
      <c r="R142" s="1080"/>
      <c r="S142" s="1080"/>
      <c r="T142" s="1080"/>
      <c r="U142" s="1080"/>
      <c r="V142" s="1080"/>
      <c r="W142" s="1080"/>
      <c r="X142" s="1080"/>
      <c r="Y142" s="1080"/>
      <c r="Z142" s="1080"/>
      <c r="AA142" s="1080"/>
      <c r="AB142" s="1080"/>
      <c r="AC142" s="1080"/>
    </row>
    <row r="143" spans="1:29" ht="12" hidden="1" customHeight="1">
      <c r="A143" s="1275" t="s">
        <v>961</v>
      </c>
      <c r="B143" s="1298" t="s">
        <v>786</v>
      </c>
      <c r="C143" s="1277" t="s">
        <v>826</v>
      </c>
      <c r="D143" s="1278">
        <v>5.4477188197371677E-2</v>
      </c>
      <c r="E143" s="1278">
        <v>0.11670789435100801</v>
      </c>
      <c r="F143" s="1278">
        <v>7.3407894351008016E-2</v>
      </c>
      <c r="G143" s="1299" t="e">
        <v>#N/A</v>
      </c>
      <c r="H143" s="1278" t="e">
        <v>#N/A</v>
      </c>
      <c r="I143" s="1279" t="e">
        <v>#N/A</v>
      </c>
      <c r="J143" s="1"/>
      <c r="K143" s="1"/>
      <c r="L143" s="1080"/>
      <c r="M143" s="1080"/>
      <c r="N143" s="1080"/>
      <c r="O143" s="1080"/>
      <c r="P143" s="1080"/>
      <c r="Q143" s="1080"/>
      <c r="R143" s="1080"/>
      <c r="S143" s="1080"/>
      <c r="T143" s="1080"/>
      <c r="U143" s="1080"/>
      <c r="V143" s="1080"/>
      <c r="W143" s="1080"/>
      <c r="X143" s="1080"/>
      <c r="Y143" s="1080"/>
      <c r="Z143" s="1080"/>
      <c r="AA143" s="1080"/>
      <c r="AB143" s="1080"/>
      <c r="AC143" s="1080"/>
    </row>
    <row r="144" spans="1:29" ht="12" hidden="1" customHeight="1">
      <c r="A144" s="1275" t="s">
        <v>962</v>
      </c>
      <c r="B144" s="1298" t="s">
        <v>805</v>
      </c>
      <c r="C144" s="1277" t="s">
        <v>822</v>
      </c>
      <c r="D144" s="1278">
        <v>0</v>
      </c>
      <c r="E144" s="1278">
        <v>4.3299999999999998E-2</v>
      </c>
      <c r="F144" s="1278">
        <v>0</v>
      </c>
      <c r="G144" s="1299">
        <v>0</v>
      </c>
      <c r="H144" s="1278">
        <v>4.3299999999999998E-2</v>
      </c>
      <c r="I144" s="1279">
        <v>0</v>
      </c>
      <c r="J144" s="1"/>
      <c r="K144" s="1"/>
      <c r="L144" s="1080"/>
      <c r="M144" s="1080"/>
      <c r="N144" s="1080"/>
      <c r="O144" s="1080"/>
      <c r="P144" s="1080"/>
      <c r="Q144" s="1080"/>
      <c r="R144" s="1080"/>
      <c r="S144" s="1080"/>
      <c r="T144" s="1080"/>
      <c r="U144" s="1080"/>
      <c r="V144" s="1080"/>
      <c r="W144" s="1080"/>
      <c r="X144" s="1080"/>
      <c r="Y144" s="1080"/>
      <c r="Z144" s="1080"/>
      <c r="AA144" s="1080"/>
      <c r="AB144" s="1080"/>
      <c r="AC144" s="1080"/>
    </row>
    <row r="145" spans="1:29" ht="12" hidden="1" customHeight="1">
      <c r="A145" s="1275" t="s">
        <v>963</v>
      </c>
      <c r="B145" s="1298" t="s">
        <v>805</v>
      </c>
      <c r="C145" s="1277" t="s">
        <v>822</v>
      </c>
      <c r="D145" s="1278">
        <v>0</v>
      </c>
      <c r="E145" s="1278">
        <v>4.3299999999999998E-2</v>
      </c>
      <c r="F145" s="1278">
        <v>0</v>
      </c>
      <c r="G145" s="1299">
        <v>0</v>
      </c>
      <c r="H145" s="1278">
        <v>4.3299999999999998E-2</v>
      </c>
      <c r="I145" s="1279">
        <v>0</v>
      </c>
      <c r="J145" s="1"/>
      <c r="K145" s="1"/>
      <c r="L145" s="1080"/>
      <c r="M145" s="1080"/>
      <c r="N145" s="1080"/>
      <c r="O145" s="1080"/>
      <c r="P145" s="1080"/>
      <c r="Q145" s="1080"/>
      <c r="R145" s="1080"/>
      <c r="S145" s="1080"/>
      <c r="T145" s="1080"/>
      <c r="U145" s="1080"/>
      <c r="V145" s="1080"/>
      <c r="W145" s="1080"/>
      <c r="X145" s="1080"/>
      <c r="Y145" s="1080"/>
      <c r="Z145" s="1080"/>
      <c r="AA145" s="1080"/>
      <c r="AB145" s="1080"/>
      <c r="AC145" s="1080"/>
    </row>
    <row r="146" spans="1:29" ht="12" hidden="1" customHeight="1">
      <c r="A146" s="1275" t="s">
        <v>964</v>
      </c>
      <c r="B146" s="1298" t="s">
        <v>832</v>
      </c>
      <c r="C146" s="1277" t="s">
        <v>819</v>
      </c>
      <c r="D146" s="1278">
        <v>5.9366166625340932E-3</v>
      </c>
      <c r="E146" s="1278">
        <v>5.1299578230558564E-2</v>
      </c>
      <c r="F146" s="1278">
        <v>7.9995782305585655E-3</v>
      </c>
      <c r="G146" s="1299" t="e">
        <v>#N/A</v>
      </c>
      <c r="H146" s="1278" t="e">
        <v>#N/A</v>
      </c>
      <c r="I146" s="1279" t="e">
        <v>#N/A</v>
      </c>
      <c r="J146" s="1"/>
      <c r="K146" s="1"/>
      <c r="L146" s="1080"/>
      <c r="M146" s="1080"/>
      <c r="N146" s="1080"/>
      <c r="O146" s="1080"/>
      <c r="P146" s="1080"/>
      <c r="Q146" s="1080"/>
      <c r="R146" s="1080"/>
      <c r="S146" s="1080"/>
      <c r="T146" s="1080"/>
      <c r="U146" s="1080"/>
      <c r="V146" s="1080"/>
      <c r="W146" s="1080"/>
      <c r="X146" s="1080"/>
      <c r="Y146" s="1080"/>
      <c r="Z146" s="1080"/>
      <c r="AA146" s="1080"/>
      <c r="AB146" s="1080"/>
      <c r="AC146" s="1080"/>
    </row>
    <row r="147" spans="1:29" ht="12" hidden="1" customHeight="1">
      <c r="A147" s="1275" t="s">
        <v>965</v>
      </c>
      <c r="B147" s="1298" t="s">
        <v>801</v>
      </c>
      <c r="C147" s="1277" t="s">
        <v>828</v>
      </c>
      <c r="D147" s="1278">
        <v>6.4371549301595152E-2</v>
      </c>
      <c r="E147" s="1278">
        <v>0.13004052473527228</v>
      </c>
      <c r="F147" s="1278">
        <v>8.6740524735272273E-2</v>
      </c>
      <c r="G147" s="1299" t="e">
        <v>#N/A</v>
      </c>
      <c r="H147" s="1278" t="e">
        <v>#N/A</v>
      </c>
      <c r="I147" s="1279" t="e">
        <v>#N/A</v>
      </c>
      <c r="J147" s="1"/>
      <c r="K147" s="1"/>
      <c r="L147" s="1080"/>
      <c r="M147" s="1080"/>
      <c r="N147" s="1080"/>
      <c r="O147" s="1080"/>
      <c r="P147" s="1080"/>
      <c r="Q147" s="1080"/>
      <c r="R147" s="1080"/>
      <c r="S147" s="1080"/>
      <c r="T147" s="1080"/>
      <c r="U147" s="1080"/>
      <c r="V147" s="1080"/>
      <c r="W147" s="1080"/>
      <c r="X147" s="1080"/>
      <c r="Y147" s="1080"/>
      <c r="Z147" s="1080"/>
      <c r="AA147" s="1080"/>
      <c r="AB147" s="1080"/>
      <c r="AC147" s="1080"/>
    </row>
    <row r="148" spans="1:29" ht="12" hidden="1" customHeight="1">
      <c r="A148" s="1275" t="s">
        <v>966</v>
      </c>
      <c r="B148" s="1298" t="s">
        <v>786</v>
      </c>
      <c r="C148" s="1277" t="s">
        <v>802</v>
      </c>
      <c r="D148" s="1278">
        <v>4.4582827093148182E-2</v>
      </c>
      <c r="E148" s="1278">
        <v>0.10337526396674374</v>
      </c>
      <c r="F148" s="1278">
        <v>6.007526396674373E-2</v>
      </c>
      <c r="G148" s="1299" t="e">
        <v>#N/A</v>
      </c>
      <c r="H148" s="1278" t="e">
        <v>#N/A</v>
      </c>
      <c r="I148" s="1279" t="e">
        <v>#N/A</v>
      </c>
      <c r="J148" s="1"/>
      <c r="K148" s="1"/>
      <c r="L148" s="1080"/>
      <c r="M148" s="1080"/>
      <c r="N148" s="1080"/>
      <c r="O148" s="1080"/>
      <c r="P148" s="1080"/>
      <c r="Q148" s="1080"/>
      <c r="R148" s="1080"/>
      <c r="S148" s="1080"/>
      <c r="T148" s="1080"/>
      <c r="U148" s="1080"/>
      <c r="V148" s="1080"/>
      <c r="W148" s="1080"/>
      <c r="X148" s="1080"/>
      <c r="Y148" s="1080"/>
      <c r="Z148" s="1080"/>
      <c r="AA148" s="1080"/>
      <c r="AB148" s="1080"/>
      <c r="AC148" s="1080"/>
    </row>
    <row r="149" spans="1:29" ht="12" hidden="1" customHeight="1">
      <c r="A149" s="1275" t="s">
        <v>967</v>
      </c>
      <c r="B149" s="1298" t="s">
        <v>832</v>
      </c>
      <c r="C149" s="1277" t="s">
        <v>818</v>
      </c>
      <c r="D149" s="1278">
        <v>1.5830977766757577E-2</v>
      </c>
      <c r="E149" s="1278">
        <v>6.4632208614822828E-2</v>
      </c>
      <c r="F149" s="1278">
        <v>2.1332208614822837E-2</v>
      </c>
      <c r="G149" s="1299">
        <v>2.8999999999999998E-3</v>
      </c>
      <c r="H149" s="1278">
        <v>4.7207743785282114E-2</v>
      </c>
      <c r="I149" s="1279">
        <v>3.9077437852821128E-3</v>
      </c>
      <c r="J149" s="1"/>
      <c r="K149" s="1"/>
      <c r="L149" s="1080"/>
      <c r="M149" s="1080"/>
      <c r="N149" s="1080"/>
      <c r="O149" s="1080"/>
      <c r="P149" s="1080"/>
      <c r="Q149" s="1080"/>
      <c r="R149" s="1080"/>
      <c r="S149" s="1080"/>
      <c r="T149" s="1080"/>
      <c r="U149" s="1080"/>
      <c r="V149" s="1080"/>
      <c r="W149" s="1080"/>
      <c r="X149" s="1080"/>
      <c r="Y149" s="1080"/>
      <c r="Z149" s="1080"/>
      <c r="AA149" s="1080"/>
      <c r="AB149" s="1080"/>
      <c r="AC149" s="1080"/>
    </row>
    <row r="150" spans="1:29" ht="12" hidden="1" customHeight="1">
      <c r="A150" s="1275" t="s">
        <v>968</v>
      </c>
      <c r="B150" s="1298" t="s">
        <v>786</v>
      </c>
      <c r="C150" s="1277" t="s">
        <v>828</v>
      </c>
      <c r="D150" s="1278">
        <v>6.4371549301595152E-2</v>
      </c>
      <c r="E150" s="1278">
        <v>0.13004052473527228</v>
      </c>
      <c r="F150" s="1278">
        <v>8.6740524735272273E-2</v>
      </c>
      <c r="G150" s="1299" t="e">
        <v>#N/A</v>
      </c>
      <c r="H150" s="1278" t="e">
        <v>#N/A</v>
      </c>
      <c r="I150" s="1279" t="e">
        <v>#N/A</v>
      </c>
      <c r="J150" s="1"/>
      <c r="K150" s="1"/>
      <c r="L150" s="1080"/>
      <c r="M150" s="1080"/>
      <c r="N150" s="1080"/>
      <c r="O150" s="1080"/>
      <c r="P150" s="1080"/>
      <c r="Q150" s="1080"/>
      <c r="R150" s="1080"/>
      <c r="S150" s="1080"/>
      <c r="T150" s="1080"/>
      <c r="U150" s="1080"/>
      <c r="V150" s="1080"/>
      <c r="W150" s="1080"/>
      <c r="X150" s="1080"/>
      <c r="Y150" s="1080"/>
      <c r="Z150" s="1080"/>
      <c r="AA150" s="1080"/>
      <c r="AB150" s="1080"/>
      <c r="AC150" s="1080"/>
    </row>
    <row r="151" spans="1:29" ht="12" hidden="1" customHeight="1">
      <c r="A151" s="1275" t="s">
        <v>969</v>
      </c>
      <c r="B151" s="1298" t="s">
        <v>817</v>
      </c>
      <c r="C151" s="1277" t="s">
        <v>825</v>
      </c>
      <c r="D151" s="1278">
        <v>2.9799487560955448E-2</v>
      </c>
      <c r="E151" s="1278">
        <v>8.3454745627901811E-2</v>
      </c>
      <c r="F151" s="1278">
        <v>4.0154745627901819E-2</v>
      </c>
      <c r="G151" s="1299" t="e">
        <v>#N/A</v>
      </c>
      <c r="H151" s="1278" t="e">
        <v>#N/A</v>
      </c>
      <c r="I151" s="1279" t="e">
        <v>#N/A</v>
      </c>
      <c r="J151" s="1"/>
      <c r="K151" s="1"/>
      <c r="L151" s="1080"/>
      <c r="M151" s="1080"/>
      <c r="N151" s="1080"/>
      <c r="O151" s="1080"/>
      <c r="P151" s="1080"/>
      <c r="Q151" s="1080"/>
      <c r="R151" s="1080"/>
      <c r="S151" s="1080"/>
      <c r="T151" s="1080"/>
      <c r="U151" s="1080"/>
      <c r="V151" s="1080"/>
      <c r="W151" s="1080"/>
      <c r="X151" s="1080"/>
      <c r="Y151" s="1080"/>
      <c r="Z151" s="1080"/>
      <c r="AA151" s="1080"/>
      <c r="AB151" s="1080"/>
      <c r="AC151" s="1080"/>
    </row>
    <row r="152" spans="1:29" ht="12" hidden="1" customHeight="1">
      <c r="A152" s="1275" t="s">
        <v>970</v>
      </c>
      <c r="B152" s="1298" t="s">
        <v>786</v>
      </c>
      <c r="C152" s="1277" t="s">
        <v>860</v>
      </c>
      <c r="D152" s="1278">
        <v>8.9165654186296364E-2</v>
      </c>
      <c r="E152" s="1278">
        <v>0.16345052793348747</v>
      </c>
      <c r="F152" s="1278">
        <v>0.12015052793348746</v>
      </c>
      <c r="G152" s="1299">
        <v>9.8299999999999998E-2</v>
      </c>
      <c r="H152" s="1278">
        <v>0.17575903934249371</v>
      </c>
      <c r="I152" s="1279">
        <v>0.1324590393424937</v>
      </c>
      <c r="J152" s="1"/>
      <c r="K152" s="1"/>
      <c r="L152" s="1080"/>
      <c r="M152" s="1080"/>
      <c r="N152" s="1080"/>
      <c r="O152" s="1080"/>
      <c r="P152" s="1080"/>
      <c r="Q152" s="1080"/>
      <c r="R152" s="1080"/>
      <c r="S152" s="1080"/>
      <c r="T152" s="1080"/>
      <c r="U152" s="1080"/>
      <c r="V152" s="1080"/>
      <c r="W152" s="1080"/>
      <c r="X152" s="1080"/>
      <c r="Y152" s="1080"/>
      <c r="Z152" s="1080"/>
      <c r="AA152" s="1080"/>
      <c r="AB152" s="1080"/>
      <c r="AC152" s="1080"/>
    </row>
    <row r="153" spans="1:29" ht="12" hidden="1" customHeight="1">
      <c r="A153" s="1275" t="s">
        <v>971</v>
      </c>
      <c r="B153" s="1298" t="s">
        <v>805</v>
      </c>
      <c r="C153" s="1277" t="s">
        <v>802</v>
      </c>
      <c r="D153" s="1278">
        <v>4.4582827093148182E-2</v>
      </c>
      <c r="E153" s="1278">
        <v>0.10337526396674374</v>
      </c>
      <c r="F153" s="1278">
        <v>6.007526396674373E-2</v>
      </c>
      <c r="G153" s="1299">
        <v>3.2100000000000004E-2</v>
      </c>
      <c r="H153" s="1278">
        <v>8.6554681209502021E-2</v>
      </c>
      <c r="I153" s="1279">
        <v>4.3254681209502016E-2</v>
      </c>
      <c r="J153" s="1"/>
      <c r="K153" s="1"/>
      <c r="L153" s="1080"/>
      <c r="M153" s="1080"/>
      <c r="N153" s="1080"/>
      <c r="O153" s="1080"/>
      <c r="P153" s="1080"/>
      <c r="Q153" s="1080"/>
      <c r="R153" s="1080"/>
      <c r="S153" s="1080"/>
      <c r="T153" s="1080"/>
      <c r="U153" s="1080"/>
      <c r="V153" s="1080"/>
      <c r="W153" s="1080"/>
      <c r="X153" s="1080"/>
      <c r="Y153" s="1080"/>
      <c r="Z153" s="1080"/>
      <c r="AA153" s="1080"/>
      <c r="AB153" s="1080"/>
      <c r="AC153" s="1080"/>
    </row>
    <row r="154" spans="1:29" ht="12" hidden="1" customHeight="1">
      <c r="A154" s="1275" t="s">
        <v>972</v>
      </c>
      <c r="B154" s="1298" t="s">
        <v>817</v>
      </c>
      <c r="C154" s="1277" t="s">
        <v>818</v>
      </c>
      <c r="D154" s="1278">
        <v>1.5830977766757577E-2</v>
      </c>
      <c r="E154" s="1278">
        <v>6.4632208614822828E-2</v>
      </c>
      <c r="F154" s="1278">
        <v>2.1332208614822837E-2</v>
      </c>
      <c r="G154" s="1299" t="e">
        <v>#N/A</v>
      </c>
      <c r="H154" s="1278" t="e">
        <v>#N/A</v>
      </c>
      <c r="I154" s="1279" t="e">
        <v>#N/A</v>
      </c>
      <c r="J154" s="1"/>
      <c r="K154" s="1"/>
      <c r="L154" s="1080"/>
      <c r="M154" s="1080"/>
      <c r="N154" s="1080"/>
      <c r="O154" s="1080"/>
      <c r="P154" s="1080"/>
      <c r="Q154" s="1080"/>
      <c r="R154" s="1080"/>
      <c r="S154" s="1080"/>
      <c r="T154" s="1080"/>
      <c r="U154" s="1080"/>
      <c r="V154" s="1080"/>
      <c r="W154" s="1080"/>
      <c r="X154" s="1080"/>
      <c r="Y154" s="1080"/>
      <c r="Z154" s="1080"/>
      <c r="AA154" s="1080"/>
      <c r="AB154" s="1080"/>
      <c r="AC154" s="1080"/>
    </row>
    <row r="155" spans="1:29" ht="12" hidden="1" customHeight="1">
      <c r="A155" s="1275" t="s">
        <v>973</v>
      </c>
      <c r="B155" s="1298" t="s">
        <v>786</v>
      </c>
      <c r="C155" s="1277" t="s">
        <v>828</v>
      </c>
      <c r="D155" s="1278">
        <v>6.4371549301595152E-2</v>
      </c>
      <c r="E155" s="1278">
        <v>0.13004052473527228</v>
      </c>
      <c r="F155" s="1278">
        <v>8.6740524735272273E-2</v>
      </c>
      <c r="G155" s="1299" t="e">
        <v>#N/A</v>
      </c>
      <c r="H155" s="1278" t="e">
        <v>#N/A</v>
      </c>
      <c r="I155" s="1279" t="e">
        <v>#N/A</v>
      </c>
      <c r="J155" s="1"/>
      <c r="K155" s="1"/>
      <c r="L155" s="1080"/>
      <c r="M155" s="1080"/>
      <c r="N155" s="1080"/>
      <c r="O155" s="1080"/>
      <c r="P155" s="1080"/>
      <c r="Q155" s="1080"/>
      <c r="R155" s="1080"/>
      <c r="S155" s="1080"/>
      <c r="T155" s="1080"/>
      <c r="U155" s="1080"/>
      <c r="V155" s="1080"/>
      <c r="W155" s="1080"/>
      <c r="X155" s="1080"/>
      <c r="Y155" s="1080"/>
      <c r="Z155" s="1080"/>
      <c r="AA155" s="1080"/>
      <c r="AB155" s="1080"/>
      <c r="AC155" s="1080"/>
    </row>
    <row r="156" spans="1:29" ht="12" hidden="1" customHeight="1">
      <c r="A156" s="1275" t="s">
        <v>974</v>
      </c>
      <c r="B156" s="1298" t="s">
        <v>801</v>
      </c>
      <c r="C156" s="1277" t="s">
        <v>812</v>
      </c>
      <c r="D156" s="1278">
        <v>0.11884873749896685</v>
      </c>
      <c r="E156" s="1278">
        <v>0.20344841908628034</v>
      </c>
      <c r="F156" s="1278">
        <v>0.16014841908628033</v>
      </c>
      <c r="G156" s="1299" t="s">
        <v>113</v>
      </c>
      <c r="H156" s="1278" t="s">
        <v>113</v>
      </c>
      <c r="I156" s="1279" t="s">
        <v>113</v>
      </c>
      <c r="J156" s="1"/>
      <c r="K156" s="1"/>
      <c r="L156" s="1080"/>
      <c r="M156" s="1080"/>
      <c r="N156" s="1080"/>
      <c r="O156" s="1080"/>
      <c r="P156" s="1080"/>
      <c r="Q156" s="1080"/>
      <c r="R156" s="1080"/>
      <c r="S156" s="1080"/>
      <c r="T156" s="1080"/>
      <c r="U156" s="1080"/>
      <c r="V156" s="1080"/>
      <c r="W156" s="1080"/>
      <c r="X156" s="1080"/>
      <c r="Y156" s="1080"/>
      <c r="Z156" s="1080"/>
      <c r="AA156" s="1080"/>
      <c r="AB156" s="1080"/>
      <c r="AC156" s="1080"/>
    </row>
    <row r="157" spans="1:29" ht="12" hidden="1" customHeight="1">
      <c r="A157" s="1275" t="s">
        <v>975</v>
      </c>
      <c r="B157" s="1298" t="s">
        <v>796</v>
      </c>
      <c r="C157" s="1277" t="s">
        <v>797</v>
      </c>
      <c r="D157" s="1278">
        <v>4.8889784279692525E-3</v>
      </c>
      <c r="E157" s="1278">
        <v>4.9887887954577638E-2</v>
      </c>
      <c r="F157" s="1278">
        <v>6.5878879545776415E-3</v>
      </c>
      <c r="G157" s="1299" t="e">
        <v>#N/A</v>
      </c>
      <c r="H157" s="1278" t="e">
        <v>#N/A</v>
      </c>
      <c r="I157" s="1279" t="e">
        <v>#N/A</v>
      </c>
      <c r="J157" s="1"/>
      <c r="K157" s="1"/>
      <c r="L157" s="1080"/>
      <c r="M157" s="1080"/>
      <c r="N157" s="1080"/>
      <c r="O157" s="1080"/>
      <c r="P157" s="1080"/>
      <c r="Q157" s="1080"/>
      <c r="R157" s="1080"/>
      <c r="S157" s="1080"/>
      <c r="T157" s="1080"/>
      <c r="U157" s="1080"/>
      <c r="V157" s="1080"/>
      <c r="W157" s="1080"/>
      <c r="X157" s="1080"/>
      <c r="Y157" s="1080"/>
      <c r="Z157" s="1080"/>
      <c r="AA157" s="1080"/>
      <c r="AB157" s="1080"/>
      <c r="AC157" s="1080"/>
    </row>
    <row r="158" spans="1:29" ht="12" hidden="1" customHeight="1">
      <c r="A158" s="1275" t="s">
        <v>976</v>
      </c>
      <c r="B158" s="1298" t="s">
        <v>805</v>
      </c>
      <c r="C158" s="1277" t="s">
        <v>819</v>
      </c>
      <c r="D158" s="1278">
        <v>5.9366166625340932E-3</v>
      </c>
      <c r="E158" s="1278">
        <v>5.1299578230558564E-2</v>
      </c>
      <c r="F158" s="1278">
        <v>7.9995782305585655E-3</v>
      </c>
      <c r="G158" s="1299">
        <v>0</v>
      </c>
      <c r="H158" s="1278">
        <v>4.3299999999999998E-2</v>
      </c>
      <c r="I158" s="1279">
        <v>0</v>
      </c>
      <c r="J158" s="1"/>
      <c r="K158" s="1"/>
      <c r="L158" s="1080"/>
      <c r="M158" s="1080"/>
      <c r="N158" s="1080"/>
      <c r="O158" s="1080"/>
      <c r="P158" s="1080"/>
      <c r="Q158" s="1080"/>
      <c r="R158" s="1080"/>
      <c r="S158" s="1080"/>
      <c r="T158" s="1080"/>
      <c r="U158" s="1080"/>
      <c r="V158" s="1080"/>
      <c r="W158" s="1080"/>
      <c r="X158" s="1080"/>
      <c r="Y158" s="1080"/>
      <c r="Z158" s="1080"/>
      <c r="AA158" s="1080"/>
      <c r="AB158" s="1080"/>
      <c r="AC158" s="1080"/>
    </row>
    <row r="159" spans="1:29" ht="12" hidden="1" customHeight="1">
      <c r="A159" s="1275" t="s">
        <v>977</v>
      </c>
      <c r="B159" s="1298" t="s">
        <v>852</v>
      </c>
      <c r="C159" s="1277" t="s">
        <v>822</v>
      </c>
      <c r="D159" s="1278">
        <v>0</v>
      </c>
      <c r="E159" s="1278">
        <v>4.3299999999999998E-2</v>
      </c>
      <c r="F159" s="1278">
        <v>0</v>
      </c>
      <c r="G159" s="1299">
        <v>0</v>
      </c>
      <c r="H159" s="1278">
        <v>4.3299999999999998E-2</v>
      </c>
      <c r="I159" s="1279">
        <v>0</v>
      </c>
      <c r="J159" s="1"/>
      <c r="K159" s="1"/>
      <c r="L159" s="1080"/>
      <c r="M159" s="1080"/>
      <c r="N159" s="1080"/>
      <c r="O159" s="1080"/>
      <c r="P159" s="1080"/>
      <c r="Q159" s="1080"/>
      <c r="R159" s="1080"/>
      <c r="S159" s="1080"/>
      <c r="T159" s="1080"/>
      <c r="U159" s="1080"/>
      <c r="V159" s="1080"/>
      <c r="W159" s="1080"/>
      <c r="X159" s="1080"/>
      <c r="Y159" s="1080"/>
      <c r="Z159" s="1080"/>
      <c r="AA159" s="1080"/>
      <c r="AB159" s="1080"/>
      <c r="AC159" s="1080"/>
    </row>
    <row r="160" spans="1:29" ht="12" hidden="1" customHeight="1">
      <c r="A160" s="1275" t="s">
        <v>978</v>
      </c>
      <c r="B160" s="1298" t="s">
        <v>811</v>
      </c>
      <c r="C160" s="1277" t="s">
        <v>818</v>
      </c>
      <c r="D160" s="1278">
        <v>1.5830977766757577E-2</v>
      </c>
      <c r="E160" s="1278">
        <v>6.4632208614822828E-2</v>
      </c>
      <c r="F160" s="1278">
        <v>2.1332208614822837E-2</v>
      </c>
      <c r="G160" s="1299">
        <v>8.6E-3</v>
      </c>
      <c r="H160" s="1286">
        <v>5.4888481570146953E-2</v>
      </c>
      <c r="I160" s="1287">
        <v>1.1588481570146955E-2</v>
      </c>
      <c r="J160" s="1"/>
      <c r="K160" s="1"/>
      <c r="L160" s="1080"/>
      <c r="M160" s="1080"/>
      <c r="N160" s="1080"/>
      <c r="O160" s="1080"/>
      <c r="P160" s="1080"/>
      <c r="Q160" s="1080"/>
      <c r="R160" s="1080"/>
      <c r="S160" s="1080"/>
      <c r="T160" s="1080"/>
      <c r="U160" s="1080"/>
      <c r="V160" s="1080"/>
      <c r="W160" s="1080"/>
      <c r="X160" s="1080"/>
      <c r="Y160" s="1080"/>
      <c r="Z160" s="1080"/>
      <c r="AA160" s="1080"/>
      <c r="AB160" s="1080"/>
      <c r="AC160" s="1080"/>
    </row>
    <row r="161" spans="1:29" ht="12" hidden="1" customHeight="1">
      <c r="A161" s="1275" t="s">
        <v>979</v>
      </c>
      <c r="B161" s="1298" t="s">
        <v>801</v>
      </c>
      <c r="C161" s="1277" t="s">
        <v>815</v>
      </c>
      <c r="D161" s="1278">
        <v>3.5619699975204554E-2</v>
      </c>
      <c r="E161" s="1278">
        <v>9.1297469383351385E-2</v>
      </c>
      <c r="F161" s="1278">
        <v>4.7997469383351386E-2</v>
      </c>
      <c r="G161" s="1299" t="e">
        <v>#N/A</v>
      </c>
      <c r="H161" s="1286" t="e">
        <v>#N/A</v>
      </c>
      <c r="I161" s="1287" t="e">
        <v>#N/A</v>
      </c>
      <c r="J161" s="1"/>
      <c r="K161" s="1"/>
      <c r="L161" s="1080"/>
      <c r="M161" s="1080"/>
      <c r="N161" s="1080"/>
      <c r="O161" s="1080"/>
      <c r="P161" s="1080"/>
      <c r="Q161" s="1080"/>
      <c r="R161" s="1080"/>
      <c r="S161" s="1080"/>
      <c r="T161" s="1080"/>
      <c r="U161" s="1080"/>
      <c r="V161" s="1080"/>
      <c r="W161" s="1080"/>
      <c r="X161" s="1080"/>
      <c r="Y161" s="1080"/>
      <c r="Z161" s="1080"/>
      <c r="AA161" s="1080"/>
      <c r="AB161" s="1080"/>
      <c r="AC161" s="1080"/>
    </row>
    <row r="162" spans="1:29" ht="12" hidden="1" customHeight="1">
      <c r="A162" s="1275" t="s">
        <v>980</v>
      </c>
      <c r="B162" s="1298" t="s">
        <v>811</v>
      </c>
      <c r="C162" s="1277" t="s">
        <v>38</v>
      </c>
      <c r="D162" s="1278">
        <v>0.17499999999999999</v>
      </c>
      <c r="E162" s="1278">
        <v>0.27911212497392057</v>
      </c>
      <c r="F162" s="1278">
        <v>0.23581212497392059</v>
      </c>
      <c r="G162" s="1299">
        <v>9.6699999999999994E-2</v>
      </c>
      <c r="H162" s="1286">
        <v>0.17360304277130356</v>
      </c>
      <c r="I162" s="1287">
        <v>0.13030304277130356</v>
      </c>
      <c r="J162" s="1"/>
      <c r="K162" s="1"/>
      <c r="L162" s="1080"/>
      <c r="M162" s="1080"/>
      <c r="N162" s="1080"/>
      <c r="O162" s="1080"/>
      <c r="P162" s="1080"/>
      <c r="Q162" s="1080"/>
      <c r="R162" s="1080"/>
      <c r="S162" s="1080"/>
      <c r="T162" s="1080"/>
      <c r="U162" s="1080"/>
      <c r="V162" s="1080"/>
      <c r="W162" s="1080"/>
      <c r="X162" s="1080"/>
      <c r="Y162" s="1080"/>
      <c r="Z162" s="1080"/>
      <c r="AA162" s="1080"/>
      <c r="AB162" s="1080"/>
      <c r="AC162" s="1080"/>
    </row>
    <row r="163" spans="1:29" ht="12" hidden="1" customHeight="1">
      <c r="A163" s="1275" t="s">
        <v>981</v>
      </c>
      <c r="B163" s="1298" t="s">
        <v>832</v>
      </c>
      <c r="C163" s="1277" t="s">
        <v>825</v>
      </c>
      <c r="D163" s="1278">
        <v>2.9799487560955448E-2</v>
      </c>
      <c r="E163" s="1278">
        <v>8.3454745627901811E-2</v>
      </c>
      <c r="F163" s="1278">
        <v>4.0154745627901819E-2</v>
      </c>
      <c r="G163" s="1299">
        <v>1.2400000000000001E-2</v>
      </c>
      <c r="H163" s="1286">
        <v>6.0008973426723518E-2</v>
      </c>
      <c r="I163" s="1287">
        <v>1.670897342672352E-2</v>
      </c>
      <c r="J163" s="1"/>
      <c r="K163" s="1"/>
      <c r="L163" s="1080"/>
      <c r="M163" s="1080"/>
      <c r="N163" s="1080"/>
      <c r="O163" s="1080"/>
      <c r="P163" s="1080"/>
      <c r="Q163" s="1080"/>
      <c r="R163" s="1080"/>
      <c r="S163" s="1080"/>
      <c r="T163" s="1080"/>
      <c r="U163" s="1080"/>
      <c r="V163" s="1080"/>
      <c r="W163" s="1080"/>
      <c r="X163" s="1080"/>
      <c r="Y163" s="1080"/>
      <c r="Z163" s="1080"/>
      <c r="AA163" s="1080"/>
      <c r="AB163" s="1080"/>
      <c r="AC163" s="1080"/>
    </row>
    <row r="164" spans="1:29" ht="12" hidden="1" customHeight="1">
      <c r="A164" s="1275" t="s">
        <v>982</v>
      </c>
      <c r="B164" s="1298" t="s">
        <v>786</v>
      </c>
      <c r="C164" s="1277" t="s">
        <v>860</v>
      </c>
      <c r="D164" s="1278">
        <v>8.9165654186296364E-2</v>
      </c>
      <c r="E164" s="1278">
        <v>0.16345052793348747</v>
      </c>
      <c r="F164" s="1278">
        <v>0.12015052793348746</v>
      </c>
      <c r="G164" s="1299" t="s">
        <v>113</v>
      </c>
      <c r="H164" s="1286" t="s">
        <v>113</v>
      </c>
      <c r="I164" s="1287" t="s">
        <v>113</v>
      </c>
      <c r="J164" s="1"/>
      <c r="K164" s="1"/>
      <c r="L164" s="1080"/>
      <c r="M164" s="1080"/>
      <c r="N164" s="1080"/>
      <c r="O164" s="1080"/>
      <c r="P164" s="1080"/>
      <c r="Q164" s="1080"/>
      <c r="R164" s="1080"/>
      <c r="S164" s="1080"/>
      <c r="T164" s="1080"/>
      <c r="U164" s="1080"/>
      <c r="V164" s="1080"/>
      <c r="W164" s="1080"/>
      <c r="X164" s="1080"/>
      <c r="Y164" s="1080"/>
      <c r="Z164" s="1080"/>
      <c r="AA164" s="1080"/>
      <c r="AB164" s="1080"/>
      <c r="AC164" s="1080"/>
    </row>
    <row r="165" spans="1:29" ht="12" customHeight="1">
      <c r="A165" s="1302"/>
      <c r="B165" s="1303"/>
      <c r="C165" s="1303"/>
      <c r="D165" s="1303"/>
      <c r="E165" s="1303"/>
      <c r="F165" s="1304"/>
      <c r="G165" s="1304"/>
      <c r="H165" s="1305"/>
      <c r="I165" s="1305"/>
      <c r="J165" s="1306"/>
      <c r="K165" s="1306"/>
      <c r="L165" s="1080"/>
      <c r="M165" s="1080"/>
      <c r="N165" s="1080"/>
      <c r="O165" s="1080"/>
      <c r="P165" s="1080"/>
      <c r="Q165" s="1080"/>
      <c r="R165" s="1080"/>
      <c r="S165" s="1080"/>
      <c r="T165" s="1080"/>
      <c r="U165" s="1080"/>
      <c r="V165" s="1080"/>
      <c r="W165" s="1080"/>
      <c r="X165" s="1080"/>
      <c r="Y165" s="1080"/>
      <c r="Z165" s="1080"/>
      <c r="AA165" s="1080"/>
      <c r="AB165" s="1080"/>
      <c r="AC165" s="1080"/>
    </row>
    <row r="166" spans="1:29" ht="12" customHeight="1">
      <c r="A166" s="1268" t="s">
        <v>785</v>
      </c>
      <c r="B166" s="1268" t="s">
        <v>984</v>
      </c>
      <c r="C166" s="1290" t="s">
        <v>738</v>
      </c>
      <c r="D166" s="1290" t="s">
        <v>985</v>
      </c>
      <c r="E166" s="1290" t="s">
        <v>986</v>
      </c>
      <c r="F166" s="1307"/>
      <c r="G166" s="1307"/>
      <c r="H166" s="1307"/>
      <c r="I166" s="1307"/>
      <c r="J166" s="1308"/>
      <c r="K166" s="1308"/>
      <c r="L166" s="1290"/>
      <c r="M166" s="1290"/>
      <c r="N166" s="1290"/>
      <c r="O166" s="1290"/>
      <c r="P166" s="1290"/>
      <c r="Q166" s="1290"/>
      <c r="R166" s="1290"/>
      <c r="S166" s="1290"/>
      <c r="T166" s="1290"/>
      <c r="U166" s="1290"/>
      <c r="V166" s="1290"/>
      <c r="W166" s="1290"/>
      <c r="X166" s="1290"/>
      <c r="Y166" s="1290"/>
      <c r="Z166" s="1290"/>
      <c r="AA166" s="1290"/>
      <c r="AB166" s="1290"/>
      <c r="AC166" s="1290"/>
    </row>
    <row r="167" spans="1:29" ht="12" customHeight="1">
      <c r="A167" s="990" t="s">
        <v>447</v>
      </c>
      <c r="B167" s="100" t="s">
        <v>447</v>
      </c>
      <c r="C167" s="103" t="s">
        <v>447</v>
      </c>
      <c r="D167" s="103" t="s">
        <v>447</v>
      </c>
      <c r="E167" s="103" t="s">
        <v>447</v>
      </c>
      <c r="F167" s="1309"/>
      <c r="G167" s="1305"/>
      <c r="H167" s="1305"/>
      <c r="I167" s="1306"/>
      <c r="J167" s="1310"/>
      <c r="K167" s="1310"/>
      <c r="L167" s="1080"/>
      <c r="M167" s="1080"/>
      <c r="N167" s="1080"/>
      <c r="O167" s="1080"/>
      <c r="P167" s="1080"/>
      <c r="Q167" s="1080"/>
      <c r="R167" s="1080"/>
      <c r="S167" s="1080"/>
      <c r="T167" s="1080"/>
      <c r="U167" s="1080"/>
      <c r="V167" s="1080"/>
      <c r="W167" s="1080"/>
      <c r="X167" s="1080"/>
      <c r="Y167" s="1080"/>
      <c r="Z167" s="1080"/>
      <c r="AA167" s="1080"/>
      <c r="AB167" s="1080"/>
      <c r="AC167" s="1080"/>
    </row>
    <row r="168" spans="1:29" ht="12" customHeight="1">
      <c r="A168" s="990" t="s">
        <v>447</v>
      </c>
      <c r="B168" s="100" t="s">
        <v>447</v>
      </c>
      <c r="C168" s="103" t="s">
        <v>447</v>
      </c>
      <c r="D168" s="103" t="s">
        <v>447</v>
      </c>
      <c r="E168" s="103" t="s">
        <v>447</v>
      </c>
      <c r="F168" s="1311"/>
      <c r="G168" s="1312"/>
      <c r="H168" s="1312"/>
      <c r="I168" s="1308"/>
      <c r="J168" s="1308"/>
      <c r="K168" s="1308"/>
      <c r="L168" s="1080"/>
      <c r="M168" s="1080"/>
      <c r="N168" s="1080"/>
      <c r="O168" s="1080"/>
      <c r="P168" s="1080"/>
      <c r="Q168" s="1080"/>
      <c r="R168" s="1080"/>
      <c r="S168" s="1080"/>
      <c r="T168" s="1080"/>
      <c r="U168" s="1080"/>
      <c r="V168" s="1080"/>
      <c r="W168" s="1080"/>
      <c r="X168" s="1080"/>
      <c r="Y168" s="1080"/>
      <c r="Z168" s="1080"/>
      <c r="AA168" s="1080"/>
      <c r="AB168" s="1080"/>
      <c r="AC168" s="1080"/>
    </row>
    <row r="169" spans="1:29" ht="12" customHeight="1">
      <c r="A169" s="990" t="s">
        <v>447</v>
      </c>
      <c r="B169" s="100" t="s">
        <v>447</v>
      </c>
      <c r="C169" s="103" t="s">
        <v>447</v>
      </c>
      <c r="D169" s="103" t="s">
        <v>447</v>
      </c>
      <c r="E169" s="103" t="s">
        <v>447</v>
      </c>
      <c r="F169" s="1309"/>
      <c r="G169" s="1305"/>
      <c r="H169" s="1305"/>
      <c r="I169" s="1306"/>
      <c r="J169" s="1306"/>
      <c r="K169" s="1306"/>
      <c r="L169" s="1080"/>
      <c r="M169" s="1080"/>
      <c r="N169" s="1080"/>
      <c r="O169" s="1080"/>
      <c r="P169" s="1080"/>
      <c r="Q169" s="1080"/>
      <c r="R169" s="1080"/>
      <c r="S169" s="1080"/>
      <c r="T169" s="1080"/>
      <c r="U169" s="1080"/>
      <c r="V169" s="1080"/>
      <c r="W169" s="1080"/>
      <c r="X169" s="1080"/>
      <c r="Y169" s="1080"/>
      <c r="Z169" s="1080"/>
      <c r="AA169" s="1080"/>
      <c r="AB169" s="1080"/>
      <c r="AC169" s="1080"/>
    </row>
    <row r="170" spans="1:29" ht="12" customHeight="1">
      <c r="A170" s="990" t="s">
        <v>447</v>
      </c>
      <c r="B170" s="100" t="s">
        <v>447</v>
      </c>
      <c r="C170" s="103" t="s">
        <v>447</v>
      </c>
      <c r="D170" s="103" t="s">
        <v>447</v>
      </c>
      <c r="E170" s="103" t="s">
        <v>447</v>
      </c>
      <c r="F170" s="1311"/>
      <c r="G170" s="1312"/>
      <c r="H170" s="1312"/>
      <c r="I170" s="1308"/>
      <c r="J170" s="1308"/>
      <c r="K170" s="1308"/>
      <c r="L170" s="1080"/>
      <c r="M170" s="1080"/>
      <c r="N170" s="1080"/>
      <c r="O170" s="1080"/>
      <c r="P170" s="1080"/>
      <c r="Q170" s="1080"/>
      <c r="R170" s="1080"/>
      <c r="S170" s="1080"/>
      <c r="T170" s="1080"/>
      <c r="U170" s="1080"/>
      <c r="V170" s="1080"/>
      <c r="W170" s="1080"/>
      <c r="X170" s="1080"/>
      <c r="Y170" s="1080"/>
      <c r="Z170" s="1080"/>
      <c r="AA170" s="1080"/>
      <c r="AB170" s="1080"/>
      <c r="AC170" s="1080"/>
    </row>
    <row r="171" spans="1:29" ht="12" customHeight="1">
      <c r="A171" s="990" t="s">
        <v>447</v>
      </c>
      <c r="B171" s="100" t="s">
        <v>447</v>
      </c>
      <c r="C171" s="103" t="s">
        <v>447</v>
      </c>
      <c r="D171" s="103" t="s">
        <v>447</v>
      </c>
      <c r="E171" s="103" t="s">
        <v>447</v>
      </c>
      <c r="F171" s="1309"/>
      <c r="G171" s="1305"/>
      <c r="H171" s="1305"/>
      <c r="I171" s="1306"/>
      <c r="J171" s="1306"/>
      <c r="K171" s="1306"/>
      <c r="L171" s="1080"/>
      <c r="M171" s="1080"/>
      <c r="N171" s="1080"/>
      <c r="O171" s="1080"/>
      <c r="P171" s="1080"/>
      <c r="Q171" s="1080"/>
      <c r="R171" s="1080"/>
      <c r="S171" s="1080"/>
      <c r="T171" s="1080"/>
      <c r="U171" s="1080"/>
      <c r="V171" s="1080"/>
      <c r="W171" s="1080"/>
      <c r="X171" s="1080"/>
      <c r="Y171" s="1080"/>
      <c r="Z171" s="1080"/>
      <c r="AA171" s="1080"/>
      <c r="AB171" s="1080"/>
      <c r="AC171" s="1080"/>
    </row>
    <row r="172" spans="1:29" ht="12" customHeight="1">
      <c r="A172" s="990" t="s">
        <v>447</v>
      </c>
      <c r="B172" s="100" t="s">
        <v>447</v>
      </c>
      <c r="C172" s="103" t="s">
        <v>447</v>
      </c>
      <c r="D172" s="103" t="s">
        <v>447</v>
      </c>
      <c r="E172" s="103" t="s">
        <v>447</v>
      </c>
      <c r="F172" s="1311"/>
      <c r="G172" s="1312"/>
      <c r="H172" s="1312"/>
      <c r="I172" s="1308"/>
      <c r="J172" s="1308"/>
      <c r="K172" s="1308"/>
      <c r="L172" s="1080"/>
      <c r="M172" s="1080"/>
      <c r="N172" s="1080"/>
      <c r="O172" s="1080"/>
      <c r="P172" s="1080"/>
      <c r="Q172" s="1080"/>
      <c r="R172" s="1080"/>
      <c r="S172" s="1080"/>
      <c r="T172" s="1080"/>
      <c r="U172" s="1080"/>
      <c r="V172" s="1080"/>
      <c r="W172" s="1080"/>
      <c r="X172" s="1080"/>
      <c r="Y172" s="1080"/>
      <c r="Z172" s="1080"/>
      <c r="AA172" s="1080"/>
      <c r="AB172" s="1080"/>
      <c r="AC172" s="1080"/>
    </row>
    <row r="173" spans="1:29" ht="12" customHeight="1">
      <c r="A173" s="990" t="s">
        <v>447</v>
      </c>
      <c r="B173" s="100" t="s">
        <v>447</v>
      </c>
      <c r="C173" s="103" t="s">
        <v>447</v>
      </c>
      <c r="D173" s="103" t="s">
        <v>447</v>
      </c>
      <c r="E173" s="103" t="s">
        <v>447</v>
      </c>
      <c r="F173" s="1309"/>
      <c r="G173" s="1305"/>
      <c r="H173" s="1305"/>
      <c r="I173" s="1306"/>
      <c r="J173" s="1306"/>
      <c r="K173" s="1306"/>
      <c r="L173" s="1080"/>
      <c r="M173" s="1080"/>
      <c r="N173" s="1080"/>
      <c r="O173" s="1080"/>
      <c r="P173" s="1080"/>
      <c r="Q173" s="1080"/>
      <c r="R173" s="1080"/>
      <c r="S173" s="1080"/>
      <c r="T173" s="1080"/>
      <c r="U173" s="1080"/>
      <c r="V173" s="1080"/>
      <c r="W173" s="1080"/>
      <c r="X173" s="1080"/>
      <c r="Y173" s="1080"/>
      <c r="Z173" s="1080"/>
      <c r="AA173" s="1080"/>
      <c r="AB173" s="1080"/>
      <c r="AC173" s="1080"/>
    </row>
    <row r="174" spans="1:29" ht="12" customHeight="1">
      <c r="A174" s="990" t="s">
        <v>447</v>
      </c>
      <c r="B174" s="100" t="s">
        <v>447</v>
      </c>
      <c r="C174" s="103" t="s">
        <v>447</v>
      </c>
      <c r="D174" s="103" t="s">
        <v>447</v>
      </c>
      <c r="E174" s="103" t="s">
        <v>447</v>
      </c>
      <c r="F174" s="1311"/>
      <c r="G174" s="1312"/>
      <c r="H174" s="1312"/>
      <c r="I174" s="1308"/>
      <c r="J174" s="1308"/>
      <c r="K174" s="1308"/>
      <c r="L174" s="1080"/>
      <c r="M174" s="1080"/>
      <c r="N174" s="1080"/>
      <c r="O174" s="1080"/>
      <c r="P174" s="1080"/>
      <c r="Q174" s="1080"/>
      <c r="R174" s="1080"/>
      <c r="S174" s="1080"/>
      <c r="T174" s="1080"/>
      <c r="U174" s="1080"/>
      <c r="V174" s="1080"/>
      <c r="W174" s="1080"/>
      <c r="X174" s="1080"/>
      <c r="Y174" s="1080"/>
      <c r="Z174" s="1080"/>
      <c r="AA174" s="1080"/>
      <c r="AB174" s="1080"/>
      <c r="AC174" s="1080"/>
    </row>
    <row r="175" spans="1:29" ht="12" customHeight="1">
      <c r="A175" s="990" t="s">
        <v>447</v>
      </c>
      <c r="B175" s="100" t="s">
        <v>447</v>
      </c>
      <c r="C175" s="103" t="s">
        <v>447</v>
      </c>
      <c r="D175" s="103" t="s">
        <v>447</v>
      </c>
      <c r="E175" s="103" t="s">
        <v>447</v>
      </c>
      <c r="F175" s="1309"/>
      <c r="G175" s="1305"/>
      <c r="H175" s="1305"/>
      <c r="I175" s="1306"/>
      <c r="J175" s="1306"/>
      <c r="K175" s="1306"/>
      <c r="L175" s="1080"/>
      <c r="M175" s="1080"/>
      <c r="N175" s="1080"/>
      <c r="O175" s="1080"/>
      <c r="P175" s="1080"/>
      <c r="Q175" s="1080"/>
      <c r="R175" s="1080"/>
      <c r="S175" s="1080"/>
      <c r="T175" s="1080"/>
      <c r="U175" s="1080"/>
      <c r="V175" s="1080"/>
      <c r="W175" s="1080"/>
      <c r="X175" s="1080"/>
      <c r="Y175" s="1080"/>
      <c r="Z175" s="1080"/>
      <c r="AA175" s="1080"/>
      <c r="AB175" s="1080"/>
      <c r="AC175" s="1080"/>
    </row>
    <row r="176" spans="1:29" ht="12" customHeight="1">
      <c r="A176" s="990" t="s">
        <v>447</v>
      </c>
      <c r="B176" s="100" t="s">
        <v>447</v>
      </c>
      <c r="C176" s="103" t="s">
        <v>447</v>
      </c>
      <c r="D176" s="103" t="s">
        <v>447</v>
      </c>
      <c r="E176" s="103" t="s">
        <v>447</v>
      </c>
      <c r="F176" s="1311"/>
      <c r="G176" s="1312"/>
      <c r="H176" s="1312"/>
      <c r="I176" s="1308"/>
      <c r="J176" s="1308"/>
      <c r="K176" s="1308"/>
      <c r="L176" s="1080"/>
      <c r="M176" s="1080"/>
      <c r="N176" s="1080"/>
      <c r="O176" s="1080"/>
      <c r="P176" s="1080"/>
      <c r="Q176" s="1080"/>
      <c r="R176" s="1080"/>
      <c r="S176" s="1080"/>
      <c r="T176" s="1080"/>
      <c r="U176" s="1080"/>
      <c r="V176" s="1080"/>
      <c r="W176" s="1080"/>
      <c r="X176" s="1080"/>
      <c r="Y176" s="1080"/>
      <c r="Z176" s="1080"/>
      <c r="AA176" s="1080"/>
      <c r="AB176" s="1080"/>
      <c r="AC176" s="1080"/>
    </row>
    <row r="177" spans="1:29" ht="12" customHeight="1">
      <c r="A177" s="990" t="s">
        <v>447</v>
      </c>
      <c r="B177" s="100" t="s">
        <v>447</v>
      </c>
      <c r="C177" s="103" t="s">
        <v>447</v>
      </c>
      <c r="D177" s="103" t="s">
        <v>447</v>
      </c>
      <c r="E177" s="103" t="s">
        <v>447</v>
      </c>
      <c r="F177" s="1309"/>
      <c r="G177" s="1305"/>
      <c r="H177" s="1305"/>
      <c r="I177" s="1306"/>
      <c r="J177" s="1306"/>
      <c r="K177" s="1306"/>
      <c r="L177" s="1080"/>
      <c r="M177" s="1080"/>
      <c r="N177" s="1080"/>
      <c r="O177" s="1080"/>
      <c r="P177" s="1080"/>
      <c r="Q177" s="1080"/>
      <c r="R177" s="1080"/>
      <c r="S177" s="1080"/>
      <c r="T177" s="1080"/>
      <c r="U177" s="1080"/>
      <c r="V177" s="1080"/>
      <c r="W177" s="1080"/>
      <c r="X177" s="1080"/>
      <c r="Y177" s="1080"/>
      <c r="Z177" s="1080"/>
      <c r="AA177" s="1080"/>
      <c r="AB177" s="1080"/>
      <c r="AC177" s="1080"/>
    </row>
    <row r="178" spans="1:29" ht="12" customHeight="1">
      <c r="A178" s="990" t="s">
        <v>447</v>
      </c>
      <c r="B178" s="100" t="s">
        <v>447</v>
      </c>
      <c r="C178" s="103" t="s">
        <v>447</v>
      </c>
      <c r="D178" s="103" t="s">
        <v>447</v>
      </c>
      <c r="E178" s="103" t="s">
        <v>447</v>
      </c>
      <c r="F178" s="1311"/>
      <c r="G178" s="1312"/>
      <c r="H178" s="1312"/>
      <c r="I178" s="1308"/>
      <c r="J178" s="1308"/>
      <c r="K178" s="1308"/>
      <c r="L178" s="1080"/>
      <c r="M178" s="1080"/>
      <c r="N178" s="1080"/>
      <c r="O178" s="1080"/>
      <c r="P178" s="1080"/>
      <c r="Q178" s="1080"/>
      <c r="R178" s="1080"/>
      <c r="S178" s="1080"/>
      <c r="T178" s="1080"/>
      <c r="U178" s="1080"/>
      <c r="V178" s="1080"/>
      <c r="W178" s="1080"/>
      <c r="X178" s="1080"/>
      <c r="Y178" s="1080"/>
      <c r="Z178" s="1080"/>
      <c r="AA178" s="1080"/>
      <c r="AB178" s="1080"/>
      <c r="AC178" s="1080"/>
    </row>
    <row r="179" spans="1:29" ht="12" customHeight="1">
      <c r="A179" s="990" t="s">
        <v>447</v>
      </c>
      <c r="B179" s="100" t="s">
        <v>447</v>
      </c>
      <c r="C179" s="103" t="s">
        <v>447</v>
      </c>
      <c r="D179" s="103" t="s">
        <v>447</v>
      </c>
      <c r="E179" s="103" t="s">
        <v>447</v>
      </c>
      <c r="F179" s="1309"/>
      <c r="G179" s="1305"/>
      <c r="H179" s="1305"/>
      <c r="I179" s="1306"/>
      <c r="J179" s="1306"/>
      <c r="K179" s="1306"/>
      <c r="L179" s="1080"/>
      <c r="M179" s="1080"/>
      <c r="N179" s="1080"/>
      <c r="O179" s="1080"/>
      <c r="P179" s="1080"/>
      <c r="Q179" s="1080"/>
      <c r="R179" s="1080"/>
      <c r="S179" s="1080"/>
      <c r="T179" s="1080"/>
      <c r="U179" s="1080"/>
      <c r="V179" s="1080"/>
      <c r="W179" s="1080"/>
      <c r="X179" s="1080"/>
      <c r="Y179" s="1080"/>
      <c r="Z179" s="1080"/>
      <c r="AA179" s="1080"/>
      <c r="AB179" s="1080"/>
      <c r="AC179" s="1080"/>
    </row>
    <row r="180" spans="1:29" ht="12" customHeight="1">
      <c r="A180" s="990" t="s">
        <v>447</v>
      </c>
      <c r="B180" s="100" t="s">
        <v>447</v>
      </c>
      <c r="C180" s="103" t="s">
        <v>447</v>
      </c>
      <c r="D180" s="103" t="s">
        <v>447</v>
      </c>
      <c r="E180" s="103" t="s">
        <v>447</v>
      </c>
      <c r="F180" s="1311"/>
      <c r="G180" s="1312"/>
      <c r="H180" s="1312"/>
      <c r="I180" s="1308"/>
      <c r="J180" s="1308"/>
      <c r="K180" s="1308"/>
      <c r="L180" s="1080"/>
      <c r="M180" s="1080"/>
      <c r="N180" s="1080"/>
      <c r="O180" s="1080"/>
      <c r="P180" s="1080"/>
      <c r="Q180" s="1080"/>
      <c r="R180" s="1080"/>
      <c r="S180" s="1080"/>
      <c r="T180" s="1080"/>
      <c r="U180" s="1080"/>
      <c r="V180" s="1080"/>
      <c r="W180" s="1080"/>
      <c r="X180" s="1080"/>
      <c r="Y180" s="1080"/>
      <c r="Z180" s="1080"/>
      <c r="AA180" s="1080"/>
      <c r="AB180" s="1080"/>
      <c r="AC180" s="1080"/>
    </row>
    <row r="181" spans="1:29" ht="12" customHeight="1">
      <c r="A181" s="990" t="s">
        <v>447</v>
      </c>
      <c r="B181" s="100" t="s">
        <v>447</v>
      </c>
      <c r="C181" s="103" t="s">
        <v>447</v>
      </c>
      <c r="D181" s="103" t="s">
        <v>447</v>
      </c>
      <c r="E181" s="103" t="s">
        <v>447</v>
      </c>
      <c r="F181" s="1309"/>
      <c r="G181" s="1305"/>
      <c r="H181" s="1305"/>
      <c r="I181" s="1306"/>
      <c r="J181" s="1306"/>
      <c r="K181" s="1306"/>
      <c r="L181" s="1080"/>
      <c r="M181" s="1080"/>
      <c r="N181" s="1080"/>
      <c r="O181" s="1080"/>
      <c r="P181" s="1080"/>
      <c r="Q181" s="1080"/>
      <c r="R181" s="1080"/>
      <c r="S181" s="1080"/>
      <c r="T181" s="1080"/>
      <c r="U181" s="1080"/>
      <c r="V181" s="1080"/>
      <c r="W181" s="1080"/>
      <c r="X181" s="1080"/>
      <c r="Y181" s="1080"/>
      <c r="Z181" s="1080"/>
      <c r="AA181" s="1080"/>
      <c r="AB181" s="1080"/>
      <c r="AC181" s="1080"/>
    </row>
    <row r="182" spans="1:29" ht="12" customHeight="1">
      <c r="A182" s="990" t="s">
        <v>447</v>
      </c>
      <c r="B182" s="100" t="s">
        <v>447</v>
      </c>
      <c r="C182" s="103" t="s">
        <v>447</v>
      </c>
      <c r="D182" s="103" t="s">
        <v>447</v>
      </c>
      <c r="E182" s="103" t="s">
        <v>447</v>
      </c>
      <c r="F182" s="1311"/>
      <c r="G182" s="1312"/>
      <c r="H182" s="1312"/>
      <c r="I182" s="1308"/>
      <c r="J182" s="1308"/>
      <c r="K182" s="1308"/>
      <c r="L182" s="1080"/>
      <c r="M182" s="1080"/>
      <c r="N182" s="1080"/>
      <c r="O182" s="1080"/>
      <c r="P182" s="1080"/>
      <c r="Q182" s="1080"/>
      <c r="R182" s="1080"/>
      <c r="S182" s="1080"/>
      <c r="T182" s="1080"/>
      <c r="U182" s="1080"/>
      <c r="V182" s="1080"/>
      <c r="W182" s="1080"/>
      <c r="X182" s="1080"/>
      <c r="Y182" s="1080"/>
      <c r="Z182" s="1080"/>
      <c r="AA182" s="1080"/>
      <c r="AB182" s="1080"/>
      <c r="AC182" s="1080"/>
    </row>
    <row r="183" spans="1:29" ht="12" customHeight="1">
      <c r="A183" s="990" t="s">
        <v>447</v>
      </c>
      <c r="B183" s="100" t="s">
        <v>447</v>
      </c>
      <c r="C183" s="103" t="s">
        <v>447</v>
      </c>
      <c r="D183" s="103" t="s">
        <v>447</v>
      </c>
      <c r="E183" s="103" t="s">
        <v>447</v>
      </c>
      <c r="F183" s="1309"/>
      <c r="G183" s="1305"/>
      <c r="H183" s="1305"/>
      <c r="I183" s="1306"/>
      <c r="J183" s="1306"/>
      <c r="K183" s="1306"/>
      <c r="L183" s="1080"/>
      <c r="M183" s="1080"/>
      <c r="N183" s="1080"/>
      <c r="O183" s="1080"/>
      <c r="P183" s="1080"/>
      <c r="Q183" s="1080"/>
      <c r="R183" s="1080"/>
      <c r="S183" s="1080"/>
      <c r="T183" s="1080"/>
      <c r="U183" s="1080"/>
      <c r="V183" s="1080"/>
      <c r="W183" s="1080"/>
      <c r="X183" s="1080"/>
      <c r="Y183" s="1080"/>
      <c r="Z183" s="1080"/>
      <c r="AA183" s="1080"/>
      <c r="AB183" s="1080"/>
      <c r="AC183" s="1080"/>
    </row>
    <row r="184" spans="1:29" ht="12" customHeight="1">
      <c r="A184" s="990" t="s">
        <v>447</v>
      </c>
      <c r="B184" s="100" t="s">
        <v>447</v>
      </c>
      <c r="C184" s="103" t="s">
        <v>447</v>
      </c>
      <c r="D184" s="103" t="s">
        <v>447</v>
      </c>
      <c r="E184" s="103" t="s">
        <v>447</v>
      </c>
      <c r="F184" s="1311"/>
      <c r="G184" s="1312"/>
      <c r="H184" s="1312"/>
      <c r="I184" s="1308"/>
      <c r="J184" s="1308"/>
      <c r="K184" s="1308"/>
      <c r="L184" s="1080"/>
      <c r="M184" s="1080"/>
      <c r="N184" s="1080"/>
      <c r="O184" s="1080"/>
      <c r="P184" s="1080"/>
      <c r="Q184" s="1080"/>
      <c r="R184" s="1080"/>
      <c r="S184" s="1080"/>
      <c r="T184" s="1080"/>
      <c r="U184" s="1080"/>
      <c r="V184" s="1080"/>
      <c r="W184" s="1080"/>
      <c r="X184" s="1080"/>
      <c r="Y184" s="1080"/>
      <c r="Z184" s="1080"/>
      <c r="AA184" s="1080"/>
      <c r="AB184" s="1080"/>
      <c r="AC184" s="1080"/>
    </row>
    <row r="185" spans="1:29" ht="12" customHeight="1">
      <c r="A185" s="990" t="s">
        <v>447</v>
      </c>
      <c r="B185" s="100" t="s">
        <v>447</v>
      </c>
      <c r="C185" s="103" t="s">
        <v>447</v>
      </c>
      <c r="D185" s="103" t="s">
        <v>447</v>
      </c>
      <c r="E185" s="103" t="s">
        <v>447</v>
      </c>
      <c r="F185" s="1309"/>
      <c r="G185" s="1305"/>
      <c r="H185" s="1305"/>
      <c r="I185" s="1306"/>
      <c r="J185" s="1306"/>
      <c r="K185" s="1306"/>
      <c r="L185" s="1080"/>
      <c r="M185" s="1080"/>
      <c r="N185" s="1080"/>
      <c r="O185" s="1080"/>
      <c r="P185" s="1080"/>
      <c r="Q185" s="1080"/>
      <c r="R185" s="1080"/>
      <c r="S185" s="1080"/>
      <c r="T185" s="1080"/>
      <c r="U185" s="1080"/>
      <c r="V185" s="1080"/>
      <c r="W185" s="1080"/>
      <c r="X185" s="1080"/>
      <c r="Y185" s="1080"/>
      <c r="Z185" s="1080"/>
      <c r="AA185" s="1080"/>
      <c r="AB185" s="1080"/>
      <c r="AC185" s="1080"/>
    </row>
    <row r="186" spans="1:29" ht="12" customHeight="1">
      <c r="A186" s="990" t="s">
        <v>447</v>
      </c>
      <c r="B186" s="100" t="s">
        <v>447</v>
      </c>
      <c r="C186" s="103" t="s">
        <v>447</v>
      </c>
      <c r="D186" s="103" t="s">
        <v>447</v>
      </c>
      <c r="E186" s="103" t="s">
        <v>447</v>
      </c>
      <c r="F186" s="1311"/>
      <c r="G186" s="1312"/>
      <c r="H186" s="1312"/>
      <c r="I186" s="1308"/>
      <c r="J186" s="1308"/>
      <c r="K186" s="1308"/>
      <c r="L186" s="1080"/>
      <c r="M186" s="1080"/>
      <c r="N186" s="1080"/>
      <c r="O186" s="1080"/>
      <c r="P186" s="1080"/>
      <c r="Q186" s="1080"/>
      <c r="R186" s="1080"/>
      <c r="S186" s="1080"/>
      <c r="T186" s="1080"/>
      <c r="U186" s="1080"/>
      <c r="V186" s="1080"/>
      <c r="W186" s="1080"/>
      <c r="X186" s="1080"/>
      <c r="Y186" s="1080"/>
      <c r="Z186" s="1080"/>
      <c r="AA186" s="1080"/>
      <c r="AB186" s="1080"/>
      <c r="AC186" s="1080"/>
    </row>
    <row r="187" spans="1:29" ht="12" customHeight="1">
      <c r="A187" s="990" t="s">
        <v>447</v>
      </c>
      <c r="B187" s="100" t="s">
        <v>447</v>
      </c>
      <c r="C187" s="103" t="s">
        <v>447</v>
      </c>
      <c r="D187" s="103" t="s">
        <v>447</v>
      </c>
      <c r="E187" s="103" t="s">
        <v>447</v>
      </c>
      <c r="F187" s="1309"/>
      <c r="G187" s="1305"/>
      <c r="H187" s="1305"/>
      <c r="I187" s="1306"/>
      <c r="J187" s="1306"/>
      <c r="K187" s="1306"/>
      <c r="L187" s="1080"/>
      <c r="M187" s="1080"/>
      <c r="N187" s="1080"/>
      <c r="O187" s="1080"/>
      <c r="P187" s="1080"/>
      <c r="Q187" s="1080"/>
      <c r="R187" s="1080"/>
      <c r="S187" s="1080"/>
      <c r="T187" s="1080"/>
      <c r="U187" s="1080"/>
      <c r="V187" s="1080"/>
      <c r="W187" s="1080"/>
      <c r="X187" s="1080"/>
      <c r="Y187" s="1080"/>
      <c r="Z187" s="1080"/>
      <c r="AA187" s="1080"/>
      <c r="AB187" s="1080"/>
      <c r="AC187" s="1080"/>
    </row>
    <row r="188" spans="1:29" ht="12" customHeight="1">
      <c r="A188" s="1313"/>
      <c r="B188" s="1314" t="s">
        <v>798</v>
      </c>
      <c r="C188" s="1314" t="s">
        <v>799</v>
      </c>
      <c r="D188" s="1315"/>
      <c r="E188" s="1316"/>
      <c r="F188" s="1308"/>
      <c r="G188" s="1308"/>
      <c r="H188" s="1308"/>
      <c r="I188" s="1308"/>
      <c r="J188" s="1308"/>
      <c r="K188" s="1308"/>
      <c r="L188" s="1080"/>
      <c r="M188" s="1080"/>
      <c r="N188" s="1080"/>
      <c r="O188" s="1080"/>
      <c r="P188" s="1080"/>
      <c r="Q188" s="1080"/>
      <c r="R188" s="1080"/>
      <c r="S188" s="1080"/>
      <c r="T188" s="1080"/>
      <c r="U188" s="1080"/>
      <c r="V188" s="1080"/>
      <c r="W188" s="1080"/>
      <c r="X188" s="1080"/>
      <c r="Y188" s="1080"/>
      <c r="Z188" s="1080"/>
      <c r="AA188" s="1080"/>
      <c r="AB188" s="1080"/>
      <c r="AC188" s="1080"/>
    </row>
    <row r="189" spans="1:29" ht="12" customHeight="1">
      <c r="A189" s="1317"/>
      <c r="B189" s="1318" t="s">
        <v>803</v>
      </c>
      <c r="C189" s="1319">
        <v>77</v>
      </c>
      <c r="D189" s="1320"/>
      <c r="E189" s="1306"/>
      <c r="F189" s="1306"/>
      <c r="G189" s="1306"/>
      <c r="H189" s="1306"/>
      <c r="I189" s="1306"/>
      <c r="J189" s="1306"/>
      <c r="K189" s="1306"/>
      <c r="L189" s="1080"/>
      <c r="M189" s="1080"/>
      <c r="N189" s="1080"/>
      <c r="O189" s="1080"/>
      <c r="P189" s="1080"/>
      <c r="Q189" s="1080"/>
      <c r="R189" s="1080"/>
      <c r="S189" s="1080"/>
      <c r="T189" s="1080"/>
      <c r="U189" s="1080"/>
      <c r="V189" s="1080"/>
      <c r="W189" s="1080"/>
      <c r="X189" s="1080"/>
      <c r="Y189" s="1080"/>
      <c r="Z189" s="1080"/>
      <c r="AA189" s="1080"/>
      <c r="AB189" s="1080"/>
      <c r="AC189" s="1080"/>
    </row>
    <row r="190" spans="1:29" ht="12" customHeight="1">
      <c r="A190" s="1321"/>
      <c r="B190" s="1322" t="s">
        <v>807</v>
      </c>
      <c r="C190" s="1323">
        <v>92</v>
      </c>
      <c r="D190" s="1324"/>
      <c r="E190" s="1308"/>
      <c r="F190" s="1308"/>
      <c r="G190" s="1308"/>
      <c r="H190" s="1308"/>
      <c r="I190" s="1308"/>
      <c r="J190" s="1308"/>
      <c r="K190" s="1308"/>
      <c r="L190" s="1080"/>
      <c r="M190" s="1080"/>
      <c r="N190" s="1080"/>
      <c r="O190" s="1080"/>
      <c r="P190" s="1080"/>
      <c r="Q190" s="1080"/>
      <c r="R190" s="1080"/>
      <c r="S190" s="1080"/>
      <c r="T190" s="1080"/>
      <c r="U190" s="1080"/>
      <c r="V190" s="1080"/>
      <c r="W190" s="1080"/>
      <c r="X190" s="1080"/>
      <c r="Y190" s="1080"/>
      <c r="Z190" s="1080"/>
      <c r="AA190" s="1080"/>
      <c r="AB190" s="1080"/>
      <c r="AC190" s="1080"/>
    </row>
    <row r="191" spans="1:29" ht="12" customHeight="1">
      <c r="A191" s="1317"/>
      <c r="B191" s="1318" t="s">
        <v>809</v>
      </c>
      <c r="C191" s="1319">
        <v>131</v>
      </c>
      <c r="D191" s="1320"/>
      <c r="E191" s="1306"/>
      <c r="F191" s="1306"/>
      <c r="G191" s="1306"/>
      <c r="H191" s="1306"/>
      <c r="I191" s="1306"/>
      <c r="J191" s="1306"/>
      <c r="K191" s="1306"/>
      <c r="L191" s="1080"/>
      <c r="M191" s="1080"/>
      <c r="N191" s="1080"/>
      <c r="O191" s="1080"/>
      <c r="P191" s="1080"/>
      <c r="Q191" s="1080"/>
      <c r="R191" s="1080"/>
      <c r="S191" s="1080"/>
      <c r="T191" s="1080"/>
      <c r="U191" s="1080"/>
      <c r="V191" s="1080"/>
      <c r="W191" s="1080"/>
      <c r="X191" s="1080"/>
      <c r="Y191" s="1080"/>
      <c r="Z191" s="1080"/>
      <c r="AA191" s="1080"/>
      <c r="AB191" s="1080"/>
      <c r="AC191" s="1080"/>
    </row>
    <row r="192" spans="1:29" ht="12" customHeight="1">
      <c r="A192" s="1321"/>
      <c r="B192" s="1322" t="s">
        <v>813</v>
      </c>
      <c r="C192" s="1323">
        <v>44</v>
      </c>
      <c r="D192" s="1324"/>
      <c r="E192" s="1308"/>
      <c r="F192" s="1308"/>
      <c r="G192" s="1308"/>
      <c r="H192" s="1308"/>
      <c r="I192" s="1308"/>
      <c r="J192" s="1308"/>
      <c r="K192" s="1308"/>
      <c r="L192" s="1080"/>
      <c r="M192" s="1080"/>
      <c r="N192" s="1080"/>
      <c r="O192" s="1080"/>
      <c r="P192" s="1080"/>
      <c r="Q192" s="1080"/>
      <c r="R192" s="1080"/>
      <c r="S192" s="1080"/>
      <c r="T192" s="1080"/>
      <c r="U192" s="1080"/>
      <c r="V192" s="1080"/>
      <c r="W192" s="1080"/>
      <c r="X192" s="1080"/>
      <c r="Y192" s="1080"/>
      <c r="Z192" s="1080"/>
      <c r="AA192" s="1080"/>
      <c r="AB192" s="1080"/>
      <c r="AC192" s="1080"/>
    </row>
    <row r="193" spans="1:29" ht="12" customHeight="1">
      <c r="A193" s="1317"/>
      <c r="B193" s="1318" t="s">
        <v>797</v>
      </c>
      <c r="C193" s="1319">
        <v>54</v>
      </c>
      <c r="D193" s="1320"/>
      <c r="E193" s="1306"/>
      <c r="F193" s="1306"/>
      <c r="G193" s="1306"/>
      <c r="H193" s="1306"/>
      <c r="I193" s="1306"/>
      <c r="J193" s="1306"/>
      <c r="K193" s="1306"/>
      <c r="L193" s="1080"/>
      <c r="M193" s="1080"/>
      <c r="N193" s="1080"/>
      <c r="O193" s="1080"/>
      <c r="P193" s="1080"/>
      <c r="Q193" s="1080"/>
      <c r="R193" s="1080"/>
      <c r="S193" s="1080"/>
      <c r="T193" s="1080"/>
      <c r="U193" s="1080"/>
      <c r="V193" s="1080"/>
      <c r="W193" s="1080"/>
      <c r="X193" s="1080"/>
      <c r="Y193" s="1080"/>
      <c r="Z193" s="1080"/>
      <c r="AA193" s="1080"/>
      <c r="AB193" s="1080"/>
      <c r="AC193" s="1080"/>
    </row>
    <row r="194" spans="1:29" ht="12" customHeight="1">
      <c r="A194" s="1321"/>
      <c r="B194" s="1322" t="s">
        <v>819</v>
      </c>
      <c r="C194" s="1323">
        <v>65</v>
      </c>
      <c r="D194" s="1324"/>
      <c r="E194" s="1308"/>
      <c r="F194" s="1308"/>
      <c r="G194" s="1308"/>
      <c r="H194" s="1308"/>
      <c r="I194" s="1308"/>
      <c r="J194" s="1308"/>
      <c r="K194" s="1308"/>
      <c r="L194" s="1080"/>
      <c r="M194" s="1080"/>
      <c r="N194" s="1080"/>
      <c r="O194" s="1080"/>
      <c r="P194" s="1080"/>
      <c r="Q194" s="1080"/>
      <c r="R194" s="1080"/>
      <c r="S194" s="1080"/>
      <c r="T194" s="1080"/>
      <c r="U194" s="1080"/>
      <c r="V194" s="1080"/>
      <c r="W194" s="1080"/>
      <c r="X194" s="1080"/>
      <c r="Y194" s="1080"/>
      <c r="Z194" s="1080"/>
      <c r="AA194" s="1080"/>
      <c r="AB194" s="1080"/>
      <c r="AC194" s="1080"/>
    </row>
    <row r="195" spans="1:29" ht="12" customHeight="1">
      <c r="A195" s="1317"/>
      <c r="B195" s="1318" t="s">
        <v>822</v>
      </c>
      <c r="C195" s="1319">
        <v>0</v>
      </c>
      <c r="D195" s="1320"/>
      <c r="E195" s="1306"/>
      <c r="F195" s="1306"/>
      <c r="G195" s="1306"/>
      <c r="H195" s="1306"/>
      <c r="I195" s="1306"/>
      <c r="J195" s="1306"/>
      <c r="K195" s="1306"/>
      <c r="L195" s="1080"/>
      <c r="M195" s="1080"/>
      <c r="N195" s="1080"/>
      <c r="O195" s="1080"/>
      <c r="P195" s="1080"/>
      <c r="Q195" s="1080"/>
      <c r="R195" s="1080"/>
      <c r="S195" s="1080"/>
      <c r="T195" s="1080"/>
      <c r="U195" s="1080"/>
      <c r="V195" s="1080"/>
      <c r="W195" s="1080"/>
      <c r="X195" s="1080"/>
      <c r="Y195" s="1080"/>
      <c r="Z195" s="1080"/>
      <c r="AA195" s="1080"/>
      <c r="AB195" s="1080"/>
      <c r="AC195" s="1080"/>
    </row>
    <row r="196" spans="1:29" ht="12" customHeight="1">
      <c r="A196" s="1321"/>
      <c r="B196" s="1322" t="s">
        <v>802</v>
      </c>
      <c r="C196" s="1323">
        <v>490</v>
      </c>
      <c r="D196" s="1324"/>
      <c r="E196" s="1308"/>
      <c r="F196" s="1308"/>
      <c r="G196" s="1308"/>
      <c r="H196" s="1308"/>
      <c r="I196" s="1308"/>
      <c r="J196" s="1308"/>
      <c r="K196" s="1308"/>
      <c r="L196" s="1080"/>
      <c r="M196" s="1080"/>
      <c r="N196" s="1080"/>
      <c r="O196" s="1080"/>
      <c r="P196" s="1080"/>
      <c r="Q196" s="1080"/>
      <c r="R196" s="1080"/>
      <c r="S196" s="1080"/>
      <c r="T196" s="1080"/>
      <c r="U196" s="1080"/>
      <c r="V196" s="1080"/>
      <c r="W196" s="1080"/>
      <c r="X196" s="1080"/>
      <c r="Y196" s="1080"/>
      <c r="Z196" s="1080"/>
      <c r="AA196" s="1080"/>
      <c r="AB196" s="1080"/>
      <c r="AC196" s="1080"/>
    </row>
    <row r="197" spans="1:29" ht="12" customHeight="1">
      <c r="A197" s="1317"/>
      <c r="B197" s="1318" t="s">
        <v>826</v>
      </c>
      <c r="C197" s="1319">
        <v>599</v>
      </c>
      <c r="D197" s="1320"/>
      <c r="E197" s="1306"/>
      <c r="F197" s="1306"/>
      <c r="G197" s="1306"/>
      <c r="H197" s="1306"/>
      <c r="I197" s="1306"/>
      <c r="J197" s="1306"/>
      <c r="K197" s="1306"/>
      <c r="L197" s="1080"/>
      <c r="M197" s="1080"/>
      <c r="N197" s="1080"/>
      <c r="O197" s="1080"/>
      <c r="P197" s="1080"/>
      <c r="Q197" s="1080"/>
      <c r="R197" s="1080"/>
      <c r="S197" s="1080"/>
      <c r="T197" s="1080"/>
      <c r="U197" s="1080"/>
      <c r="V197" s="1080"/>
      <c r="W197" s="1080"/>
      <c r="X197" s="1080"/>
      <c r="Y197" s="1080"/>
      <c r="Z197" s="1080"/>
      <c r="AA197" s="1080"/>
      <c r="AB197" s="1080"/>
      <c r="AC197" s="1080"/>
    </row>
    <row r="198" spans="1:29" ht="12" customHeight="1">
      <c r="A198" s="1321"/>
      <c r="B198" s="1322" t="s">
        <v>828</v>
      </c>
      <c r="C198" s="1323">
        <v>708</v>
      </c>
      <c r="D198" s="1324"/>
      <c r="E198" s="1308"/>
      <c r="F198" s="1308"/>
      <c r="G198" s="1308"/>
      <c r="H198" s="1308"/>
      <c r="I198" s="1308"/>
      <c r="J198" s="1308"/>
      <c r="K198" s="1308"/>
      <c r="L198" s="1080"/>
      <c r="M198" s="1080"/>
      <c r="N198" s="1080"/>
      <c r="O198" s="1080"/>
      <c r="P198" s="1080"/>
      <c r="Q198" s="1080"/>
      <c r="R198" s="1080"/>
      <c r="S198" s="1080"/>
      <c r="T198" s="1080"/>
      <c r="U198" s="1080"/>
      <c r="V198" s="1080"/>
      <c r="W198" s="1080"/>
      <c r="X198" s="1080"/>
      <c r="Y198" s="1080"/>
      <c r="Z198" s="1080"/>
      <c r="AA198" s="1080"/>
      <c r="AB198" s="1080"/>
      <c r="AC198" s="1080"/>
    </row>
    <row r="199" spans="1:29" ht="12" customHeight="1">
      <c r="A199" s="1317"/>
      <c r="B199" s="1318" t="s">
        <v>830</v>
      </c>
      <c r="C199" s="1319">
        <v>273</v>
      </c>
      <c r="D199" s="1320"/>
      <c r="E199" s="1306"/>
      <c r="F199" s="1306"/>
      <c r="G199" s="1306"/>
      <c r="H199" s="1306"/>
      <c r="I199" s="1306"/>
      <c r="J199" s="1306"/>
      <c r="K199" s="1306"/>
      <c r="L199" s="1080"/>
      <c r="M199" s="1080"/>
      <c r="N199" s="1080"/>
      <c r="O199" s="1080"/>
      <c r="P199" s="1080"/>
      <c r="Q199" s="1080"/>
      <c r="R199" s="1080"/>
      <c r="S199" s="1080"/>
      <c r="T199" s="1080"/>
      <c r="U199" s="1080"/>
      <c r="V199" s="1080"/>
      <c r="W199" s="1080"/>
      <c r="X199" s="1080"/>
      <c r="Y199" s="1080"/>
      <c r="Z199" s="1080"/>
      <c r="AA199" s="1080"/>
      <c r="AB199" s="1080"/>
      <c r="AC199" s="1080"/>
    </row>
    <row r="200" spans="1:29" ht="12" customHeight="1">
      <c r="A200" s="1321"/>
      <c r="B200" s="1322" t="s">
        <v>825</v>
      </c>
      <c r="C200" s="1323">
        <v>328</v>
      </c>
      <c r="D200" s="1324"/>
      <c r="E200" s="1308"/>
      <c r="F200" s="1308"/>
      <c r="G200" s="1308"/>
      <c r="H200" s="1308"/>
      <c r="I200" s="1308"/>
      <c r="J200" s="1308"/>
      <c r="K200" s="1308"/>
      <c r="L200" s="1080"/>
      <c r="M200" s="1080"/>
      <c r="N200" s="1080"/>
      <c r="O200" s="1080"/>
      <c r="P200" s="1080"/>
      <c r="Q200" s="1080"/>
      <c r="R200" s="1080"/>
      <c r="S200" s="1080"/>
      <c r="T200" s="1080"/>
      <c r="U200" s="1080"/>
      <c r="V200" s="1080"/>
      <c r="W200" s="1080"/>
      <c r="X200" s="1080"/>
      <c r="Y200" s="1080"/>
      <c r="Z200" s="1080"/>
      <c r="AA200" s="1080"/>
      <c r="AB200" s="1080"/>
      <c r="AC200" s="1080"/>
    </row>
    <row r="201" spans="1:29" ht="12" customHeight="1">
      <c r="A201" s="1317"/>
      <c r="B201" s="1318" t="s">
        <v>815</v>
      </c>
      <c r="C201" s="1319">
        <v>392</v>
      </c>
      <c r="D201" s="1320"/>
      <c r="E201" s="1306"/>
      <c r="F201" s="1306"/>
      <c r="G201" s="1306"/>
      <c r="H201" s="1306"/>
      <c r="I201" s="1306"/>
      <c r="J201" s="1306"/>
      <c r="K201" s="1306"/>
      <c r="L201" s="1080"/>
      <c r="M201" s="1080"/>
      <c r="N201" s="1080"/>
      <c r="O201" s="1080"/>
      <c r="P201" s="1080"/>
      <c r="Q201" s="1080"/>
      <c r="R201" s="1080"/>
      <c r="S201" s="1080"/>
      <c r="T201" s="1080"/>
      <c r="U201" s="1080"/>
      <c r="V201" s="1080"/>
      <c r="W201" s="1080"/>
      <c r="X201" s="1080"/>
      <c r="Y201" s="1080"/>
      <c r="Z201" s="1080"/>
      <c r="AA201" s="1080"/>
      <c r="AB201" s="1080"/>
      <c r="AC201" s="1080"/>
    </row>
    <row r="202" spans="1:29" ht="12" customHeight="1">
      <c r="A202" s="1321"/>
      <c r="B202" s="1322" t="s">
        <v>818</v>
      </c>
      <c r="C202" s="1323">
        <v>174</v>
      </c>
      <c r="D202" s="1324"/>
      <c r="E202" s="1308"/>
      <c r="F202" s="1308"/>
      <c r="G202" s="1308"/>
      <c r="H202" s="1308"/>
      <c r="I202" s="1308"/>
      <c r="J202" s="1308"/>
      <c r="K202" s="1308"/>
      <c r="L202" s="1080"/>
      <c r="M202" s="1080"/>
      <c r="N202" s="1080"/>
      <c r="O202" s="1080"/>
      <c r="P202" s="1080"/>
      <c r="Q202" s="1080"/>
      <c r="R202" s="1080"/>
      <c r="S202" s="1080"/>
      <c r="T202" s="1080"/>
      <c r="U202" s="1080"/>
      <c r="V202" s="1080"/>
      <c r="W202" s="1080"/>
      <c r="X202" s="1080"/>
      <c r="Y202" s="1080"/>
      <c r="Z202" s="1080"/>
      <c r="AA202" s="1080"/>
      <c r="AB202" s="1080"/>
      <c r="AC202" s="1080"/>
    </row>
    <row r="203" spans="1:29" ht="12" customHeight="1">
      <c r="A203" s="1317"/>
      <c r="B203" s="1318" t="s">
        <v>836</v>
      </c>
      <c r="C203" s="1319">
        <v>207</v>
      </c>
      <c r="D203" s="1320"/>
      <c r="E203" s="1306"/>
      <c r="F203" s="1306"/>
      <c r="G203" s="1306"/>
      <c r="H203" s="1306"/>
      <c r="I203" s="1306"/>
      <c r="J203" s="1306"/>
      <c r="K203" s="1306"/>
      <c r="L203" s="1080"/>
      <c r="M203" s="1080"/>
      <c r="N203" s="1080"/>
      <c r="O203" s="1080"/>
      <c r="P203" s="1080"/>
      <c r="Q203" s="1080"/>
      <c r="R203" s="1080"/>
      <c r="S203" s="1080"/>
      <c r="T203" s="1080"/>
      <c r="U203" s="1080"/>
      <c r="V203" s="1080"/>
      <c r="W203" s="1080"/>
      <c r="X203" s="1080"/>
      <c r="Y203" s="1080"/>
      <c r="Z203" s="1080"/>
      <c r="AA203" s="1080"/>
      <c r="AB203" s="1080"/>
      <c r="AC203" s="1080"/>
    </row>
    <row r="204" spans="1:29" ht="12" customHeight="1">
      <c r="A204" s="1321"/>
      <c r="B204" s="1322" t="s">
        <v>839</v>
      </c>
      <c r="C204" s="1323">
        <v>239</v>
      </c>
      <c r="D204" s="1324"/>
      <c r="E204" s="1308"/>
      <c r="F204" s="1308"/>
      <c r="G204" s="1308"/>
      <c r="H204" s="1308"/>
      <c r="I204" s="1308"/>
      <c r="J204" s="1308"/>
      <c r="K204" s="1308"/>
      <c r="L204" s="1080"/>
      <c r="M204" s="1080"/>
      <c r="N204" s="1080"/>
      <c r="O204" s="1080"/>
      <c r="P204" s="1080"/>
      <c r="Q204" s="1080"/>
      <c r="R204" s="1080"/>
      <c r="S204" s="1080"/>
      <c r="T204" s="1080"/>
      <c r="U204" s="1080"/>
      <c r="V204" s="1080"/>
      <c r="W204" s="1080"/>
      <c r="X204" s="1080"/>
      <c r="Y204" s="1080"/>
      <c r="Z204" s="1080"/>
      <c r="AA204" s="1080"/>
      <c r="AB204" s="1080"/>
      <c r="AC204" s="1080"/>
    </row>
    <row r="205" spans="1:29" ht="12" customHeight="1">
      <c r="A205" s="1317"/>
      <c r="B205" s="1318" t="s">
        <v>38</v>
      </c>
      <c r="C205" s="1319">
        <v>1750</v>
      </c>
      <c r="D205" s="1320"/>
      <c r="E205" s="1306"/>
      <c r="F205" s="1306"/>
      <c r="G205" s="1306"/>
      <c r="H205" s="1306"/>
      <c r="I205" s="1306"/>
      <c r="J205" s="1306"/>
      <c r="K205" s="1306"/>
      <c r="L205" s="1080"/>
      <c r="M205" s="1080"/>
      <c r="N205" s="1080"/>
      <c r="O205" s="1080"/>
      <c r="P205" s="1080"/>
      <c r="Q205" s="1080"/>
      <c r="R205" s="1080"/>
      <c r="S205" s="1080"/>
      <c r="T205" s="1080"/>
      <c r="U205" s="1080"/>
      <c r="V205" s="1080"/>
      <c r="W205" s="1080"/>
      <c r="X205" s="1080"/>
      <c r="Y205" s="1080"/>
      <c r="Z205" s="1080"/>
      <c r="AA205" s="1080"/>
      <c r="AB205" s="1080"/>
      <c r="AC205" s="1080"/>
    </row>
    <row r="206" spans="1:29" ht="12" customHeight="1">
      <c r="A206" s="1321"/>
      <c r="B206" s="1322" t="s">
        <v>812</v>
      </c>
      <c r="C206" s="1323">
        <v>1307</v>
      </c>
      <c r="D206" s="1324"/>
      <c r="E206" s="1308"/>
      <c r="F206" s="1308"/>
      <c r="G206" s="1308"/>
      <c r="H206" s="1308"/>
      <c r="I206" s="1308"/>
      <c r="J206" s="1308"/>
      <c r="K206" s="1308"/>
      <c r="L206" s="1080"/>
      <c r="M206" s="1080"/>
      <c r="N206" s="1080"/>
      <c r="O206" s="1080"/>
      <c r="P206" s="1080"/>
      <c r="Q206" s="1080"/>
      <c r="R206" s="1080"/>
      <c r="S206" s="1080"/>
      <c r="T206" s="1080"/>
      <c r="U206" s="1080"/>
      <c r="V206" s="1080"/>
      <c r="W206" s="1080"/>
      <c r="X206" s="1080"/>
      <c r="Y206" s="1080"/>
      <c r="Z206" s="1080"/>
      <c r="AA206" s="1080"/>
      <c r="AB206" s="1080"/>
      <c r="AC206" s="1080"/>
    </row>
    <row r="207" spans="1:29" ht="12" customHeight="1">
      <c r="A207" s="1317"/>
      <c r="B207" s="1318" t="s">
        <v>806</v>
      </c>
      <c r="C207" s="1319">
        <v>817</v>
      </c>
      <c r="D207" s="1320"/>
      <c r="E207" s="1306"/>
      <c r="F207" s="1306"/>
      <c r="G207" s="1306"/>
      <c r="H207" s="1306"/>
      <c r="I207" s="1306"/>
      <c r="J207" s="1306"/>
      <c r="K207" s="1306"/>
      <c r="L207" s="1080"/>
      <c r="M207" s="1080"/>
      <c r="N207" s="1080"/>
      <c r="O207" s="1080"/>
      <c r="P207" s="1080"/>
      <c r="Q207" s="1080"/>
      <c r="R207" s="1080"/>
      <c r="S207" s="1080"/>
      <c r="T207" s="1080"/>
      <c r="U207" s="1080"/>
      <c r="V207" s="1080"/>
      <c r="W207" s="1080"/>
      <c r="X207" s="1080"/>
      <c r="Y207" s="1080"/>
      <c r="Z207" s="1080"/>
      <c r="AA207" s="1080"/>
      <c r="AB207" s="1080"/>
      <c r="AC207" s="1080"/>
    </row>
    <row r="208" spans="1:29" ht="12" customHeight="1">
      <c r="A208" s="1321"/>
      <c r="B208" s="1322" t="s">
        <v>860</v>
      </c>
      <c r="C208" s="1323">
        <v>981</v>
      </c>
      <c r="D208" s="1324"/>
      <c r="E208" s="1308"/>
      <c r="F208" s="1308"/>
      <c r="G208" s="1308"/>
      <c r="H208" s="1308"/>
      <c r="I208" s="1308"/>
      <c r="J208" s="1308"/>
      <c r="K208" s="1308"/>
      <c r="L208" s="1080"/>
      <c r="M208" s="1080"/>
      <c r="N208" s="1080"/>
      <c r="O208" s="1080"/>
      <c r="P208" s="1080"/>
      <c r="Q208" s="1080"/>
      <c r="R208" s="1080"/>
      <c r="S208" s="1080"/>
      <c r="T208" s="1080"/>
      <c r="U208" s="1080"/>
      <c r="V208" s="1080"/>
      <c r="W208" s="1080"/>
      <c r="X208" s="1080"/>
      <c r="Y208" s="1080"/>
      <c r="Z208" s="1080"/>
      <c r="AA208" s="1080"/>
      <c r="AB208" s="1080"/>
      <c r="AC208" s="1080"/>
    </row>
    <row r="209" spans="1:29" ht="12" customHeight="1">
      <c r="A209" s="1317"/>
      <c r="B209" s="1318" t="s">
        <v>838</v>
      </c>
      <c r="C209" s="1319">
        <v>1090</v>
      </c>
      <c r="D209" s="1320"/>
      <c r="E209" s="1306"/>
      <c r="F209" s="1306"/>
      <c r="G209" s="1306"/>
      <c r="H209" s="1306"/>
      <c r="I209" s="1306"/>
      <c r="J209" s="1306"/>
      <c r="K209" s="1306"/>
      <c r="L209" s="1080"/>
      <c r="M209" s="1080"/>
      <c r="N209" s="1080"/>
      <c r="O209" s="1080"/>
      <c r="P209" s="1080"/>
      <c r="Q209" s="1080"/>
      <c r="R209" s="1080"/>
      <c r="S209" s="1080"/>
      <c r="T209" s="1080"/>
      <c r="U209" s="1080"/>
      <c r="V209" s="1080"/>
      <c r="W209" s="1080"/>
      <c r="X209" s="1080"/>
      <c r="Y209" s="1080"/>
      <c r="Z209" s="1080"/>
      <c r="AA209" s="1080"/>
      <c r="AB209" s="1080"/>
      <c r="AC209" s="1080"/>
    </row>
    <row r="210" spans="1:29" ht="12" customHeight="1">
      <c r="A210" s="1321"/>
      <c r="B210" s="1325" t="s">
        <v>846</v>
      </c>
      <c r="C210" s="1325" t="s">
        <v>113</v>
      </c>
      <c r="D210" s="1324"/>
      <c r="E210" s="1308"/>
      <c r="F210" s="1308"/>
      <c r="G210" s="1308"/>
      <c r="H210" s="1308"/>
      <c r="I210" s="1308"/>
      <c r="J210" s="1308"/>
      <c r="K210" s="1308"/>
      <c r="L210" s="1080"/>
      <c r="M210" s="1080"/>
      <c r="N210" s="1080"/>
      <c r="O210" s="1080"/>
      <c r="P210" s="1080"/>
      <c r="Q210" s="1080"/>
      <c r="R210" s="1080"/>
      <c r="S210" s="1080"/>
      <c r="T210" s="1080"/>
      <c r="U210" s="1080"/>
      <c r="V210" s="1080"/>
      <c r="W210" s="1080"/>
      <c r="X210" s="1080"/>
      <c r="Y210" s="1080"/>
      <c r="Z210" s="1080"/>
      <c r="AA210" s="1080"/>
      <c r="AB210" s="1080"/>
      <c r="AC210" s="1080"/>
    </row>
    <row r="211" spans="1:29" ht="12" customHeight="1">
      <c r="A211" s="1264"/>
      <c r="B211" s="1264"/>
      <c r="C211" s="1080"/>
      <c r="D211" s="1080"/>
      <c r="E211" s="1080"/>
      <c r="F211" s="1080"/>
      <c r="G211" s="1080"/>
      <c r="H211" s="1080"/>
      <c r="I211" s="1080"/>
      <c r="J211" s="1080"/>
      <c r="K211" s="1080"/>
      <c r="L211" s="1080"/>
      <c r="M211" s="1080"/>
      <c r="N211" s="1080"/>
      <c r="O211" s="1080"/>
      <c r="P211" s="1080"/>
      <c r="Q211" s="1080"/>
      <c r="R211" s="1080"/>
      <c r="S211" s="1080"/>
      <c r="T211" s="1080"/>
      <c r="U211" s="1080"/>
      <c r="V211" s="1080"/>
      <c r="W211" s="1080"/>
      <c r="X211" s="1080"/>
      <c r="Y211" s="1080"/>
      <c r="Z211" s="1080"/>
      <c r="AA211" s="1080"/>
      <c r="AB211" s="1080"/>
      <c r="AC211" s="1080"/>
    </row>
    <row r="212" spans="1:29" ht="12" customHeight="1">
      <c r="A212" s="1264"/>
      <c r="B212" s="1264"/>
      <c r="C212" s="1080"/>
      <c r="D212" s="1080"/>
      <c r="E212" s="1080"/>
      <c r="F212" s="1080"/>
      <c r="G212" s="1080"/>
      <c r="H212" s="1080"/>
      <c r="I212" s="1080"/>
      <c r="J212" s="1080"/>
      <c r="K212" s="1080"/>
      <c r="L212" s="1080"/>
      <c r="M212" s="1080"/>
      <c r="N212" s="1080"/>
      <c r="O212" s="1080"/>
      <c r="P212" s="1080"/>
      <c r="Q212" s="1080"/>
      <c r="R212" s="1080"/>
      <c r="S212" s="1080"/>
      <c r="T212" s="1080"/>
      <c r="U212" s="1080"/>
      <c r="V212" s="1080"/>
      <c r="W212" s="1080"/>
      <c r="X212" s="1080"/>
      <c r="Y212" s="1080"/>
      <c r="Z212" s="1080"/>
      <c r="AA212" s="1080"/>
      <c r="AB212" s="1080"/>
      <c r="AC212" s="1080"/>
    </row>
    <row r="213" spans="1:29" ht="12" customHeight="1">
      <c r="A213" s="1264"/>
      <c r="B213" s="1264"/>
      <c r="C213" s="1080"/>
      <c r="D213" s="1080"/>
      <c r="E213" s="1080"/>
      <c r="F213" s="1080"/>
      <c r="G213" s="1080"/>
      <c r="H213" s="1080"/>
      <c r="I213" s="1080"/>
      <c r="J213" s="1080"/>
      <c r="K213" s="1080"/>
      <c r="L213" s="1080"/>
      <c r="M213" s="1080"/>
      <c r="N213" s="1080"/>
      <c r="O213" s="1080"/>
      <c r="P213" s="1080"/>
      <c r="Q213" s="1080"/>
      <c r="R213" s="1080"/>
      <c r="S213" s="1080"/>
      <c r="T213" s="1080"/>
      <c r="U213" s="1080"/>
      <c r="V213" s="1080"/>
      <c r="W213" s="1080"/>
      <c r="X213" s="1080"/>
      <c r="Y213" s="1080"/>
      <c r="Z213" s="1080"/>
      <c r="AA213" s="1080"/>
      <c r="AB213" s="1080"/>
      <c r="AC213" s="1080"/>
    </row>
    <row r="214" spans="1:29" ht="12" customHeight="1">
      <c r="A214" s="1264"/>
      <c r="B214" s="1264"/>
      <c r="C214" s="1080"/>
      <c r="D214" s="1080"/>
      <c r="E214" s="1080"/>
      <c r="F214" s="1080"/>
      <c r="G214" s="1080"/>
      <c r="H214" s="1080"/>
      <c r="I214" s="1080"/>
      <c r="J214" s="1080"/>
      <c r="K214" s="1080"/>
      <c r="L214" s="1080"/>
      <c r="M214" s="1080"/>
      <c r="N214" s="1080"/>
      <c r="O214" s="1080"/>
      <c r="P214" s="1080"/>
      <c r="Q214" s="1080"/>
      <c r="R214" s="1080"/>
      <c r="S214" s="1080"/>
      <c r="T214" s="1080"/>
      <c r="U214" s="1080"/>
      <c r="V214" s="1080"/>
      <c r="W214" s="1080"/>
      <c r="X214" s="1080"/>
      <c r="Y214" s="1080"/>
      <c r="Z214" s="1080"/>
      <c r="AA214" s="1080"/>
      <c r="AB214" s="1080"/>
      <c r="AC214" s="1080"/>
    </row>
    <row r="215" spans="1:29" ht="12" customHeight="1">
      <c r="A215" s="1264"/>
      <c r="B215" s="1264"/>
      <c r="C215" s="1080"/>
      <c r="D215" s="1080"/>
      <c r="E215" s="1080"/>
      <c r="F215" s="1080"/>
      <c r="G215" s="1080"/>
      <c r="H215" s="1080"/>
      <c r="I215" s="1080"/>
      <c r="J215" s="1080"/>
      <c r="K215" s="1080"/>
      <c r="L215" s="1080"/>
      <c r="M215" s="1080"/>
      <c r="N215" s="1080"/>
      <c r="O215" s="1080"/>
      <c r="P215" s="1080"/>
      <c r="Q215" s="1080"/>
      <c r="R215" s="1080"/>
      <c r="S215" s="1080"/>
      <c r="T215" s="1080"/>
      <c r="U215" s="1080"/>
      <c r="V215" s="1080"/>
      <c r="W215" s="1080"/>
      <c r="X215" s="1080"/>
      <c r="Y215" s="1080"/>
      <c r="Z215" s="1080"/>
      <c r="AA215" s="1080"/>
      <c r="AB215" s="1080"/>
      <c r="AC215" s="1080"/>
    </row>
    <row r="216" spans="1:29" ht="12" customHeight="1">
      <c r="A216" s="1264"/>
      <c r="B216" s="1264"/>
      <c r="C216" s="1080"/>
      <c r="D216" s="1080"/>
      <c r="E216" s="1080"/>
      <c r="F216" s="1080"/>
      <c r="G216" s="1080"/>
      <c r="H216" s="1080"/>
      <c r="I216" s="1080"/>
      <c r="J216" s="1080"/>
      <c r="K216" s="1080"/>
      <c r="L216" s="1080"/>
      <c r="M216" s="1080"/>
      <c r="N216" s="1080"/>
      <c r="O216" s="1080"/>
      <c r="P216" s="1080"/>
      <c r="Q216" s="1080"/>
      <c r="R216" s="1080"/>
      <c r="S216" s="1080"/>
      <c r="T216" s="1080"/>
      <c r="U216" s="1080"/>
      <c r="V216" s="1080"/>
      <c r="W216" s="1080"/>
      <c r="X216" s="1080"/>
      <c r="Y216" s="1080"/>
      <c r="Z216" s="1080"/>
      <c r="AA216" s="1080"/>
      <c r="AB216" s="1080"/>
      <c r="AC216" s="1080"/>
    </row>
    <row r="217" spans="1:29" ht="12" customHeight="1">
      <c r="A217" s="1264"/>
      <c r="B217" s="1264"/>
      <c r="C217" s="1080"/>
      <c r="D217" s="1080"/>
      <c r="E217" s="1080"/>
      <c r="F217" s="1080"/>
      <c r="G217" s="1080"/>
      <c r="H217" s="1080"/>
      <c r="I217" s="1080"/>
      <c r="J217" s="1080"/>
      <c r="K217" s="1080"/>
      <c r="L217" s="1080"/>
      <c r="M217" s="1080"/>
      <c r="N217" s="1080"/>
      <c r="O217" s="1080"/>
      <c r="P217" s="1080"/>
      <c r="Q217" s="1080"/>
      <c r="R217" s="1080"/>
      <c r="S217" s="1080"/>
      <c r="T217" s="1080"/>
      <c r="U217" s="1080"/>
      <c r="V217" s="1080"/>
      <c r="W217" s="1080"/>
      <c r="X217" s="1080"/>
      <c r="Y217" s="1080"/>
      <c r="Z217" s="1080"/>
      <c r="AA217" s="1080"/>
      <c r="AB217" s="1080"/>
      <c r="AC217" s="1080"/>
    </row>
    <row r="218" spans="1:29" ht="12" customHeight="1">
      <c r="A218" s="1264"/>
      <c r="B218" s="1264"/>
      <c r="C218" s="1080"/>
      <c r="D218" s="1080"/>
      <c r="E218" s="1080"/>
      <c r="F218" s="1080"/>
      <c r="G218" s="1080"/>
      <c r="H218" s="1080"/>
      <c r="I218" s="1080"/>
      <c r="J218" s="1080"/>
      <c r="K218" s="1080"/>
      <c r="L218" s="1080"/>
      <c r="M218" s="1080"/>
      <c r="N218" s="1080"/>
      <c r="O218" s="1080"/>
      <c r="P218" s="1080"/>
      <c r="Q218" s="1080"/>
      <c r="R218" s="1080"/>
      <c r="S218" s="1080"/>
      <c r="T218" s="1080"/>
      <c r="U218" s="1080"/>
      <c r="V218" s="1080"/>
      <c r="W218" s="1080"/>
      <c r="X218" s="1080"/>
      <c r="Y218" s="1080"/>
      <c r="Z218" s="1080"/>
      <c r="AA218" s="1080"/>
      <c r="AB218" s="1080"/>
      <c r="AC218" s="1080"/>
    </row>
    <row r="219" spans="1:29" ht="12" customHeight="1">
      <c r="A219" s="1264"/>
      <c r="B219" s="1264"/>
      <c r="C219" s="1080"/>
      <c r="D219" s="1080"/>
      <c r="E219" s="1080"/>
      <c r="F219" s="1080"/>
      <c r="G219" s="1080"/>
      <c r="H219" s="1080"/>
      <c r="I219" s="1080"/>
      <c r="J219" s="1080"/>
      <c r="K219" s="1080"/>
      <c r="L219" s="1080"/>
      <c r="M219" s="1080"/>
      <c r="N219" s="1080"/>
      <c r="O219" s="1080"/>
      <c r="P219" s="1080"/>
      <c r="Q219" s="1080"/>
      <c r="R219" s="1080"/>
      <c r="S219" s="1080"/>
      <c r="T219" s="1080"/>
      <c r="U219" s="1080"/>
      <c r="V219" s="1080"/>
      <c r="W219" s="1080"/>
      <c r="X219" s="1080"/>
      <c r="Y219" s="1080"/>
      <c r="Z219" s="1080"/>
      <c r="AA219" s="1080"/>
      <c r="AB219" s="1080"/>
      <c r="AC219" s="1080"/>
    </row>
    <row r="220" spans="1:29" ht="12" customHeight="1">
      <c r="A220" s="1264"/>
      <c r="B220" s="1264"/>
      <c r="C220" s="1080"/>
      <c r="D220" s="1080"/>
      <c r="E220" s="1080"/>
      <c r="F220" s="1080"/>
      <c r="G220" s="1080"/>
      <c r="H220" s="1080"/>
      <c r="I220" s="1080"/>
      <c r="J220" s="1080"/>
      <c r="K220" s="1080"/>
      <c r="L220" s="1080"/>
      <c r="M220" s="1080"/>
      <c r="N220" s="1080"/>
      <c r="O220" s="1080"/>
      <c r="P220" s="1080"/>
      <c r="Q220" s="1080"/>
      <c r="R220" s="1080"/>
      <c r="S220" s="1080"/>
      <c r="T220" s="1080"/>
      <c r="U220" s="1080"/>
      <c r="V220" s="1080"/>
      <c r="W220" s="1080"/>
      <c r="X220" s="1080"/>
      <c r="Y220" s="1080"/>
      <c r="Z220" s="1080"/>
      <c r="AA220" s="1080"/>
      <c r="AB220" s="1080"/>
      <c r="AC220" s="1080"/>
    </row>
    <row r="221" spans="1:29" ht="12" customHeight="1">
      <c r="A221" s="1264"/>
      <c r="B221" s="1264"/>
      <c r="C221" s="1080"/>
      <c r="D221" s="1080"/>
      <c r="E221" s="1080"/>
      <c r="F221" s="1080"/>
      <c r="G221" s="1080"/>
      <c r="H221" s="1080"/>
      <c r="I221" s="1080"/>
      <c r="J221" s="1080"/>
      <c r="K221" s="1080"/>
      <c r="L221" s="1080"/>
      <c r="M221" s="1080"/>
      <c r="N221" s="1080"/>
      <c r="O221" s="1080"/>
      <c r="P221" s="1080"/>
      <c r="Q221" s="1080"/>
      <c r="R221" s="1080"/>
      <c r="S221" s="1080"/>
      <c r="T221" s="1080"/>
      <c r="U221" s="1080"/>
      <c r="V221" s="1080"/>
      <c r="W221" s="1080"/>
      <c r="X221" s="1080"/>
      <c r="Y221" s="1080"/>
      <c r="Z221" s="1080"/>
      <c r="AA221" s="1080"/>
      <c r="AB221" s="1080"/>
      <c r="AC221" s="1080"/>
    </row>
    <row r="222" spans="1:29" ht="12" customHeight="1">
      <c r="A222" s="1264"/>
      <c r="B222" s="1264"/>
      <c r="C222" s="1080"/>
      <c r="D222" s="1080"/>
      <c r="E222" s="1080"/>
      <c r="F222" s="1080"/>
      <c r="G222" s="1080"/>
      <c r="H222" s="1080"/>
      <c r="I222" s="1080"/>
      <c r="J222" s="1080"/>
      <c r="K222" s="1080"/>
      <c r="L222" s="1080"/>
      <c r="M222" s="1080"/>
      <c r="N222" s="1080"/>
      <c r="O222" s="1080"/>
      <c r="P222" s="1080"/>
      <c r="Q222" s="1080"/>
      <c r="R222" s="1080"/>
      <c r="S222" s="1080"/>
      <c r="T222" s="1080"/>
      <c r="U222" s="1080"/>
      <c r="V222" s="1080"/>
      <c r="W222" s="1080"/>
      <c r="X222" s="1080"/>
      <c r="Y222" s="1080"/>
      <c r="Z222" s="1080"/>
      <c r="AA222" s="1080"/>
      <c r="AB222" s="1080"/>
      <c r="AC222" s="1080"/>
    </row>
    <row r="223" spans="1:29" ht="12" customHeight="1">
      <c r="A223" s="1264"/>
      <c r="B223" s="1264"/>
      <c r="C223" s="1080"/>
      <c r="D223" s="1080"/>
      <c r="E223" s="1080"/>
      <c r="F223" s="1080"/>
      <c r="G223" s="1080"/>
      <c r="H223" s="1080"/>
      <c r="I223" s="1080"/>
      <c r="J223" s="1080"/>
      <c r="K223" s="1080"/>
      <c r="L223" s="1080"/>
      <c r="M223" s="1080"/>
      <c r="N223" s="1080"/>
      <c r="O223" s="1080"/>
      <c r="P223" s="1080"/>
      <c r="Q223" s="1080"/>
      <c r="R223" s="1080"/>
      <c r="S223" s="1080"/>
      <c r="T223" s="1080"/>
      <c r="U223" s="1080"/>
      <c r="V223" s="1080"/>
      <c r="W223" s="1080"/>
      <c r="X223" s="1080"/>
      <c r="Y223" s="1080"/>
      <c r="Z223" s="1080"/>
      <c r="AA223" s="1080"/>
      <c r="AB223" s="1080"/>
      <c r="AC223" s="1080"/>
    </row>
    <row r="224" spans="1:29" ht="12" customHeight="1">
      <c r="A224" s="1264"/>
      <c r="B224" s="1264"/>
      <c r="C224" s="1080"/>
      <c r="D224" s="1080"/>
      <c r="E224" s="1080"/>
      <c r="F224" s="1080"/>
      <c r="G224" s="1080"/>
      <c r="H224" s="1080"/>
      <c r="I224" s="1080"/>
      <c r="J224" s="1080"/>
      <c r="K224" s="1080"/>
      <c r="L224" s="1080"/>
      <c r="M224" s="1080"/>
      <c r="N224" s="1080"/>
      <c r="O224" s="1080"/>
      <c r="P224" s="1080"/>
      <c r="Q224" s="1080"/>
      <c r="R224" s="1080"/>
      <c r="S224" s="1080"/>
      <c r="T224" s="1080"/>
      <c r="U224" s="1080"/>
      <c r="V224" s="1080"/>
      <c r="W224" s="1080"/>
      <c r="X224" s="1080"/>
      <c r="Y224" s="1080"/>
      <c r="Z224" s="1080"/>
      <c r="AA224" s="1080"/>
      <c r="AB224" s="1080"/>
      <c r="AC224" s="1080"/>
    </row>
    <row r="225" spans="1:29" ht="12" customHeight="1">
      <c r="A225" s="1264"/>
      <c r="B225" s="1264"/>
      <c r="C225" s="1080"/>
      <c r="D225" s="1080"/>
      <c r="E225" s="1080"/>
      <c r="F225" s="1080"/>
      <c r="G225" s="1080"/>
      <c r="H225" s="1080"/>
      <c r="I225" s="1080"/>
      <c r="J225" s="1080"/>
      <c r="K225" s="1080"/>
      <c r="L225" s="1080"/>
      <c r="M225" s="1080"/>
      <c r="N225" s="1080"/>
      <c r="O225" s="1080"/>
      <c r="P225" s="1080"/>
      <c r="Q225" s="1080"/>
      <c r="R225" s="1080"/>
      <c r="S225" s="1080"/>
      <c r="T225" s="1080"/>
      <c r="U225" s="1080"/>
      <c r="V225" s="1080"/>
      <c r="W225" s="1080"/>
      <c r="X225" s="1080"/>
      <c r="Y225" s="1080"/>
      <c r="Z225" s="1080"/>
      <c r="AA225" s="1080"/>
      <c r="AB225" s="1080"/>
      <c r="AC225" s="1080"/>
    </row>
    <row r="226" spans="1:29" ht="12" customHeight="1">
      <c r="A226" s="1264"/>
      <c r="B226" s="1264"/>
      <c r="C226" s="1080"/>
      <c r="D226" s="1080"/>
      <c r="E226" s="1080"/>
      <c r="F226" s="1080"/>
      <c r="G226" s="1080"/>
      <c r="H226" s="1080"/>
      <c r="I226" s="1080"/>
      <c r="J226" s="1080"/>
      <c r="K226" s="1080"/>
      <c r="L226" s="1080"/>
      <c r="M226" s="1080"/>
      <c r="N226" s="1080"/>
      <c r="O226" s="1080"/>
      <c r="P226" s="1080"/>
      <c r="Q226" s="1080"/>
      <c r="R226" s="1080"/>
      <c r="S226" s="1080"/>
      <c r="T226" s="1080"/>
      <c r="U226" s="1080"/>
      <c r="V226" s="1080"/>
      <c r="W226" s="1080"/>
      <c r="X226" s="1080"/>
      <c r="Y226" s="1080"/>
      <c r="Z226" s="1080"/>
      <c r="AA226" s="1080"/>
      <c r="AB226" s="1080"/>
      <c r="AC226" s="1080"/>
    </row>
    <row r="227" spans="1:29" ht="12" customHeight="1">
      <c r="A227" s="1264"/>
      <c r="B227" s="1264"/>
      <c r="C227" s="1080"/>
      <c r="D227" s="1080"/>
      <c r="E227" s="1080"/>
      <c r="F227" s="1080"/>
      <c r="G227" s="1080"/>
      <c r="H227" s="1080"/>
      <c r="I227" s="1080"/>
      <c r="J227" s="1080"/>
      <c r="K227" s="1080"/>
      <c r="L227" s="1080"/>
      <c r="M227" s="1080"/>
      <c r="N227" s="1080"/>
      <c r="O227" s="1080"/>
      <c r="P227" s="1080"/>
      <c r="Q227" s="1080"/>
      <c r="R227" s="1080"/>
      <c r="S227" s="1080"/>
      <c r="T227" s="1080"/>
      <c r="U227" s="1080"/>
      <c r="V227" s="1080"/>
      <c r="W227" s="1080"/>
      <c r="X227" s="1080"/>
      <c r="Y227" s="1080"/>
      <c r="Z227" s="1080"/>
      <c r="AA227" s="1080"/>
      <c r="AB227" s="1080"/>
      <c r="AC227" s="1080"/>
    </row>
    <row r="228" spans="1:29" ht="12" customHeight="1">
      <c r="A228" s="1264"/>
      <c r="B228" s="1264"/>
      <c r="C228" s="1080"/>
      <c r="D228" s="1080"/>
      <c r="E228" s="1080"/>
      <c r="F228" s="1080"/>
      <c r="G228" s="1080"/>
      <c r="H228" s="1080"/>
      <c r="I228" s="1080"/>
      <c r="J228" s="1080"/>
      <c r="K228" s="1080"/>
      <c r="L228" s="1080"/>
      <c r="M228" s="1080"/>
      <c r="N228" s="1080"/>
      <c r="O228" s="1080"/>
      <c r="P228" s="1080"/>
      <c r="Q228" s="1080"/>
      <c r="R228" s="1080"/>
      <c r="S228" s="1080"/>
      <c r="T228" s="1080"/>
      <c r="U228" s="1080"/>
      <c r="V228" s="1080"/>
      <c r="W228" s="1080"/>
      <c r="X228" s="1080"/>
      <c r="Y228" s="1080"/>
      <c r="Z228" s="1080"/>
      <c r="AA228" s="1080"/>
      <c r="AB228" s="1080"/>
      <c r="AC228" s="1080"/>
    </row>
    <row r="229" spans="1:29" ht="12" customHeight="1">
      <c r="A229" s="1264"/>
      <c r="B229" s="1264"/>
      <c r="C229" s="1080"/>
      <c r="D229" s="1080"/>
      <c r="E229" s="1080"/>
      <c r="F229" s="1080"/>
      <c r="G229" s="1080"/>
      <c r="H229" s="1080"/>
      <c r="I229" s="1080"/>
      <c r="J229" s="1080"/>
      <c r="K229" s="1080"/>
      <c r="L229" s="1080"/>
      <c r="M229" s="1080"/>
      <c r="N229" s="1080"/>
      <c r="O229" s="1080"/>
      <c r="P229" s="1080"/>
      <c r="Q229" s="1080"/>
      <c r="R229" s="1080"/>
      <c r="S229" s="1080"/>
      <c r="T229" s="1080"/>
      <c r="U229" s="1080"/>
      <c r="V229" s="1080"/>
      <c r="W229" s="1080"/>
      <c r="X229" s="1080"/>
      <c r="Y229" s="1080"/>
      <c r="Z229" s="1080"/>
      <c r="AA229" s="1080"/>
      <c r="AB229" s="1080"/>
      <c r="AC229" s="1080"/>
    </row>
    <row r="230" spans="1:29" ht="12" customHeight="1">
      <c r="A230" s="1264"/>
      <c r="B230" s="1264"/>
      <c r="C230" s="1080"/>
      <c r="D230" s="1080"/>
      <c r="E230" s="1080"/>
      <c r="F230" s="1080"/>
      <c r="G230" s="1080"/>
      <c r="H230" s="1080"/>
      <c r="I230" s="1080"/>
      <c r="J230" s="1080"/>
      <c r="K230" s="1080"/>
      <c r="L230" s="1080"/>
      <c r="M230" s="1080"/>
      <c r="N230" s="1080"/>
      <c r="O230" s="1080"/>
      <c r="P230" s="1080"/>
      <c r="Q230" s="1080"/>
      <c r="R230" s="1080"/>
      <c r="S230" s="1080"/>
      <c r="T230" s="1080"/>
      <c r="U230" s="1080"/>
      <c r="V230" s="1080"/>
      <c r="W230" s="1080"/>
      <c r="X230" s="1080"/>
      <c r="Y230" s="1080"/>
      <c r="Z230" s="1080"/>
      <c r="AA230" s="1080"/>
      <c r="AB230" s="1080"/>
      <c r="AC230" s="1080"/>
    </row>
    <row r="231" spans="1:29" ht="12" customHeight="1">
      <c r="A231" s="1264"/>
      <c r="B231" s="1264"/>
      <c r="C231" s="1080"/>
      <c r="D231" s="1080"/>
      <c r="E231" s="1080"/>
      <c r="F231" s="1080"/>
      <c r="G231" s="1080"/>
      <c r="H231" s="1080"/>
      <c r="I231" s="1080"/>
      <c r="J231" s="1080"/>
      <c r="K231" s="1080"/>
      <c r="L231" s="1080"/>
      <c r="M231" s="1080"/>
      <c r="N231" s="1080"/>
      <c r="O231" s="1080"/>
      <c r="P231" s="1080"/>
      <c r="Q231" s="1080"/>
      <c r="R231" s="1080"/>
      <c r="S231" s="1080"/>
      <c r="T231" s="1080"/>
      <c r="U231" s="1080"/>
      <c r="V231" s="1080"/>
      <c r="W231" s="1080"/>
      <c r="X231" s="1080"/>
      <c r="Y231" s="1080"/>
      <c r="Z231" s="1080"/>
      <c r="AA231" s="1080"/>
      <c r="AB231" s="1080"/>
      <c r="AC231" s="1080"/>
    </row>
    <row r="232" spans="1:29" ht="12" customHeight="1">
      <c r="A232" s="1264"/>
      <c r="B232" s="1264"/>
      <c r="C232" s="1080"/>
      <c r="D232" s="1080"/>
      <c r="E232" s="1080"/>
      <c r="F232" s="1080"/>
      <c r="G232" s="1080"/>
      <c r="H232" s="1080"/>
      <c r="I232" s="1080"/>
      <c r="J232" s="1080"/>
      <c r="K232" s="1080"/>
      <c r="L232" s="1080"/>
      <c r="M232" s="1080"/>
      <c r="N232" s="1080"/>
      <c r="O232" s="1080"/>
      <c r="P232" s="1080"/>
      <c r="Q232" s="1080"/>
      <c r="R232" s="1080"/>
      <c r="S232" s="1080"/>
      <c r="T232" s="1080"/>
      <c r="U232" s="1080"/>
      <c r="V232" s="1080"/>
      <c r="W232" s="1080"/>
      <c r="X232" s="1080"/>
      <c r="Y232" s="1080"/>
      <c r="Z232" s="1080"/>
      <c r="AA232" s="1080"/>
      <c r="AB232" s="1080"/>
      <c r="AC232" s="1080"/>
    </row>
    <row r="233" spans="1:29" ht="12" customHeight="1">
      <c r="A233" s="1264"/>
      <c r="B233" s="1264"/>
      <c r="C233" s="1080"/>
      <c r="D233" s="1080"/>
      <c r="E233" s="1080"/>
      <c r="F233" s="1080"/>
      <c r="G233" s="1080"/>
      <c r="H233" s="1080"/>
      <c r="I233" s="1080"/>
      <c r="J233" s="1080"/>
      <c r="K233" s="1080"/>
      <c r="L233" s="1080"/>
      <c r="M233" s="1080"/>
      <c r="N233" s="1080"/>
      <c r="O233" s="1080"/>
      <c r="P233" s="1080"/>
      <c r="Q233" s="1080"/>
      <c r="R233" s="1080"/>
      <c r="S233" s="1080"/>
      <c r="T233" s="1080"/>
      <c r="U233" s="1080"/>
      <c r="V233" s="1080"/>
      <c r="W233" s="1080"/>
      <c r="X233" s="1080"/>
      <c r="Y233" s="1080"/>
      <c r="Z233" s="1080"/>
      <c r="AA233" s="1080"/>
      <c r="AB233" s="1080"/>
      <c r="AC233" s="1080"/>
    </row>
    <row r="234" spans="1:29" ht="12" customHeight="1">
      <c r="A234" s="1264"/>
      <c r="B234" s="1264"/>
      <c r="C234" s="1080"/>
      <c r="D234" s="1080"/>
      <c r="E234" s="1080"/>
      <c r="F234" s="1080"/>
      <c r="G234" s="1080"/>
      <c r="H234" s="1080"/>
      <c r="I234" s="1080"/>
      <c r="J234" s="1080"/>
      <c r="K234" s="1080"/>
      <c r="L234" s="1080"/>
      <c r="M234" s="1080"/>
      <c r="N234" s="1080"/>
      <c r="O234" s="1080"/>
      <c r="P234" s="1080"/>
      <c r="Q234" s="1080"/>
      <c r="R234" s="1080"/>
      <c r="S234" s="1080"/>
      <c r="T234" s="1080"/>
      <c r="U234" s="1080"/>
      <c r="V234" s="1080"/>
      <c r="W234" s="1080"/>
      <c r="X234" s="1080"/>
      <c r="Y234" s="1080"/>
      <c r="Z234" s="1080"/>
      <c r="AA234" s="1080"/>
      <c r="AB234" s="1080"/>
      <c r="AC234" s="1080"/>
    </row>
    <row r="235" spans="1:29" ht="12" customHeight="1">
      <c r="A235" s="1264"/>
      <c r="B235" s="1264"/>
      <c r="C235" s="1080"/>
      <c r="D235" s="1080"/>
      <c r="E235" s="1080"/>
      <c r="F235" s="1080"/>
      <c r="G235" s="1080"/>
      <c r="H235" s="1080"/>
      <c r="I235" s="1080"/>
      <c r="J235" s="1080"/>
      <c r="K235" s="1080"/>
      <c r="L235" s="1080"/>
      <c r="M235" s="1080"/>
      <c r="N235" s="1080"/>
      <c r="O235" s="1080"/>
      <c r="P235" s="1080"/>
      <c r="Q235" s="1080"/>
      <c r="R235" s="1080"/>
      <c r="S235" s="1080"/>
      <c r="T235" s="1080"/>
      <c r="U235" s="1080"/>
      <c r="V235" s="1080"/>
      <c r="W235" s="1080"/>
      <c r="X235" s="1080"/>
      <c r="Y235" s="1080"/>
      <c r="Z235" s="1080"/>
      <c r="AA235" s="1080"/>
      <c r="AB235" s="1080"/>
      <c r="AC235" s="1080"/>
    </row>
    <row r="236" spans="1:29" ht="12" customHeight="1">
      <c r="A236" s="1264"/>
      <c r="B236" s="1264"/>
      <c r="C236" s="1080"/>
      <c r="D236" s="1080"/>
      <c r="E236" s="1080"/>
      <c r="F236" s="1080"/>
      <c r="G236" s="1080"/>
      <c r="H236" s="1080"/>
      <c r="I236" s="1080"/>
      <c r="J236" s="1080"/>
      <c r="K236" s="1080"/>
      <c r="L236" s="1080"/>
      <c r="M236" s="1080"/>
      <c r="N236" s="1080"/>
      <c r="O236" s="1080"/>
      <c r="P236" s="1080"/>
      <c r="Q236" s="1080"/>
      <c r="R236" s="1080"/>
      <c r="S236" s="1080"/>
      <c r="T236" s="1080"/>
      <c r="U236" s="1080"/>
      <c r="V236" s="1080"/>
      <c r="W236" s="1080"/>
      <c r="X236" s="1080"/>
      <c r="Y236" s="1080"/>
      <c r="Z236" s="1080"/>
      <c r="AA236" s="1080"/>
      <c r="AB236" s="1080"/>
      <c r="AC236" s="1080"/>
    </row>
    <row r="237" spans="1:29" ht="12" customHeight="1">
      <c r="A237" s="1264"/>
      <c r="B237" s="1264"/>
      <c r="C237" s="1080"/>
      <c r="D237" s="1080"/>
      <c r="E237" s="1080"/>
      <c r="F237" s="1080"/>
      <c r="G237" s="1080"/>
      <c r="H237" s="1080"/>
      <c r="I237" s="1080"/>
      <c r="J237" s="1080"/>
      <c r="K237" s="1080"/>
      <c r="L237" s="1080"/>
      <c r="M237" s="1080"/>
      <c r="N237" s="1080"/>
      <c r="O237" s="1080"/>
      <c r="P237" s="1080"/>
      <c r="Q237" s="1080"/>
      <c r="R237" s="1080"/>
      <c r="S237" s="1080"/>
      <c r="T237" s="1080"/>
      <c r="U237" s="1080"/>
      <c r="V237" s="1080"/>
      <c r="W237" s="1080"/>
      <c r="X237" s="1080"/>
      <c r="Y237" s="1080"/>
      <c r="Z237" s="1080"/>
      <c r="AA237" s="1080"/>
      <c r="AB237" s="1080"/>
      <c r="AC237" s="1080"/>
    </row>
    <row r="238" spans="1:29" ht="12" customHeight="1">
      <c r="A238" s="1264"/>
      <c r="B238" s="1264"/>
      <c r="C238" s="1080"/>
      <c r="D238" s="1080"/>
      <c r="E238" s="1080"/>
      <c r="F238" s="1080"/>
      <c r="G238" s="1080"/>
      <c r="H238" s="1080"/>
      <c r="I238" s="1080"/>
      <c r="J238" s="1080"/>
      <c r="K238" s="1080"/>
      <c r="L238" s="1080"/>
      <c r="M238" s="1080"/>
      <c r="N238" s="1080"/>
      <c r="O238" s="1080"/>
      <c r="P238" s="1080"/>
      <c r="Q238" s="1080"/>
      <c r="R238" s="1080"/>
      <c r="S238" s="1080"/>
      <c r="T238" s="1080"/>
      <c r="U238" s="1080"/>
      <c r="V238" s="1080"/>
      <c r="W238" s="1080"/>
      <c r="X238" s="1080"/>
      <c r="Y238" s="1080"/>
      <c r="Z238" s="1080"/>
      <c r="AA238" s="1080"/>
      <c r="AB238" s="1080"/>
      <c r="AC238" s="1080"/>
    </row>
    <row r="239" spans="1:29" ht="12" customHeight="1">
      <c r="A239" s="1264"/>
      <c r="B239" s="1264"/>
      <c r="C239" s="1080"/>
      <c r="D239" s="1080"/>
      <c r="E239" s="1080"/>
      <c r="F239" s="1080"/>
      <c r="G239" s="1080"/>
      <c r="H239" s="1080"/>
      <c r="I239" s="1080"/>
      <c r="J239" s="1080"/>
      <c r="K239" s="1080"/>
      <c r="L239" s="1080"/>
      <c r="M239" s="1080"/>
      <c r="N239" s="1080"/>
      <c r="O239" s="1080"/>
      <c r="P239" s="1080"/>
      <c r="Q239" s="1080"/>
      <c r="R239" s="1080"/>
      <c r="S239" s="1080"/>
      <c r="T239" s="1080"/>
      <c r="U239" s="1080"/>
      <c r="V239" s="1080"/>
      <c r="W239" s="1080"/>
      <c r="X239" s="1080"/>
      <c r="Y239" s="1080"/>
      <c r="Z239" s="1080"/>
      <c r="AA239" s="1080"/>
      <c r="AB239" s="1080"/>
      <c r="AC239" s="1080"/>
    </row>
    <row r="240" spans="1:29" ht="12" customHeight="1">
      <c r="A240" s="1264"/>
      <c r="B240" s="1264"/>
      <c r="C240" s="1080"/>
      <c r="D240" s="1080"/>
      <c r="E240" s="1080"/>
      <c r="F240" s="1080"/>
      <c r="G240" s="1080"/>
      <c r="H240" s="1080"/>
      <c r="I240" s="1080"/>
      <c r="J240" s="1080"/>
      <c r="K240" s="1080"/>
      <c r="L240" s="1080"/>
      <c r="M240" s="1080"/>
      <c r="N240" s="1080"/>
      <c r="O240" s="1080"/>
      <c r="P240" s="1080"/>
      <c r="Q240" s="1080"/>
      <c r="R240" s="1080"/>
      <c r="S240" s="1080"/>
      <c r="T240" s="1080"/>
      <c r="U240" s="1080"/>
      <c r="V240" s="1080"/>
      <c r="W240" s="1080"/>
      <c r="X240" s="1080"/>
      <c r="Y240" s="1080"/>
      <c r="Z240" s="1080"/>
      <c r="AA240" s="1080"/>
      <c r="AB240" s="1080"/>
      <c r="AC240" s="1080"/>
    </row>
    <row r="241" spans="1:29" ht="12" customHeight="1">
      <c r="A241" s="1264"/>
      <c r="B241" s="1264"/>
      <c r="C241" s="1080"/>
      <c r="D241" s="1080"/>
      <c r="E241" s="1080"/>
      <c r="F241" s="1080"/>
      <c r="G241" s="1080"/>
      <c r="H241" s="1080"/>
      <c r="I241" s="1080"/>
      <c r="J241" s="1080"/>
      <c r="K241" s="1080"/>
      <c r="L241" s="1080"/>
      <c r="M241" s="1080"/>
      <c r="N241" s="1080"/>
      <c r="O241" s="1080"/>
      <c r="P241" s="1080"/>
      <c r="Q241" s="1080"/>
      <c r="R241" s="1080"/>
      <c r="S241" s="1080"/>
      <c r="T241" s="1080"/>
      <c r="U241" s="1080"/>
      <c r="V241" s="1080"/>
      <c r="W241" s="1080"/>
      <c r="X241" s="1080"/>
      <c r="Y241" s="1080"/>
      <c r="Z241" s="1080"/>
      <c r="AA241" s="1080"/>
      <c r="AB241" s="1080"/>
      <c r="AC241" s="1080"/>
    </row>
    <row r="242" spans="1:29" ht="12" customHeight="1">
      <c r="A242" s="1264"/>
      <c r="B242" s="1264"/>
      <c r="C242" s="1080"/>
      <c r="D242" s="1080"/>
      <c r="E242" s="1080"/>
      <c r="F242" s="1080"/>
      <c r="G242" s="1080"/>
      <c r="H242" s="1080"/>
      <c r="I242" s="1080"/>
      <c r="J242" s="1080"/>
      <c r="K242" s="1080"/>
      <c r="L242" s="1080"/>
      <c r="M242" s="1080"/>
      <c r="N242" s="1080"/>
      <c r="O242" s="1080"/>
      <c r="P242" s="1080"/>
      <c r="Q242" s="1080"/>
      <c r="R242" s="1080"/>
      <c r="S242" s="1080"/>
      <c r="T242" s="1080"/>
      <c r="U242" s="1080"/>
      <c r="V242" s="1080"/>
      <c r="W242" s="1080"/>
      <c r="X242" s="1080"/>
      <c r="Y242" s="1080"/>
      <c r="Z242" s="1080"/>
      <c r="AA242" s="1080"/>
      <c r="AB242" s="1080"/>
      <c r="AC242" s="1080"/>
    </row>
    <row r="243" spans="1:29" ht="12" customHeight="1">
      <c r="A243" s="1264"/>
      <c r="B243" s="1264"/>
      <c r="C243" s="1080"/>
      <c r="D243" s="1080"/>
      <c r="E243" s="1080"/>
      <c r="F243" s="1080"/>
      <c r="G243" s="1080"/>
      <c r="H243" s="1080"/>
      <c r="I243" s="1080"/>
      <c r="J243" s="1080"/>
      <c r="K243" s="1080"/>
      <c r="L243" s="1080"/>
      <c r="M243" s="1080"/>
      <c r="N243" s="1080"/>
      <c r="O243" s="1080"/>
      <c r="P243" s="1080"/>
      <c r="Q243" s="1080"/>
      <c r="R243" s="1080"/>
      <c r="S243" s="1080"/>
      <c r="T243" s="1080"/>
      <c r="U243" s="1080"/>
      <c r="V243" s="1080"/>
      <c r="W243" s="1080"/>
      <c r="X243" s="1080"/>
      <c r="Y243" s="1080"/>
      <c r="Z243" s="1080"/>
      <c r="AA243" s="1080"/>
      <c r="AB243" s="1080"/>
      <c r="AC243" s="1080"/>
    </row>
    <row r="244" spans="1:29" ht="12" customHeight="1">
      <c r="A244" s="1264"/>
      <c r="B244" s="1264"/>
      <c r="C244" s="1080"/>
      <c r="D244" s="1080"/>
      <c r="E244" s="1080"/>
      <c r="F244" s="1080"/>
      <c r="G244" s="1080"/>
      <c r="H244" s="1080"/>
      <c r="I244" s="1080"/>
      <c r="J244" s="1080"/>
      <c r="K244" s="1080"/>
      <c r="L244" s="1080"/>
      <c r="M244" s="1080"/>
      <c r="N244" s="1080"/>
      <c r="O244" s="1080"/>
      <c r="P244" s="1080"/>
      <c r="Q244" s="1080"/>
      <c r="R244" s="1080"/>
      <c r="S244" s="1080"/>
      <c r="T244" s="1080"/>
      <c r="U244" s="1080"/>
      <c r="V244" s="1080"/>
      <c r="W244" s="1080"/>
      <c r="X244" s="1080"/>
      <c r="Y244" s="1080"/>
      <c r="Z244" s="1080"/>
      <c r="AA244" s="1080"/>
      <c r="AB244" s="1080"/>
      <c r="AC244" s="1080"/>
    </row>
    <row r="245" spans="1:29" ht="12" customHeight="1">
      <c r="A245" s="1264"/>
      <c r="B245" s="1264"/>
      <c r="C245" s="1080"/>
      <c r="D245" s="1080"/>
      <c r="E245" s="1080"/>
      <c r="F245" s="1080"/>
      <c r="G245" s="1080"/>
      <c r="H245" s="1080"/>
      <c r="I245" s="1080"/>
      <c r="J245" s="1080"/>
      <c r="K245" s="1080"/>
      <c r="L245" s="1080"/>
      <c r="M245" s="1080"/>
      <c r="N245" s="1080"/>
      <c r="O245" s="1080"/>
      <c r="P245" s="1080"/>
      <c r="Q245" s="1080"/>
      <c r="R245" s="1080"/>
      <c r="S245" s="1080"/>
      <c r="T245" s="1080"/>
      <c r="U245" s="1080"/>
      <c r="V245" s="1080"/>
      <c r="W245" s="1080"/>
      <c r="X245" s="1080"/>
      <c r="Y245" s="1080"/>
      <c r="Z245" s="1080"/>
      <c r="AA245" s="1080"/>
      <c r="AB245" s="1080"/>
      <c r="AC245" s="1080"/>
    </row>
    <row r="246" spans="1:29" ht="12" customHeight="1">
      <c r="A246" s="1264"/>
      <c r="B246" s="1264"/>
      <c r="C246" s="1080"/>
      <c r="D246" s="1080"/>
      <c r="E246" s="1080"/>
      <c r="F246" s="1080"/>
      <c r="G246" s="1080"/>
      <c r="H246" s="1080"/>
      <c r="I246" s="1080"/>
      <c r="J246" s="1080"/>
      <c r="K246" s="1080"/>
      <c r="L246" s="1080"/>
      <c r="M246" s="1080"/>
      <c r="N246" s="1080"/>
      <c r="O246" s="1080"/>
      <c r="P246" s="1080"/>
      <c r="Q246" s="1080"/>
      <c r="R246" s="1080"/>
      <c r="S246" s="1080"/>
      <c r="T246" s="1080"/>
      <c r="U246" s="1080"/>
      <c r="V246" s="1080"/>
      <c r="W246" s="1080"/>
      <c r="X246" s="1080"/>
      <c r="Y246" s="1080"/>
      <c r="Z246" s="1080"/>
      <c r="AA246" s="1080"/>
      <c r="AB246" s="1080"/>
      <c r="AC246" s="1080"/>
    </row>
    <row r="247" spans="1:29" ht="12" customHeight="1">
      <c r="A247" s="1264"/>
      <c r="B247" s="1264"/>
      <c r="C247" s="1080"/>
      <c r="D247" s="1080"/>
      <c r="E247" s="1080"/>
      <c r="F247" s="1080"/>
      <c r="G247" s="1080"/>
      <c r="H247" s="1080"/>
      <c r="I247" s="1080"/>
      <c r="J247" s="1080"/>
      <c r="K247" s="1080"/>
      <c r="L247" s="1080"/>
      <c r="M247" s="1080"/>
      <c r="N247" s="1080"/>
      <c r="O247" s="1080"/>
      <c r="P247" s="1080"/>
      <c r="Q247" s="1080"/>
      <c r="R247" s="1080"/>
      <c r="S247" s="1080"/>
      <c r="T247" s="1080"/>
      <c r="U247" s="1080"/>
      <c r="V247" s="1080"/>
      <c r="W247" s="1080"/>
      <c r="X247" s="1080"/>
      <c r="Y247" s="1080"/>
      <c r="Z247" s="1080"/>
      <c r="AA247" s="1080"/>
      <c r="AB247" s="1080"/>
      <c r="AC247" s="1080"/>
    </row>
    <row r="248" spans="1:29" ht="12" customHeight="1">
      <c r="A248" s="1264"/>
      <c r="B248" s="1264"/>
      <c r="C248" s="1080"/>
      <c r="D248" s="1080"/>
      <c r="E248" s="1080"/>
      <c r="F248" s="1080"/>
      <c r="G248" s="1080"/>
      <c r="H248" s="1080"/>
      <c r="I248" s="1080"/>
      <c r="J248" s="1080"/>
      <c r="K248" s="1080"/>
      <c r="L248" s="1080"/>
      <c r="M248" s="1080"/>
      <c r="N248" s="1080"/>
      <c r="O248" s="1080"/>
      <c r="P248" s="1080"/>
      <c r="Q248" s="1080"/>
      <c r="R248" s="1080"/>
      <c r="S248" s="1080"/>
      <c r="T248" s="1080"/>
      <c r="U248" s="1080"/>
      <c r="V248" s="1080"/>
      <c r="W248" s="1080"/>
      <c r="X248" s="1080"/>
      <c r="Y248" s="1080"/>
      <c r="Z248" s="1080"/>
      <c r="AA248" s="1080"/>
      <c r="AB248" s="1080"/>
      <c r="AC248" s="1080"/>
    </row>
    <row r="249" spans="1:29" ht="12" customHeight="1">
      <c r="A249" s="1264"/>
      <c r="B249" s="1264"/>
      <c r="C249" s="1080"/>
      <c r="D249" s="1080"/>
      <c r="E249" s="1080"/>
      <c r="F249" s="1080"/>
      <c r="G249" s="1080"/>
      <c r="H249" s="1080"/>
      <c r="I249" s="1080"/>
      <c r="J249" s="1080"/>
      <c r="K249" s="1080"/>
      <c r="L249" s="1080"/>
      <c r="M249" s="1080"/>
      <c r="N249" s="1080"/>
      <c r="O249" s="1080"/>
      <c r="P249" s="1080"/>
      <c r="Q249" s="1080"/>
      <c r="R249" s="1080"/>
      <c r="S249" s="1080"/>
      <c r="T249" s="1080"/>
      <c r="U249" s="1080"/>
      <c r="V249" s="1080"/>
      <c r="W249" s="1080"/>
      <c r="X249" s="1080"/>
      <c r="Y249" s="1080"/>
      <c r="Z249" s="1080"/>
      <c r="AA249" s="1080"/>
      <c r="AB249" s="1080"/>
      <c r="AC249" s="1080"/>
    </row>
    <row r="250" spans="1:29" ht="12" customHeight="1">
      <c r="A250" s="1264"/>
      <c r="B250" s="1264"/>
      <c r="C250" s="1080"/>
      <c r="D250" s="1080"/>
      <c r="E250" s="1080"/>
      <c r="F250" s="1080"/>
      <c r="G250" s="1080"/>
      <c r="H250" s="1080"/>
      <c r="I250" s="1080"/>
      <c r="J250" s="1080"/>
      <c r="K250" s="1080"/>
      <c r="L250" s="1080"/>
      <c r="M250" s="1080"/>
      <c r="N250" s="1080"/>
      <c r="O250" s="1080"/>
      <c r="P250" s="1080"/>
      <c r="Q250" s="1080"/>
      <c r="R250" s="1080"/>
      <c r="S250" s="1080"/>
      <c r="T250" s="1080"/>
      <c r="U250" s="1080"/>
      <c r="V250" s="1080"/>
      <c r="W250" s="1080"/>
      <c r="X250" s="1080"/>
      <c r="Y250" s="1080"/>
      <c r="Z250" s="1080"/>
      <c r="AA250" s="1080"/>
      <c r="AB250" s="1080"/>
      <c r="AC250" s="1080"/>
    </row>
    <row r="251" spans="1:29" ht="12" customHeight="1">
      <c r="A251" s="1264"/>
      <c r="B251" s="1264"/>
      <c r="C251" s="1080"/>
      <c r="D251" s="1080"/>
      <c r="E251" s="1080"/>
      <c r="F251" s="1080"/>
      <c r="G251" s="1080"/>
      <c r="H251" s="1080"/>
      <c r="I251" s="1080"/>
      <c r="J251" s="1080"/>
      <c r="K251" s="1080"/>
      <c r="L251" s="1080"/>
      <c r="M251" s="1080"/>
      <c r="N251" s="1080"/>
      <c r="O251" s="1080"/>
      <c r="P251" s="1080"/>
      <c r="Q251" s="1080"/>
      <c r="R251" s="1080"/>
      <c r="S251" s="1080"/>
      <c r="T251" s="1080"/>
      <c r="U251" s="1080"/>
      <c r="V251" s="1080"/>
      <c r="W251" s="1080"/>
      <c r="X251" s="1080"/>
      <c r="Y251" s="1080"/>
      <c r="Z251" s="1080"/>
      <c r="AA251" s="1080"/>
      <c r="AB251" s="1080"/>
      <c r="AC251" s="1080"/>
    </row>
    <row r="252" spans="1:29" ht="12" customHeight="1">
      <c r="A252" s="1264"/>
      <c r="B252" s="1264"/>
      <c r="C252" s="1080"/>
      <c r="D252" s="1080"/>
      <c r="E252" s="1080"/>
      <c r="F252" s="1080"/>
      <c r="G252" s="1080"/>
      <c r="H252" s="1080"/>
      <c r="I252" s="1080"/>
      <c r="J252" s="1080"/>
      <c r="K252" s="1080"/>
      <c r="L252" s="1080"/>
      <c r="M252" s="1080"/>
      <c r="N252" s="1080"/>
      <c r="O252" s="1080"/>
      <c r="P252" s="1080"/>
      <c r="Q252" s="1080"/>
      <c r="R252" s="1080"/>
      <c r="S252" s="1080"/>
      <c r="T252" s="1080"/>
      <c r="U252" s="1080"/>
      <c r="V252" s="1080"/>
      <c r="W252" s="1080"/>
      <c r="X252" s="1080"/>
      <c r="Y252" s="1080"/>
      <c r="Z252" s="1080"/>
      <c r="AA252" s="1080"/>
      <c r="AB252" s="1080"/>
      <c r="AC252" s="1080"/>
    </row>
    <row r="253" spans="1:29" ht="12" customHeight="1">
      <c r="A253" s="1264"/>
      <c r="B253" s="1264"/>
      <c r="C253" s="1080"/>
      <c r="D253" s="1080"/>
      <c r="E253" s="1080"/>
      <c r="F253" s="1080"/>
      <c r="G253" s="1080"/>
      <c r="H253" s="1080"/>
      <c r="I253" s="1080"/>
      <c r="J253" s="1080"/>
      <c r="K253" s="1080"/>
      <c r="L253" s="1080"/>
      <c r="M253" s="1080"/>
      <c r="N253" s="1080"/>
      <c r="O253" s="1080"/>
      <c r="P253" s="1080"/>
      <c r="Q253" s="1080"/>
      <c r="R253" s="1080"/>
      <c r="S253" s="1080"/>
      <c r="T253" s="1080"/>
      <c r="U253" s="1080"/>
      <c r="V253" s="1080"/>
      <c r="W253" s="1080"/>
      <c r="X253" s="1080"/>
      <c r="Y253" s="1080"/>
      <c r="Z253" s="1080"/>
      <c r="AA253" s="1080"/>
      <c r="AB253" s="1080"/>
      <c r="AC253" s="1080"/>
    </row>
    <row r="254" spans="1:29" ht="12" customHeight="1">
      <c r="A254" s="1264"/>
      <c r="B254" s="1264"/>
      <c r="C254" s="1080"/>
      <c r="D254" s="1080"/>
      <c r="E254" s="1080"/>
      <c r="F254" s="1080"/>
      <c r="G254" s="1080"/>
      <c r="H254" s="1080"/>
      <c r="I254" s="1080"/>
      <c r="J254" s="1080"/>
      <c r="K254" s="1080"/>
      <c r="L254" s="1080"/>
      <c r="M254" s="1080"/>
      <c r="N254" s="1080"/>
      <c r="O254" s="1080"/>
      <c r="P254" s="1080"/>
      <c r="Q254" s="1080"/>
      <c r="R254" s="1080"/>
      <c r="S254" s="1080"/>
      <c r="T254" s="1080"/>
      <c r="U254" s="1080"/>
      <c r="V254" s="1080"/>
      <c r="W254" s="1080"/>
      <c r="X254" s="1080"/>
      <c r="Y254" s="1080"/>
      <c r="Z254" s="1080"/>
      <c r="AA254" s="1080"/>
      <c r="AB254" s="1080"/>
      <c r="AC254" s="1080"/>
    </row>
    <row r="255" spans="1:29" ht="12" customHeight="1">
      <c r="A255" s="1264"/>
      <c r="B255" s="1264"/>
      <c r="C255" s="1080"/>
      <c r="D255" s="1080"/>
      <c r="E255" s="1080"/>
      <c r="F255" s="1080"/>
      <c r="G255" s="1080"/>
      <c r="H255" s="1080"/>
      <c r="I255" s="1080"/>
      <c r="J255" s="1080"/>
      <c r="K255" s="1080"/>
      <c r="L255" s="1080"/>
      <c r="M255" s="1080"/>
      <c r="N255" s="1080"/>
      <c r="O255" s="1080"/>
      <c r="P255" s="1080"/>
      <c r="Q255" s="1080"/>
      <c r="R255" s="1080"/>
      <c r="S255" s="1080"/>
      <c r="T255" s="1080"/>
      <c r="U255" s="1080"/>
      <c r="V255" s="1080"/>
      <c r="W255" s="1080"/>
      <c r="X255" s="1080"/>
      <c r="Y255" s="1080"/>
      <c r="Z255" s="1080"/>
      <c r="AA255" s="1080"/>
      <c r="AB255" s="1080"/>
      <c r="AC255" s="1080"/>
    </row>
    <row r="256" spans="1:29" ht="12" customHeight="1">
      <c r="A256" s="1264"/>
      <c r="B256" s="1264"/>
      <c r="C256" s="1080"/>
      <c r="D256" s="1080"/>
      <c r="E256" s="1080"/>
      <c r="F256" s="1080"/>
      <c r="G256" s="1080"/>
      <c r="H256" s="1080"/>
      <c r="I256" s="1080"/>
      <c r="J256" s="1080"/>
      <c r="K256" s="1080"/>
      <c r="L256" s="1080"/>
      <c r="M256" s="1080"/>
      <c r="N256" s="1080"/>
      <c r="O256" s="1080"/>
      <c r="P256" s="1080"/>
      <c r="Q256" s="1080"/>
      <c r="R256" s="1080"/>
      <c r="S256" s="1080"/>
      <c r="T256" s="1080"/>
      <c r="U256" s="1080"/>
      <c r="V256" s="1080"/>
      <c r="W256" s="1080"/>
      <c r="X256" s="1080"/>
      <c r="Y256" s="1080"/>
      <c r="Z256" s="1080"/>
      <c r="AA256" s="1080"/>
      <c r="AB256" s="1080"/>
      <c r="AC256" s="1080"/>
    </row>
    <row r="257" spans="1:29" ht="12" customHeight="1">
      <c r="A257" s="1264"/>
      <c r="B257" s="1264"/>
      <c r="C257" s="1080"/>
      <c r="D257" s="1080"/>
      <c r="E257" s="1080"/>
      <c r="F257" s="1080"/>
      <c r="G257" s="1080"/>
      <c r="H257" s="1080"/>
      <c r="I257" s="1080"/>
      <c r="J257" s="1080"/>
      <c r="K257" s="1080"/>
      <c r="L257" s="1080"/>
      <c r="M257" s="1080"/>
      <c r="N257" s="1080"/>
      <c r="O257" s="1080"/>
      <c r="P257" s="1080"/>
      <c r="Q257" s="1080"/>
      <c r="R257" s="1080"/>
      <c r="S257" s="1080"/>
      <c r="T257" s="1080"/>
      <c r="U257" s="1080"/>
      <c r="V257" s="1080"/>
      <c r="W257" s="1080"/>
      <c r="X257" s="1080"/>
      <c r="Y257" s="1080"/>
      <c r="Z257" s="1080"/>
      <c r="AA257" s="1080"/>
      <c r="AB257" s="1080"/>
      <c r="AC257" s="1080"/>
    </row>
    <row r="258" spans="1:29" ht="12" customHeight="1">
      <c r="A258" s="1264"/>
      <c r="B258" s="1264"/>
      <c r="C258" s="1080"/>
      <c r="D258" s="1080"/>
      <c r="E258" s="1080"/>
      <c r="F258" s="1080"/>
      <c r="G258" s="1080"/>
      <c r="H258" s="1080"/>
      <c r="I258" s="1080"/>
      <c r="J258" s="1080"/>
      <c r="K258" s="1080"/>
      <c r="L258" s="1080"/>
      <c r="M258" s="1080"/>
      <c r="N258" s="1080"/>
      <c r="O258" s="1080"/>
      <c r="P258" s="1080"/>
      <c r="Q258" s="1080"/>
      <c r="R258" s="1080"/>
      <c r="S258" s="1080"/>
      <c r="T258" s="1080"/>
      <c r="U258" s="1080"/>
      <c r="V258" s="1080"/>
      <c r="W258" s="1080"/>
      <c r="X258" s="1080"/>
      <c r="Y258" s="1080"/>
      <c r="Z258" s="1080"/>
      <c r="AA258" s="1080"/>
      <c r="AB258" s="1080"/>
      <c r="AC258" s="1080"/>
    </row>
    <row r="259" spans="1:29" ht="12" customHeight="1">
      <c r="A259" s="1264"/>
      <c r="B259" s="1264"/>
      <c r="C259" s="1080"/>
      <c r="D259" s="1080"/>
      <c r="E259" s="1080"/>
      <c r="F259" s="1080"/>
      <c r="G259" s="1080"/>
      <c r="H259" s="1080"/>
      <c r="I259" s="1080"/>
      <c r="J259" s="1080"/>
      <c r="K259" s="1080"/>
      <c r="L259" s="1080"/>
      <c r="M259" s="1080"/>
      <c r="N259" s="1080"/>
      <c r="O259" s="1080"/>
      <c r="P259" s="1080"/>
      <c r="Q259" s="1080"/>
      <c r="R259" s="1080"/>
      <c r="S259" s="1080"/>
      <c r="T259" s="1080"/>
      <c r="U259" s="1080"/>
      <c r="V259" s="1080"/>
      <c r="W259" s="1080"/>
      <c r="X259" s="1080"/>
      <c r="Y259" s="1080"/>
      <c r="Z259" s="1080"/>
      <c r="AA259" s="1080"/>
      <c r="AB259" s="1080"/>
      <c r="AC259" s="1080"/>
    </row>
    <row r="260" spans="1:29" ht="12" customHeight="1">
      <c r="A260" s="1264"/>
      <c r="B260" s="1264"/>
      <c r="C260" s="1080"/>
      <c r="D260" s="1080"/>
      <c r="E260" s="1080"/>
      <c r="F260" s="1080"/>
      <c r="G260" s="1080"/>
      <c r="H260" s="1080"/>
      <c r="I260" s="1080"/>
      <c r="J260" s="1080"/>
      <c r="K260" s="1080"/>
      <c r="L260" s="1080"/>
      <c r="M260" s="1080"/>
      <c r="N260" s="1080"/>
      <c r="O260" s="1080"/>
      <c r="P260" s="1080"/>
      <c r="Q260" s="1080"/>
      <c r="R260" s="1080"/>
      <c r="S260" s="1080"/>
      <c r="T260" s="1080"/>
      <c r="U260" s="1080"/>
      <c r="V260" s="1080"/>
      <c r="W260" s="1080"/>
      <c r="X260" s="1080"/>
      <c r="Y260" s="1080"/>
      <c r="Z260" s="1080"/>
      <c r="AA260" s="1080"/>
      <c r="AB260" s="1080"/>
      <c r="AC260" s="1080"/>
    </row>
    <row r="261" spans="1:29" ht="12" customHeight="1">
      <c r="A261" s="1264"/>
      <c r="B261" s="1264"/>
      <c r="C261" s="1080"/>
      <c r="D261" s="1080"/>
      <c r="E261" s="1080"/>
      <c r="F261" s="1080"/>
      <c r="G261" s="1080"/>
      <c r="H261" s="1080"/>
      <c r="I261" s="1080"/>
      <c r="J261" s="1080"/>
      <c r="K261" s="1080"/>
      <c r="L261" s="1080"/>
      <c r="M261" s="1080"/>
      <c r="N261" s="1080"/>
      <c r="O261" s="1080"/>
      <c r="P261" s="1080"/>
      <c r="Q261" s="1080"/>
      <c r="R261" s="1080"/>
      <c r="S261" s="1080"/>
      <c r="T261" s="1080"/>
      <c r="U261" s="1080"/>
      <c r="V261" s="1080"/>
      <c r="W261" s="1080"/>
      <c r="X261" s="1080"/>
      <c r="Y261" s="1080"/>
      <c r="Z261" s="1080"/>
      <c r="AA261" s="1080"/>
      <c r="AB261" s="1080"/>
      <c r="AC261" s="1080"/>
    </row>
    <row r="262" spans="1:29" ht="12" customHeight="1">
      <c r="A262" s="1264"/>
      <c r="B262" s="1264"/>
      <c r="C262" s="1080"/>
      <c r="D262" s="1080"/>
      <c r="E262" s="1080"/>
      <c r="F262" s="1080"/>
      <c r="G262" s="1080"/>
      <c r="H262" s="1080"/>
      <c r="I262" s="1080"/>
      <c r="J262" s="1080"/>
      <c r="K262" s="1080"/>
      <c r="L262" s="1080"/>
      <c r="M262" s="1080"/>
      <c r="N262" s="1080"/>
      <c r="O262" s="1080"/>
      <c r="P262" s="1080"/>
      <c r="Q262" s="1080"/>
      <c r="R262" s="1080"/>
      <c r="S262" s="1080"/>
      <c r="T262" s="1080"/>
      <c r="U262" s="1080"/>
      <c r="V262" s="1080"/>
      <c r="W262" s="1080"/>
      <c r="X262" s="1080"/>
      <c r="Y262" s="1080"/>
      <c r="Z262" s="1080"/>
      <c r="AA262" s="1080"/>
      <c r="AB262" s="1080"/>
      <c r="AC262" s="1080"/>
    </row>
    <row r="263" spans="1:29" ht="12" customHeight="1">
      <c r="A263" s="1264"/>
      <c r="B263" s="1264"/>
      <c r="C263" s="1080"/>
      <c r="D263" s="1080"/>
      <c r="E263" s="1080"/>
      <c r="F263" s="1080"/>
      <c r="G263" s="1080"/>
      <c r="H263" s="1080"/>
      <c r="I263" s="1080"/>
      <c r="J263" s="1080"/>
      <c r="K263" s="1080"/>
      <c r="L263" s="1080"/>
      <c r="M263" s="1080"/>
      <c r="N263" s="1080"/>
      <c r="O263" s="1080"/>
      <c r="P263" s="1080"/>
      <c r="Q263" s="1080"/>
      <c r="R263" s="1080"/>
      <c r="S263" s="1080"/>
      <c r="T263" s="1080"/>
      <c r="U263" s="1080"/>
      <c r="V263" s="1080"/>
      <c r="W263" s="1080"/>
      <c r="X263" s="1080"/>
      <c r="Y263" s="1080"/>
      <c r="Z263" s="1080"/>
      <c r="AA263" s="1080"/>
      <c r="AB263" s="1080"/>
      <c r="AC263" s="1080"/>
    </row>
    <row r="264" spans="1:29" ht="12" customHeight="1">
      <c r="A264" s="1264"/>
      <c r="B264" s="1264"/>
      <c r="C264" s="1080"/>
      <c r="D264" s="1080"/>
      <c r="E264" s="1080"/>
      <c r="F264" s="1080"/>
      <c r="G264" s="1080"/>
      <c r="H264" s="1080"/>
      <c r="I264" s="1080"/>
      <c r="J264" s="1080"/>
      <c r="K264" s="1080"/>
      <c r="L264" s="1080"/>
      <c r="M264" s="1080"/>
      <c r="N264" s="1080"/>
      <c r="O264" s="1080"/>
      <c r="P264" s="1080"/>
      <c r="Q264" s="1080"/>
      <c r="R264" s="1080"/>
      <c r="S264" s="1080"/>
      <c r="T264" s="1080"/>
      <c r="U264" s="1080"/>
      <c r="V264" s="1080"/>
      <c r="W264" s="1080"/>
      <c r="X264" s="1080"/>
      <c r="Y264" s="1080"/>
      <c r="Z264" s="1080"/>
      <c r="AA264" s="1080"/>
      <c r="AB264" s="1080"/>
      <c r="AC264" s="1080"/>
    </row>
    <row r="265" spans="1:29" ht="12" customHeight="1">
      <c r="A265" s="1264"/>
      <c r="B265" s="1264"/>
      <c r="C265" s="1080"/>
      <c r="D265" s="1080"/>
      <c r="E265" s="1080"/>
      <c r="F265" s="1080"/>
      <c r="G265" s="1080"/>
      <c r="H265" s="1080"/>
      <c r="I265" s="1080"/>
      <c r="J265" s="1080"/>
      <c r="K265" s="1080"/>
      <c r="L265" s="1080"/>
      <c r="M265" s="1080"/>
      <c r="N265" s="1080"/>
      <c r="O265" s="1080"/>
      <c r="P265" s="1080"/>
      <c r="Q265" s="1080"/>
      <c r="R265" s="1080"/>
      <c r="S265" s="1080"/>
      <c r="T265" s="1080"/>
      <c r="U265" s="1080"/>
      <c r="V265" s="1080"/>
      <c r="W265" s="1080"/>
      <c r="X265" s="1080"/>
      <c r="Y265" s="1080"/>
      <c r="Z265" s="1080"/>
      <c r="AA265" s="1080"/>
      <c r="AB265" s="1080"/>
      <c r="AC265" s="1080"/>
    </row>
    <row r="266" spans="1:29" ht="12" customHeight="1">
      <c r="A266" s="1264"/>
      <c r="B266" s="1264"/>
      <c r="C266" s="1080"/>
      <c r="D266" s="1080"/>
      <c r="E266" s="1080"/>
      <c r="F266" s="1080"/>
      <c r="G266" s="1080"/>
      <c r="H266" s="1080"/>
      <c r="I266" s="1080"/>
      <c r="J266" s="1080"/>
      <c r="K266" s="1080"/>
      <c r="L266" s="1080"/>
      <c r="M266" s="1080"/>
      <c r="N266" s="1080"/>
      <c r="O266" s="1080"/>
      <c r="P266" s="1080"/>
      <c r="Q266" s="1080"/>
      <c r="R266" s="1080"/>
      <c r="S266" s="1080"/>
      <c r="T266" s="1080"/>
      <c r="U266" s="1080"/>
      <c r="V266" s="1080"/>
      <c r="W266" s="1080"/>
      <c r="X266" s="1080"/>
      <c r="Y266" s="1080"/>
      <c r="Z266" s="1080"/>
      <c r="AA266" s="1080"/>
      <c r="AB266" s="1080"/>
      <c r="AC266" s="1080"/>
    </row>
    <row r="267" spans="1:29" ht="12" customHeight="1">
      <c r="A267" s="1264"/>
      <c r="B267" s="1264"/>
      <c r="C267" s="1080"/>
      <c r="D267" s="1080"/>
      <c r="E267" s="1080"/>
      <c r="F267" s="1080"/>
      <c r="G267" s="1080"/>
      <c r="H267" s="1080"/>
      <c r="I267" s="1080"/>
      <c r="J267" s="1080"/>
      <c r="K267" s="1080"/>
      <c r="L267" s="1080"/>
      <c r="M267" s="1080"/>
      <c r="N267" s="1080"/>
      <c r="O267" s="1080"/>
      <c r="P267" s="1080"/>
      <c r="Q267" s="1080"/>
      <c r="R267" s="1080"/>
      <c r="S267" s="1080"/>
      <c r="T267" s="1080"/>
      <c r="U267" s="1080"/>
      <c r="V267" s="1080"/>
      <c r="W267" s="1080"/>
      <c r="X267" s="1080"/>
      <c r="Y267" s="1080"/>
      <c r="Z267" s="1080"/>
      <c r="AA267" s="1080"/>
      <c r="AB267" s="1080"/>
      <c r="AC267" s="1080"/>
    </row>
    <row r="268" spans="1:29" ht="12" customHeight="1">
      <c r="A268" s="1264"/>
      <c r="B268" s="1264"/>
      <c r="C268" s="1080"/>
      <c r="D268" s="1080"/>
      <c r="E268" s="1080"/>
      <c r="F268" s="1080"/>
      <c r="G268" s="1080"/>
      <c r="H268" s="1080"/>
      <c r="I268" s="1080"/>
      <c r="J268" s="1080"/>
      <c r="K268" s="1080"/>
      <c r="L268" s="1080"/>
      <c r="M268" s="1080"/>
      <c r="N268" s="1080"/>
      <c r="O268" s="1080"/>
      <c r="P268" s="1080"/>
      <c r="Q268" s="1080"/>
      <c r="R268" s="1080"/>
      <c r="S268" s="1080"/>
      <c r="T268" s="1080"/>
      <c r="U268" s="1080"/>
      <c r="V268" s="1080"/>
      <c r="W268" s="1080"/>
      <c r="X268" s="1080"/>
      <c r="Y268" s="1080"/>
      <c r="Z268" s="1080"/>
      <c r="AA268" s="1080"/>
      <c r="AB268" s="1080"/>
      <c r="AC268" s="1080"/>
    </row>
    <row r="269" spans="1:29" ht="12" customHeight="1">
      <c r="A269" s="1264"/>
      <c r="B269" s="1264"/>
      <c r="C269" s="1080"/>
      <c r="D269" s="1080"/>
      <c r="E269" s="1080"/>
      <c r="F269" s="1080"/>
      <c r="G269" s="1080"/>
      <c r="H269" s="1080"/>
      <c r="I269" s="1080"/>
      <c r="J269" s="1080"/>
      <c r="K269" s="1080"/>
      <c r="L269" s="1080"/>
      <c r="M269" s="1080"/>
      <c r="N269" s="1080"/>
      <c r="O269" s="1080"/>
      <c r="P269" s="1080"/>
      <c r="Q269" s="1080"/>
      <c r="R269" s="1080"/>
      <c r="S269" s="1080"/>
      <c r="T269" s="1080"/>
      <c r="U269" s="1080"/>
      <c r="V269" s="1080"/>
      <c r="W269" s="1080"/>
      <c r="X269" s="1080"/>
      <c r="Y269" s="1080"/>
      <c r="Z269" s="1080"/>
      <c r="AA269" s="1080"/>
      <c r="AB269" s="1080"/>
      <c r="AC269" s="1080"/>
    </row>
    <row r="270" spans="1:29" ht="12" customHeight="1">
      <c r="A270" s="1264"/>
      <c r="B270" s="1264"/>
      <c r="C270" s="1080"/>
      <c r="D270" s="1080"/>
      <c r="E270" s="1080"/>
      <c r="F270" s="1080"/>
      <c r="G270" s="1080"/>
      <c r="H270" s="1080"/>
      <c r="I270" s="1080"/>
      <c r="J270" s="1080"/>
      <c r="K270" s="1080"/>
      <c r="L270" s="1080"/>
      <c r="M270" s="1080"/>
      <c r="N270" s="1080"/>
      <c r="O270" s="1080"/>
      <c r="P270" s="1080"/>
      <c r="Q270" s="1080"/>
      <c r="R270" s="1080"/>
      <c r="S270" s="1080"/>
      <c r="T270" s="1080"/>
      <c r="U270" s="1080"/>
      <c r="V270" s="1080"/>
      <c r="W270" s="1080"/>
      <c r="X270" s="1080"/>
      <c r="Y270" s="1080"/>
      <c r="Z270" s="1080"/>
      <c r="AA270" s="1080"/>
      <c r="AB270" s="1080"/>
      <c r="AC270" s="1080"/>
    </row>
    <row r="271" spans="1:29" ht="12" customHeight="1">
      <c r="A271" s="1264"/>
      <c r="B271" s="1264"/>
      <c r="C271" s="1080"/>
      <c r="D271" s="1080"/>
      <c r="E271" s="1080"/>
      <c r="F271" s="1080"/>
      <c r="G271" s="1080"/>
      <c r="H271" s="1080"/>
      <c r="I271" s="1080"/>
      <c r="J271" s="1080"/>
      <c r="K271" s="1080"/>
      <c r="L271" s="1080"/>
      <c r="M271" s="1080"/>
      <c r="N271" s="1080"/>
      <c r="O271" s="1080"/>
      <c r="P271" s="1080"/>
      <c r="Q271" s="1080"/>
      <c r="R271" s="1080"/>
      <c r="S271" s="1080"/>
      <c r="T271" s="1080"/>
      <c r="U271" s="1080"/>
      <c r="V271" s="1080"/>
      <c r="W271" s="1080"/>
      <c r="X271" s="1080"/>
      <c r="Y271" s="1080"/>
      <c r="Z271" s="1080"/>
      <c r="AA271" s="1080"/>
      <c r="AB271" s="1080"/>
      <c r="AC271" s="1080"/>
    </row>
    <row r="272" spans="1:29" ht="12" customHeight="1">
      <c r="A272" s="1264"/>
      <c r="B272" s="1264"/>
      <c r="C272" s="1080"/>
      <c r="D272" s="1080"/>
      <c r="E272" s="1080"/>
      <c r="F272" s="1080"/>
      <c r="G272" s="1080"/>
      <c r="H272" s="1080"/>
      <c r="I272" s="1080"/>
      <c r="J272" s="1080"/>
      <c r="K272" s="1080"/>
      <c r="L272" s="1080"/>
      <c r="M272" s="1080"/>
      <c r="N272" s="1080"/>
      <c r="O272" s="1080"/>
      <c r="P272" s="1080"/>
      <c r="Q272" s="1080"/>
      <c r="R272" s="1080"/>
      <c r="S272" s="1080"/>
      <c r="T272" s="1080"/>
      <c r="U272" s="1080"/>
      <c r="V272" s="1080"/>
      <c r="W272" s="1080"/>
      <c r="X272" s="1080"/>
      <c r="Y272" s="1080"/>
      <c r="Z272" s="1080"/>
      <c r="AA272" s="1080"/>
      <c r="AB272" s="1080"/>
      <c r="AC272" s="1080"/>
    </row>
    <row r="273" spans="1:29" ht="12" customHeight="1">
      <c r="A273" s="1264"/>
      <c r="B273" s="1264"/>
      <c r="C273" s="1080"/>
      <c r="D273" s="1080"/>
      <c r="E273" s="1080"/>
      <c r="F273" s="1080"/>
      <c r="G273" s="1080"/>
      <c r="H273" s="1080"/>
      <c r="I273" s="1080"/>
      <c r="J273" s="1080"/>
      <c r="K273" s="1080"/>
      <c r="L273" s="1080"/>
      <c r="M273" s="1080"/>
      <c r="N273" s="1080"/>
      <c r="O273" s="1080"/>
      <c r="P273" s="1080"/>
      <c r="Q273" s="1080"/>
      <c r="R273" s="1080"/>
      <c r="S273" s="1080"/>
      <c r="T273" s="1080"/>
      <c r="U273" s="1080"/>
      <c r="V273" s="1080"/>
      <c r="W273" s="1080"/>
      <c r="X273" s="1080"/>
      <c r="Y273" s="1080"/>
      <c r="Z273" s="1080"/>
      <c r="AA273" s="1080"/>
      <c r="AB273" s="1080"/>
      <c r="AC273" s="1080"/>
    </row>
    <row r="274" spans="1:29" ht="12" customHeight="1">
      <c r="A274" s="1264"/>
      <c r="B274" s="1264"/>
      <c r="C274" s="1080"/>
      <c r="D274" s="1080"/>
      <c r="E274" s="1080"/>
      <c r="F274" s="1080"/>
      <c r="G274" s="1080"/>
      <c r="H274" s="1080"/>
      <c r="I274" s="1080"/>
      <c r="J274" s="1080"/>
      <c r="K274" s="1080"/>
      <c r="L274" s="1080"/>
      <c r="M274" s="1080"/>
      <c r="N274" s="1080"/>
      <c r="O274" s="1080"/>
      <c r="P274" s="1080"/>
      <c r="Q274" s="1080"/>
      <c r="R274" s="1080"/>
      <c r="S274" s="1080"/>
      <c r="T274" s="1080"/>
      <c r="U274" s="1080"/>
      <c r="V274" s="1080"/>
      <c r="W274" s="1080"/>
      <c r="X274" s="1080"/>
      <c r="Y274" s="1080"/>
      <c r="Z274" s="1080"/>
      <c r="AA274" s="1080"/>
      <c r="AB274" s="1080"/>
      <c r="AC274" s="1080"/>
    </row>
    <row r="275" spans="1:29" ht="12" customHeight="1">
      <c r="A275" s="1264"/>
      <c r="B275" s="1264"/>
      <c r="C275" s="1080"/>
      <c r="D275" s="1080"/>
      <c r="E275" s="1080"/>
      <c r="F275" s="1080"/>
      <c r="G275" s="1080"/>
      <c r="H275" s="1080"/>
      <c r="I275" s="1080"/>
      <c r="J275" s="1080"/>
      <c r="K275" s="1080"/>
      <c r="L275" s="1080"/>
      <c r="M275" s="1080"/>
      <c r="N275" s="1080"/>
      <c r="O275" s="1080"/>
      <c r="P275" s="1080"/>
      <c r="Q275" s="1080"/>
      <c r="R275" s="1080"/>
      <c r="S275" s="1080"/>
      <c r="T275" s="1080"/>
      <c r="U275" s="1080"/>
      <c r="V275" s="1080"/>
      <c r="W275" s="1080"/>
      <c r="X275" s="1080"/>
      <c r="Y275" s="1080"/>
      <c r="Z275" s="1080"/>
      <c r="AA275" s="1080"/>
      <c r="AB275" s="1080"/>
      <c r="AC275" s="1080"/>
    </row>
    <row r="276" spans="1:29" ht="12" customHeight="1">
      <c r="A276" s="1264"/>
      <c r="B276" s="1264"/>
      <c r="C276" s="1080"/>
      <c r="D276" s="1080"/>
      <c r="E276" s="1080"/>
      <c r="F276" s="1080"/>
      <c r="G276" s="1080"/>
      <c r="H276" s="1080"/>
      <c r="I276" s="1080"/>
      <c r="J276" s="1080"/>
      <c r="K276" s="1080"/>
      <c r="L276" s="1080"/>
      <c r="M276" s="1080"/>
      <c r="N276" s="1080"/>
      <c r="O276" s="1080"/>
      <c r="P276" s="1080"/>
      <c r="Q276" s="1080"/>
      <c r="R276" s="1080"/>
      <c r="S276" s="1080"/>
      <c r="T276" s="1080"/>
      <c r="U276" s="1080"/>
      <c r="V276" s="1080"/>
      <c r="W276" s="1080"/>
      <c r="X276" s="1080"/>
      <c r="Y276" s="1080"/>
      <c r="Z276" s="1080"/>
      <c r="AA276" s="1080"/>
      <c r="AB276" s="1080"/>
      <c r="AC276" s="1080"/>
    </row>
    <row r="277" spans="1:29" ht="12" customHeight="1">
      <c r="A277" s="1264"/>
      <c r="B277" s="1264"/>
      <c r="C277" s="1080"/>
      <c r="D277" s="1080"/>
      <c r="E277" s="1080"/>
      <c r="F277" s="1080"/>
      <c r="G277" s="1080"/>
      <c r="H277" s="1080"/>
      <c r="I277" s="1080"/>
      <c r="J277" s="1080"/>
      <c r="K277" s="1080"/>
      <c r="L277" s="1080"/>
      <c r="M277" s="1080"/>
      <c r="N277" s="1080"/>
      <c r="O277" s="1080"/>
      <c r="P277" s="1080"/>
      <c r="Q277" s="1080"/>
      <c r="R277" s="1080"/>
      <c r="S277" s="1080"/>
      <c r="T277" s="1080"/>
      <c r="U277" s="1080"/>
      <c r="V277" s="1080"/>
      <c r="W277" s="1080"/>
      <c r="X277" s="1080"/>
      <c r="Y277" s="1080"/>
      <c r="Z277" s="1080"/>
      <c r="AA277" s="1080"/>
      <c r="AB277" s="1080"/>
      <c r="AC277" s="1080"/>
    </row>
    <row r="278" spans="1:29" ht="12" customHeight="1">
      <c r="A278" s="1264"/>
      <c r="B278" s="1264"/>
      <c r="C278" s="1080"/>
      <c r="D278" s="1080"/>
      <c r="E278" s="1080"/>
      <c r="F278" s="1080"/>
      <c r="G278" s="1080"/>
      <c r="H278" s="1080"/>
      <c r="I278" s="1080"/>
      <c r="J278" s="1080"/>
      <c r="K278" s="1080"/>
      <c r="L278" s="1080"/>
      <c r="M278" s="1080"/>
      <c r="N278" s="1080"/>
      <c r="O278" s="1080"/>
      <c r="P278" s="1080"/>
      <c r="Q278" s="1080"/>
      <c r="R278" s="1080"/>
      <c r="S278" s="1080"/>
      <c r="T278" s="1080"/>
      <c r="U278" s="1080"/>
      <c r="V278" s="1080"/>
      <c r="W278" s="1080"/>
      <c r="X278" s="1080"/>
      <c r="Y278" s="1080"/>
      <c r="Z278" s="1080"/>
      <c r="AA278" s="1080"/>
      <c r="AB278" s="1080"/>
      <c r="AC278" s="1080"/>
    </row>
    <row r="279" spans="1:29" ht="12" customHeight="1">
      <c r="A279" s="1264"/>
      <c r="B279" s="1264"/>
      <c r="C279" s="1080"/>
      <c r="D279" s="1080"/>
      <c r="E279" s="1080"/>
      <c r="F279" s="1080"/>
      <c r="G279" s="1080"/>
      <c r="H279" s="1080"/>
      <c r="I279" s="1080"/>
      <c r="J279" s="1080"/>
      <c r="K279" s="1080"/>
      <c r="L279" s="1080"/>
      <c r="M279" s="1080"/>
      <c r="N279" s="1080"/>
      <c r="O279" s="1080"/>
      <c r="P279" s="1080"/>
      <c r="Q279" s="1080"/>
      <c r="R279" s="1080"/>
      <c r="S279" s="1080"/>
      <c r="T279" s="1080"/>
      <c r="U279" s="1080"/>
      <c r="V279" s="1080"/>
      <c r="W279" s="1080"/>
      <c r="X279" s="1080"/>
      <c r="Y279" s="1080"/>
      <c r="Z279" s="1080"/>
      <c r="AA279" s="1080"/>
      <c r="AB279" s="1080"/>
      <c r="AC279" s="1080"/>
    </row>
    <row r="280" spans="1:29" ht="12" customHeight="1">
      <c r="A280" s="1264"/>
      <c r="B280" s="1264"/>
      <c r="C280" s="1080"/>
      <c r="D280" s="1080"/>
      <c r="E280" s="1080"/>
      <c r="F280" s="1080"/>
      <c r="G280" s="1080"/>
      <c r="H280" s="1080"/>
      <c r="I280" s="1080"/>
      <c r="J280" s="1080"/>
      <c r="K280" s="1080"/>
      <c r="L280" s="1080"/>
      <c r="M280" s="1080"/>
      <c r="N280" s="1080"/>
      <c r="O280" s="1080"/>
      <c r="P280" s="1080"/>
      <c r="Q280" s="1080"/>
      <c r="R280" s="1080"/>
      <c r="S280" s="1080"/>
      <c r="T280" s="1080"/>
      <c r="U280" s="1080"/>
      <c r="V280" s="1080"/>
      <c r="W280" s="1080"/>
      <c r="X280" s="1080"/>
      <c r="Y280" s="1080"/>
      <c r="Z280" s="1080"/>
      <c r="AA280" s="1080"/>
      <c r="AB280" s="1080"/>
      <c r="AC280" s="1080"/>
    </row>
    <row r="281" spans="1:29" ht="12" customHeight="1">
      <c r="A281" s="1264"/>
      <c r="B281" s="1264"/>
      <c r="C281" s="1080"/>
      <c r="D281" s="1080"/>
      <c r="E281" s="1080"/>
      <c r="F281" s="1080"/>
      <c r="G281" s="1080"/>
      <c r="H281" s="1080"/>
      <c r="I281" s="1080"/>
      <c r="J281" s="1080"/>
      <c r="K281" s="1080"/>
      <c r="L281" s="1080"/>
      <c r="M281" s="1080"/>
      <c r="N281" s="1080"/>
      <c r="O281" s="1080"/>
      <c r="P281" s="1080"/>
      <c r="Q281" s="1080"/>
      <c r="R281" s="1080"/>
      <c r="S281" s="1080"/>
      <c r="T281" s="1080"/>
      <c r="U281" s="1080"/>
      <c r="V281" s="1080"/>
      <c r="W281" s="1080"/>
      <c r="X281" s="1080"/>
      <c r="Y281" s="1080"/>
      <c r="Z281" s="1080"/>
      <c r="AA281" s="1080"/>
      <c r="AB281" s="1080"/>
      <c r="AC281" s="1080"/>
    </row>
    <row r="282" spans="1:29" ht="12" customHeight="1">
      <c r="A282" s="1264"/>
      <c r="B282" s="1264"/>
      <c r="C282" s="1080"/>
      <c r="D282" s="1080"/>
      <c r="E282" s="1080"/>
      <c r="F282" s="1080"/>
      <c r="G282" s="1080"/>
      <c r="H282" s="1080"/>
      <c r="I282" s="1080"/>
      <c r="J282" s="1080"/>
      <c r="K282" s="1080"/>
      <c r="L282" s="1080"/>
      <c r="M282" s="1080"/>
      <c r="N282" s="1080"/>
      <c r="O282" s="1080"/>
      <c r="P282" s="1080"/>
      <c r="Q282" s="1080"/>
      <c r="R282" s="1080"/>
      <c r="S282" s="1080"/>
      <c r="T282" s="1080"/>
      <c r="U282" s="1080"/>
      <c r="V282" s="1080"/>
      <c r="W282" s="1080"/>
      <c r="X282" s="1080"/>
      <c r="Y282" s="1080"/>
      <c r="Z282" s="1080"/>
      <c r="AA282" s="1080"/>
      <c r="AB282" s="1080"/>
      <c r="AC282" s="1080"/>
    </row>
    <row r="283" spans="1:29" ht="12" customHeight="1">
      <c r="A283" s="1264"/>
      <c r="B283" s="1264"/>
      <c r="C283" s="1080"/>
      <c r="D283" s="1080"/>
      <c r="E283" s="1080"/>
      <c r="F283" s="1080"/>
      <c r="G283" s="1080"/>
      <c r="H283" s="1080"/>
      <c r="I283" s="1080"/>
      <c r="J283" s="1080"/>
      <c r="K283" s="1080"/>
      <c r="L283" s="1080"/>
      <c r="M283" s="1080"/>
      <c r="N283" s="1080"/>
      <c r="O283" s="1080"/>
      <c r="P283" s="1080"/>
      <c r="Q283" s="1080"/>
      <c r="R283" s="1080"/>
      <c r="S283" s="1080"/>
      <c r="T283" s="1080"/>
      <c r="U283" s="1080"/>
      <c r="V283" s="1080"/>
      <c r="W283" s="1080"/>
      <c r="X283" s="1080"/>
      <c r="Y283" s="1080"/>
      <c r="Z283" s="1080"/>
      <c r="AA283" s="1080"/>
      <c r="AB283" s="1080"/>
      <c r="AC283" s="1080"/>
    </row>
    <row r="284" spans="1:29" ht="12" customHeight="1">
      <c r="A284" s="1264"/>
      <c r="B284" s="1264"/>
      <c r="C284" s="1080"/>
      <c r="D284" s="1080"/>
      <c r="E284" s="1080"/>
      <c r="F284" s="1080"/>
      <c r="G284" s="1080"/>
      <c r="H284" s="1080"/>
      <c r="I284" s="1080"/>
      <c r="J284" s="1080"/>
      <c r="K284" s="1080"/>
      <c r="L284" s="1080"/>
      <c r="M284" s="1080"/>
      <c r="N284" s="1080"/>
      <c r="O284" s="1080"/>
      <c r="P284" s="1080"/>
      <c r="Q284" s="1080"/>
      <c r="R284" s="1080"/>
      <c r="S284" s="1080"/>
      <c r="T284" s="1080"/>
      <c r="U284" s="1080"/>
      <c r="V284" s="1080"/>
      <c r="W284" s="1080"/>
      <c r="X284" s="1080"/>
      <c r="Y284" s="1080"/>
      <c r="Z284" s="1080"/>
      <c r="AA284" s="1080"/>
      <c r="AB284" s="1080"/>
      <c r="AC284" s="1080"/>
    </row>
    <row r="285" spans="1:29" ht="12" customHeight="1">
      <c r="A285" s="1264"/>
      <c r="B285" s="1264"/>
      <c r="C285" s="1080"/>
      <c r="D285" s="1080"/>
      <c r="E285" s="1080"/>
      <c r="F285" s="1080"/>
      <c r="G285" s="1080"/>
      <c r="H285" s="1080"/>
      <c r="I285" s="1080"/>
      <c r="J285" s="1080"/>
      <c r="K285" s="1080"/>
      <c r="L285" s="1080"/>
      <c r="M285" s="1080"/>
      <c r="N285" s="1080"/>
      <c r="O285" s="1080"/>
      <c r="P285" s="1080"/>
      <c r="Q285" s="1080"/>
      <c r="R285" s="1080"/>
      <c r="S285" s="1080"/>
      <c r="T285" s="1080"/>
      <c r="U285" s="1080"/>
      <c r="V285" s="1080"/>
      <c r="W285" s="1080"/>
      <c r="X285" s="1080"/>
      <c r="Y285" s="1080"/>
      <c r="Z285" s="1080"/>
      <c r="AA285" s="1080"/>
      <c r="AB285" s="1080"/>
      <c r="AC285" s="1080"/>
    </row>
    <row r="286" spans="1:29" ht="12" customHeight="1">
      <c r="A286" s="1264"/>
      <c r="B286" s="1264"/>
      <c r="C286" s="1080"/>
      <c r="D286" s="1080"/>
      <c r="E286" s="1080"/>
      <c r="F286" s="1080"/>
      <c r="G286" s="1080"/>
      <c r="H286" s="1080"/>
      <c r="I286" s="1080"/>
      <c r="J286" s="1080"/>
      <c r="K286" s="1080"/>
      <c r="L286" s="1080"/>
      <c r="M286" s="1080"/>
      <c r="N286" s="1080"/>
      <c r="O286" s="1080"/>
      <c r="P286" s="1080"/>
      <c r="Q286" s="1080"/>
      <c r="R286" s="1080"/>
      <c r="S286" s="1080"/>
      <c r="T286" s="1080"/>
      <c r="U286" s="1080"/>
      <c r="V286" s="1080"/>
      <c r="W286" s="1080"/>
      <c r="X286" s="1080"/>
      <c r="Y286" s="1080"/>
      <c r="Z286" s="1080"/>
      <c r="AA286" s="1080"/>
      <c r="AB286" s="1080"/>
      <c r="AC286" s="1080"/>
    </row>
    <row r="287" spans="1:29" ht="12" customHeight="1">
      <c r="A287" s="1264"/>
      <c r="B287" s="1264"/>
      <c r="C287" s="1080"/>
      <c r="D287" s="1080"/>
      <c r="E287" s="1080"/>
      <c r="F287" s="1080"/>
      <c r="G287" s="1080"/>
      <c r="H287" s="1080"/>
      <c r="I287" s="1080"/>
      <c r="J287" s="1080"/>
      <c r="K287" s="1080"/>
      <c r="L287" s="1080"/>
      <c r="M287" s="1080"/>
      <c r="N287" s="1080"/>
      <c r="O287" s="1080"/>
      <c r="P287" s="1080"/>
      <c r="Q287" s="1080"/>
      <c r="R287" s="1080"/>
      <c r="S287" s="1080"/>
      <c r="T287" s="1080"/>
      <c r="U287" s="1080"/>
      <c r="V287" s="1080"/>
      <c r="W287" s="1080"/>
      <c r="X287" s="1080"/>
      <c r="Y287" s="1080"/>
      <c r="Z287" s="1080"/>
      <c r="AA287" s="1080"/>
      <c r="AB287" s="1080"/>
      <c r="AC287" s="1080"/>
    </row>
    <row r="288" spans="1:29" ht="12" customHeight="1">
      <c r="A288" s="1264"/>
      <c r="B288" s="1264"/>
      <c r="C288" s="1080"/>
      <c r="D288" s="1080"/>
      <c r="E288" s="1080"/>
      <c r="F288" s="1080"/>
      <c r="G288" s="1080"/>
      <c r="H288" s="1080"/>
      <c r="I288" s="1080"/>
      <c r="J288" s="1080"/>
      <c r="K288" s="1080"/>
      <c r="L288" s="1080"/>
      <c r="M288" s="1080"/>
      <c r="N288" s="1080"/>
      <c r="O288" s="1080"/>
      <c r="P288" s="1080"/>
      <c r="Q288" s="1080"/>
      <c r="R288" s="1080"/>
      <c r="S288" s="1080"/>
      <c r="T288" s="1080"/>
      <c r="U288" s="1080"/>
      <c r="V288" s="1080"/>
      <c r="W288" s="1080"/>
      <c r="X288" s="1080"/>
      <c r="Y288" s="1080"/>
      <c r="Z288" s="1080"/>
      <c r="AA288" s="1080"/>
      <c r="AB288" s="1080"/>
      <c r="AC288" s="1080"/>
    </row>
    <row r="289" spans="1:29" ht="12" customHeight="1">
      <c r="A289" s="1264"/>
      <c r="B289" s="1264"/>
      <c r="C289" s="1080"/>
      <c r="D289" s="1080"/>
      <c r="E289" s="1080"/>
      <c r="F289" s="1080"/>
      <c r="G289" s="1080"/>
      <c r="H289" s="1080"/>
      <c r="I289" s="1080"/>
      <c r="J289" s="1080"/>
      <c r="K289" s="1080"/>
      <c r="L289" s="1080"/>
      <c r="M289" s="1080"/>
      <c r="N289" s="1080"/>
      <c r="O289" s="1080"/>
      <c r="P289" s="1080"/>
      <c r="Q289" s="1080"/>
      <c r="R289" s="1080"/>
      <c r="S289" s="1080"/>
      <c r="T289" s="1080"/>
      <c r="U289" s="1080"/>
      <c r="V289" s="1080"/>
      <c r="W289" s="1080"/>
      <c r="X289" s="1080"/>
      <c r="Y289" s="1080"/>
      <c r="Z289" s="1080"/>
      <c r="AA289" s="1080"/>
      <c r="AB289" s="1080"/>
      <c r="AC289" s="1080"/>
    </row>
    <row r="290" spans="1:29" ht="12" customHeight="1">
      <c r="A290" s="1264"/>
      <c r="B290" s="1264"/>
      <c r="C290" s="1080"/>
      <c r="D290" s="1080"/>
      <c r="E290" s="1080"/>
      <c r="F290" s="1080"/>
      <c r="G290" s="1080"/>
      <c r="H290" s="1080"/>
      <c r="I290" s="1080"/>
      <c r="J290" s="1080"/>
      <c r="K290" s="1080"/>
      <c r="L290" s="1080"/>
      <c r="M290" s="1080"/>
      <c r="N290" s="1080"/>
      <c r="O290" s="1080"/>
      <c r="P290" s="1080"/>
      <c r="Q290" s="1080"/>
      <c r="R290" s="1080"/>
      <c r="S290" s="1080"/>
      <c r="T290" s="1080"/>
      <c r="U290" s="1080"/>
      <c r="V290" s="1080"/>
      <c r="W290" s="1080"/>
      <c r="X290" s="1080"/>
      <c r="Y290" s="1080"/>
      <c r="Z290" s="1080"/>
      <c r="AA290" s="1080"/>
      <c r="AB290" s="1080"/>
      <c r="AC290" s="1080"/>
    </row>
    <row r="291" spans="1:29" ht="12" customHeight="1">
      <c r="A291" s="1264"/>
      <c r="B291" s="1264"/>
      <c r="C291" s="1080"/>
      <c r="D291" s="1080"/>
      <c r="E291" s="1080"/>
      <c r="F291" s="1080"/>
      <c r="G291" s="1080"/>
      <c r="H291" s="1080"/>
      <c r="I291" s="1080"/>
      <c r="J291" s="1080"/>
      <c r="K291" s="1080"/>
      <c r="L291" s="1080"/>
      <c r="M291" s="1080"/>
      <c r="N291" s="1080"/>
      <c r="O291" s="1080"/>
      <c r="P291" s="1080"/>
      <c r="Q291" s="1080"/>
      <c r="R291" s="1080"/>
      <c r="S291" s="1080"/>
      <c r="T291" s="1080"/>
      <c r="U291" s="1080"/>
      <c r="V291" s="1080"/>
      <c r="W291" s="1080"/>
      <c r="X291" s="1080"/>
      <c r="Y291" s="1080"/>
      <c r="Z291" s="1080"/>
      <c r="AA291" s="1080"/>
      <c r="AB291" s="1080"/>
      <c r="AC291" s="1080"/>
    </row>
    <row r="292" spans="1:29" ht="12" customHeight="1">
      <c r="A292" s="1264"/>
      <c r="B292" s="1264"/>
      <c r="C292" s="1080"/>
      <c r="D292" s="1080"/>
      <c r="E292" s="1080"/>
      <c r="F292" s="1080"/>
      <c r="G292" s="1080"/>
      <c r="H292" s="1080"/>
      <c r="I292" s="1080"/>
      <c r="J292" s="1080"/>
      <c r="K292" s="1080"/>
      <c r="L292" s="1080"/>
      <c r="M292" s="1080"/>
      <c r="N292" s="1080"/>
      <c r="O292" s="1080"/>
      <c r="P292" s="1080"/>
      <c r="Q292" s="1080"/>
      <c r="R292" s="1080"/>
      <c r="S292" s="1080"/>
      <c r="T292" s="1080"/>
      <c r="U292" s="1080"/>
      <c r="V292" s="1080"/>
      <c r="W292" s="1080"/>
      <c r="X292" s="1080"/>
      <c r="Y292" s="1080"/>
      <c r="Z292" s="1080"/>
      <c r="AA292" s="1080"/>
      <c r="AB292" s="1080"/>
      <c r="AC292" s="1080"/>
    </row>
    <row r="293" spans="1:29" ht="12" customHeight="1">
      <c r="A293" s="1264"/>
      <c r="B293" s="1264"/>
      <c r="C293" s="1080"/>
      <c r="D293" s="1080"/>
      <c r="E293" s="1080"/>
      <c r="F293" s="1080"/>
      <c r="G293" s="1080"/>
      <c r="H293" s="1080"/>
      <c r="I293" s="1080"/>
      <c r="J293" s="1080"/>
      <c r="K293" s="1080"/>
      <c r="L293" s="1080"/>
      <c r="M293" s="1080"/>
      <c r="N293" s="1080"/>
      <c r="O293" s="1080"/>
      <c r="P293" s="1080"/>
      <c r="Q293" s="1080"/>
      <c r="R293" s="1080"/>
      <c r="S293" s="1080"/>
      <c r="T293" s="1080"/>
      <c r="U293" s="1080"/>
      <c r="V293" s="1080"/>
      <c r="W293" s="1080"/>
      <c r="X293" s="1080"/>
      <c r="Y293" s="1080"/>
      <c r="Z293" s="1080"/>
      <c r="AA293" s="1080"/>
      <c r="AB293" s="1080"/>
      <c r="AC293" s="1080"/>
    </row>
    <row r="294" spans="1:29" ht="12" customHeight="1">
      <c r="A294" s="1264"/>
      <c r="B294" s="1264"/>
      <c r="C294" s="1080"/>
      <c r="D294" s="1080"/>
      <c r="E294" s="1080"/>
      <c r="F294" s="1080"/>
      <c r="G294" s="1080"/>
      <c r="H294" s="1080"/>
      <c r="I294" s="1080"/>
      <c r="J294" s="1080"/>
      <c r="K294" s="1080"/>
      <c r="L294" s="1080"/>
      <c r="M294" s="1080"/>
      <c r="N294" s="1080"/>
      <c r="O294" s="1080"/>
      <c r="P294" s="1080"/>
      <c r="Q294" s="1080"/>
      <c r="R294" s="1080"/>
      <c r="S294" s="1080"/>
      <c r="T294" s="1080"/>
      <c r="U294" s="1080"/>
      <c r="V294" s="1080"/>
      <c r="W294" s="1080"/>
      <c r="X294" s="1080"/>
      <c r="Y294" s="1080"/>
      <c r="Z294" s="1080"/>
      <c r="AA294" s="1080"/>
      <c r="AB294" s="1080"/>
      <c r="AC294" s="1080"/>
    </row>
    <row r="295" spans="1:29" ht="12" customHeight="1">
      <c r="A295" s="1264"/>
      <c r="B295" s="1264"/>
      <c r="C295" s="1080"/>
      <c r="D295" s="1080"/>
      <c r="E295" s="1080"/>
      <c r="F295" s="1080"/>
      <c r="G295" s="1080"/>
      <c r="H295" s="1080"/>
      <c r="I295" s="1080"/>
      <c r="J295" s="1080"/>
      <c r="K295" s="1080"/>
      <c r="L295" s="1080"/>
      <c r="M295" s="1080"/>
      <c r="N295" s="1080"/>
      <c r="O295" s="1080"/>
      <c r="P295" s="1080"/>
      <c r="Q295" s="1080"/>
      <c r="R295" s="1080"/>
      <c r="S295" s="1080"/>
      <c r="T295" s="1080"/>
      <c r="U295" s="1080"/>
      <c r="V295" s="1080"/>
      <c r="W295" s="1080"/>
      <c r="X295" s="1080"/>
      <c r="Y295" s="1080"/>
      <c r="Z295" s="1080"/>
      <c r="AA295" s="1080"/>
      <c r="AB295" s="1080"/>
      <c r="AC295" s="1080"/>
    </row>
    <row r="296" spans="1:29" ht="12" customHeight="1">
      <c r="A296" s="1264"/>
      <c r="B296" s="1264"/>
      <c r="C296" s="1080"/>
      <c r="D296" s="1080"/>
      <c r="E296" s="1080"/>
      <c r="F296" s="1080"/>
      <c r="G296" s="1080"/>
      <c r="H296" s="1080"/>
      <c r="I296" s="1080"/>
      <c r="J296" s="1080"/>
      <c r="K296" s="1080"/>
      <c r="L296" s="1080"/>
      <c r="M296" s="1080"/>
      <c r="N296" s="1080"/>
      <c r="O296" s="1080"/>
      <c r="P296" s="1080"/>
      <c r="Q296" s="1080"/>
      <c r="R296" s="1080"/>
      <c r="S296" s="1080"/>
      <c r="T296" s="1080"/>
      <c r="U296" s="1080"/>
      <c r="V296" s="1080"/>
      <c r="W296" s="1080"/>
      <c r="X296" s="1080"/>
      <c r="Y296" s="1080"/>
      <c r="Z296" s="1080"/>
      <c r="AA296" s="1080"/>
      <c r="AB296" s="1080"/>
      <c r="AC296" s="1080"/>
    </row>
    <row r="297" spans="1:29" ht="12" customHeight="1">
      <c r="A297" s="1264"/>
      <c r="B297" s="1264"/>
      <c r="C297" s="1080"/>
      <c r="D297" s="1080"/>
      <c r="E297" s="1080"/>
      <c r="F297" s="1080"/>
      <c r="G297" s="1080"/>
      <c r="H297" s="1080"/>
      <c r="I297" s="1080"/>
      <c r="J297" s="1080"/>
      <c r="K297" s="1080"/>
      <c r="L297" s="1080"/>
      <c r="M297" s="1080"/>
      <c r="N297" s="1080"/>
      <c r="O297" s="1080"/>
      <c r="P297" s="1080"/>
      <c r="Q297" s="1080"/>
      <c r="R297" s="1080"/>
      <c r="S297" s="1080"/>
      <c r="T297" s="1080"/>
      <c r="U297" s="1080"/>
      <c r="V297" s="1080"/>
      <c r="W297" s="1080"/>
      <c r="X297" s="1080"/>
      <c r="Y297" s="1080"/>
      <c r="Z297" s="1080"/>
      <c r="AA297" s="1080"/>
      <c r="AB297" s="1080"/>
      <c r="AC297" s="1080"/>
    </row>
    <row r="298" spans="1:29" ht="12" customHeight="1">
      <c r="A298" s="1264"/>
      <c r="B298" s="1264"/>
      <c r="C298" s="1080"/>
      <c r="D298" s="1080"/>
      <c r="E298" s="1080"/>
      <c r="F298" s="1080"/>
      <c r="G298" s="1080"/>
      <c r="H298" s="1080"/>
      <c r="I298" s="1080"/>
      <c r="J298" s="1080"/>
      <c r="K298" s="1080"/>
      <c r="L298" s="1080"/>
      <c r="M298" s="1080"/>
      <c r="N298" s="1080"/>
      <c r="O298" s="1080"/>
      <c r="P298" s="1080"/>
      <c r="Q298" s="1080"/>
      <c r="R298" s="1080"/>
      <c r="S298" s="1080"/>
      <c r="T298" s="1080"/>
      <c r="U298" s="1080"/>
      <c r="V298" s="1080"/>
      <c r="W298" s="1080"/>
      <c r="X298" s="1080"/>
      <c r="Y298" s="1080"/>
      <c r="Z298" s="1080"/>
      <c r="AA298" s="1080"/>
      <c r="AB298" s="1080"/>
      <c r="AC298" s="1080"/>
    </row>
    <row r="299" spans="1:29" ht="12" customHeight="1">
      <c r="A299" s="1264"/>
      <c r="B299" s="1264"/>
      <c r="C299" s="1080"/>
      <c r="D299" s="1080"/>
      <c r="E299" s="1080"/>
      <c r="F299" s="1080"/>
      <c r="G299" s="1080"/>
      <c r="H299" s="1080"/>
      <c r="I299" s="1080"/>
      <c r="J299" s="1080"/>
      <c r="K299" s="1080"/>
      <c r="L299" s="1080"/>
      <c r="M299" s="1080"/>
      <c r="N299" s="1080"/>
      <c r="O299" s="1080"/>
      <c r="P299" s="1080"/>
      <c r="Q299" s="1080"/>
      <c r="R299" s="1080"/>
      <c r="S299" s="1080"/>
      <c r="T299" s="1080"/>
      <c r="U299" s="1080"/>
      <c r="V299" s="1080"/>
      <c r="W299" s="1080"/>
      <c r="X299" s="1080"/>
      <c r="Y299" s="1080"/>
      <c r="Z299" s="1080"/>
      <c r="AA299" s="1080"/>
      <c r="AB299" s="1080"/>
      <c r="AC299" s="1080"/>
    </row>
    <row r="300" spans="1:29" ht="12" customHeight="1">
      <c r="A300" s="1264"/>
      <c r="B300" s="1264"/>
      <c r="C300" s="1080"/>
      <c r="D300" s="1080"/>
      <c r="E300" s="1080"/>
      <c r="F300" s="1080"/>
      <c r="G300" s="1080"/>
      <c r="H300" s="1080"/>
      <c r="I300" s="1080"/>
      <c r="J300" s="1080"/>
      <c r="K300" s="1080"/>
      <c r="L300" s="1080"/>
      <c r="M300" s="1080"/>
      <c r="N300" s="1080"/>
      <c r="O300" s="1080"/>
      <c r="P300" s="1080"/>
      <c r="Q300" s="1080"/>
      <c r="R300" s="1080"/>
      <c r="S300" s="1080"/>
      <c r="T300" s="1080"/>
      <c r="U300" s="1080"/>
      <c r="V300" s="1080"/>
      <c r="W300" s="1080"/>
      <c r="X300" s="1080"/>
      <c r="Y300" s="1080"/>
      <c r="Z300" s="1080"/>
      <c r="AA300" s="1080"/>
      <c r="AB300" s="1080"/>
      <c r="AC300" s="1080"/>
    </row>
    <row r="301" spans="1:29" ht="12" customHeight="1">
      <c r="A301" s="1264"/>
      <c r="B301" s="1264"/>
      <c r="C301" s="1080"/>
      <c r="D301" s="1080"/>
      <c r="E301" s="1080"/>
      <c r="F301" s="1080"/>
      <c r="G301" s="1080"/>
      <c r="H301" s="1080"/>
      <c r="I301" s="1080"/>
      <c r="J301" s="1080"/>
      <c r="K301" s="1080"/>
      <c r="L301" s="1080"/>
      <c r="M301" s="1080"/>
      <c r="N301" s="1080"/>
      <c r="O301" s="1080"/>
      <c r="P301" s="1080"/>
      <c r="Q301" s="1080"/>
      <c r="R301" s="1080"/>
      <c r="S301" s="1080"/>
      <c r="T301" s="1080"/>
      <c r="U301" s="1080"/>
      <c r="V301" s="1080"/>
      <c r="W301" s="1080"/>
      <c r="X301" s="1080"/>
      <c r="Y301" s="1080"/>
      <c r="Z301" s="1080"/>
      <c r="AA301" s="1080"/>
      <c r="AB301" s="1080"/>
      <c r="AC301" s="1080"/>
    </row>
    <row r="302" spans="1:29" ht="12" customHeight="1">
      <c r="A302" s="1264"/>
      <c r="B302" s="1264"/>
      <c r="C302" s="1080"/>
      <c r="D302" s="1080"/>
      <c r="E302" s="1080"/>
      <c r="F302" s="1080"/>
      <c r="G302" s="1080"/>
      <c r="H302" s="1080"/>
      <c r="I302" s="1080"/>
      <c r="J302" s="1080"/>
      <c r="K302" s="1080"/>
      <c r="L302" s="1080"/>
      <c r="M302" s="1080"/>
      <c r="N302" s="1080"/>
      <c r="O302" s="1080"/>
      <c r="P302" s="1080"/>
      <c r="Q302" s="1080"/>
      <c r="R302" s="1080"/>
      <c r="S302" s="1080"/>
      <c r="T302" s="1080"/>
      <c r="U302" s="1080"/>
      <c r="V302" s="1080"/>
      <c r="W302" s="1080"/>
      <c r="X302" s="1080"/>
      <c r="Y302" s="1080"/>
      <c r="Z302" s="1080"/>
      <c r="AA302" s="1080"/>
      <c r="AB302" s="1080"/>
      <c r="AC302" s="1080"/>
    </row>
    <row r="303" spans="1:29" ht="12" customHeight="1">
      <c r="A303" s="1264"/>
      <c r="B303" s="1264"/>
      <c r="C303" s="1080"/>
      <c r="D303" s="1080"/>
      <c r="E303" s="1080"/>
      <c r="F303" s="1080"/>
      <c r="G303" s="1080"/>
      <c r="H303" s="1080"/>
      <c r="I303" s="1080"/>
      <c r="J303" s="1080"/>
      <c r="K303" s="1080"/>
      <c r="L303" s="1080"/>
      <c r="M303" s="1080"/>
      <c r="N303" s="1080"/>
      <c r="O303" s="1080"/>
      <c r="P303" s="1080"/>
      <c r="Q303" s="1080"/>
      <c r="R303" s="1080"/>
      <c r="S303" s="1080"/>
      <c r="T303" s="1080"/>
      <c r="U303" s="1080"/>
      <c r="V303" s="1080"/>
      <c r="W303" s="1080"/>
      <c r="X303" s="1080"/>
      <c r="Y303" s="1080"/>
      <c r="Z303" s="1080"/>
      <c r="AA303" s="1080"/>
      <c r="AB303" s="1080"/>
      <c r="AC303" s="1080"/>
    </row>
    <row r="304" spans="1:29" ht="12" customHeight="1">
      <c r="A304" s="1264"/>
      <c r="B304" s="1264"/>
      <c r="C304" s="1080"/>
      <c r="D304" s="1080"/>
      <c r="E304" s="1080"/>
      <c r="F304" s="1080"/>
      <c r="G304" s="1080"/>
      <c r="H304" s="1080"/>
      <c r="I304" s="1080"/>
      <c r="J304" s="1080"/>
      <c r="K304" s="1080"/>
      <c r="L304" s="1080"/>
      <c r="M304" s="1080"/>
      <c r="N304" s="1080"/>
      <c r="O304" s="1080"/>
      <c r="P304" s="1080"/>
      <c r="Q304" s="1080"/>
      <c r="R304" s="1080"/>
      <c r="S304" s="1080"/>
      <c r="T304" s="1080"/>
      <c r="U304" s="1080"/>
      <c r="V304" s="1080"/>
      <c r="W304" s="1080"/>
      <c r="X304" s="1080"/>
      <c r="Y304" s="1080"/>
      <c r="Z304" s="1080"/>
      <c r="AA304" s="1080"/>
      <c r="AB304" s="1080"/>
      <c r="AC304" s="1080"/>
    </row>
    <row r="305" spans="1:29" ht="12" customHeight="1">
      <c r="A305" s="1264"/>
      <c r="B305" s="1264"/>
      <c r="C305" s="1080"/>
      <c r="D305" s="1080"/>
      <c r="E305" s="1080"/>
      <c r="F305" s="1080"/>
      <c r="G305" s="1080"/>
      <c r="H305" s="1080"/>
      <c r="I305" s="1080"/>
      <c r="J305" s="1080"/>
      <c r="K305" s="1080"/>
      <c r="L305" s="1080"/>
      <c r="M305" s="1080"/>
      <c r="N305" s="1080"/>
      <c r="O305" s="1080"/>
      <c r="P305" s="1080"/>
      <c r="Q305" s="1080"/>
      <c r="R305" s="1080"/>
      <c r="S305" s="1080"/>
      <c r="T305" s="1080"/>
      <c r="U305" s="1080"/>
      <c r="V305" s="1080"/>
      <c r="W305" s="1080"/>
      <c r="X305" s="1080"/>
      <c r="Y305" s="1080"/>
      <c r="Z305" s="1080"/>
      <c r="AA305" s="1080"/>
      <c r="AB305" s="1080"/>
      <c r="AC305" s="1080"/>
    </row>
    <row r="306" spans="1:29" ht="12" customHeight="1">
      <c r="A306" s="1264"/>
      <c r="B306" s="1264"/>
      <c r="C306" s="1080"/>
      <c r="D306" s="1080"/>
      <c r="E306" s="1080"/>
      <c r="F306" s="1080"/>
      <c r="G306" s="1080"/>
      <c r="H306" s="1080"/>
      <c r="I306" s="1080"/>
      <c r="J306" s="1080"/>
      <c r="K306" s="1080"/>
      <c r="L306" s="1080"/>
      <c r="M306" s="1080"/>
      <c r="N306" s="1080"/>
      <c r="O306" s="1080"/>
      <c r="P306" s="1080"/>
      <c r="Q306" s="1080"/>
      <c r="R306" s="1080"/>
      <c r="S306" s="1080"/>
      <c r="T306" s="1080"/>
      <c r="U306" s="1080"/>
      <c r="V306" s="1080"/>
      <c r="W306" s="1080"/>
      <c r="X306" s="1080"/>
      <c r="Y306" s="1080"/>
      <c r="Z306" s="1080"/>
      <c r="AA306" s="1080"/>
      <c r="AB306" s="1080"/>
      <c r="AC306" s="1080"/>
    </row>
    <row r="307" spans="1:29" ht="12" customHeight="1">
      <c r="A307" s="1264"/>
      <c r="B307" s="1264"/>
      <c r="C307" s="1080"/>
      <c r="D307" s="1080"/>
      <c r="E307" s="1080"/>
      <c r="F307" s="1080"/>
      <c r="G307" s="1080"/>
      <c r="H307" s="1080"/>
      <c r="I307" s="1080"/>
      <c r="J307" s="1080"/>
      <c r="K307" s="1080"/>
      <c r="L307" s="1080"/>
      <c r="M307" s="1080"/>
      <c r="N307" s="1080"/>
      <c r="O307" s="1080"/>
      <c r="P307" s="1080"/>
      <c r="Q307" s="1080"/>
      <c r="R307" s="1080"/>
      <c r="S307" s="1080"/>
      <c r="T307" s="1080"/>
      <c r="U307" s="1080"/>
      <c r="V307" s="1080"/>
      <c r="W307" s="1080"/>
      <c r="X307" s="1080"/>
      <c r="Y307" s="1080"/>
      <c r="Z307" s="1080"/>
      <c r="AA307" s="1080"/>
      <c r="AB307" s="1080"/>
      <c r="AC307" s="1080"/>
    </row>
    <row r="308" spans="1:29" ht="12" customHeight="1">
      <c r="A308" s="1264"/>
      <c r="B308" s="1264"/>
      <c r="C308" s="1080"/>
      <c r="D308" s="1080"/>
      <c r="E308" s="1080"/>
      <c r="F308" s="1080"/>
      <c r="G308" s="1080"/>
      <c r="H308" s="1080"/>
      <c r="I308" s="1080"/>
      <c r="J308" s="1080"/>
      <c r="K308" s="1080"/>
      <c r="L308" s="1080"/>
      <c r="M308" s="1080"/>
      <c r="N308" s="1080"/>
      <c r="O308" s="1080"/>
      <c r="P308" s="1080"/>
      <c r="Q308" s="1080"/>
      <c r="R308" s="1080"/>
      <c r="S308" s="1080"/>
      <c r="T308" s="1080"/>
      <c r="U308" s="1080"/>
      <c r="V308" s="1080"/>
      <c r="W308" s="1080"/>
      <c r="X308" s="1080"/>
      <c r="Y308" s="1080"/>
      <c r="Z308" s="1080"/>
      <c r="AA308" s="1080"/>
      <c r="AB308" s="1080"/>
      <c r="AC308" s="1080"/>
    </row>
    <row r="309" spans="1:29" ht="12" customHeight="1">
      <c r="A309" s="1264"/>
      <c r="B309" s="1264"/>
      <c r="C309" s="1080"/>
      <c r="D309" s="1080"/>
      <c r="E309" s="1080"/>
      <c r="F309" s="1080"/>
      <c r="G309" s="1080"/>
      <c r="H309" s="1080"/>
      <c r="I309" s="1080"/>
      <c r="J309" s="1080"/>
      <c r="K309" s="1080"/>
      <c r="L309" s="1080"/>
      <c r="M309" s="1080"/>
      <c r="N309" s="1080"/>
      <c r="O309" s="1080"/>
      <c r="P309" s="1080"/>
      <c r="Q309" s="1080"/>
      <c r="R309" s="1080"/>
      <c r="S309" s="1080"/>
      <c r="T309" s="1080"/>
      <c r="U309" s="1080"/>
      <c r="V309" s="1080"/>
      <c r="W309" s="1080"/>
      <c r="X309" s="1080"/>
      <c r="Y309" s="1080"/>
      <c r="Z309" s="1080"/>
      <c r="AA309" s="1080"/>
      <c r="AB309" s="1080"/>
      <c r="AC309" s="1080"/>
    </row>
    <row r="310" spans="1:29" ht="12" customHeight="1">
      <c r="A310" s="1264"/>
      <c r="B310" s="1264"/>
      <c r="C310" s="1080"/>
      <c r="D310" s="1080"/>
      <c r="E310" s="1080"/>
      <c r="F310" s="1080"/>
      <c r="G310" s="1080"/>
      <c r="H310" s="1080"/>
      <c r="I310" s="1080"/>
      <c r="J310" s="1080"/>
      <c r="K310" s="1080"/>
      <c r="L310" s="1080"/>
      <c r="M310" s="1080"/>
      <c r="N310" s="1080"/>
      <c r="O310" s="1080"/>
      <c r="P310" s="1080"/>
      <c r="Q310" s="1080"/>
      <c r="R310" s="1080"/>
      <c r="S310" s="1080"/>
      <c r="T310" s="1080"/>
      <c r="U310" s="1080"/>
      <c r="V310" s="1080"/>
      <c r="W310" s="1080"/>
      <c r="X310" s="1080"/>
      <c r="Y310" s="1080"/>
      <c r="Z310" s="1080"/>
      <c r="AA310" s="1080"/>
      <c r="AB310" s="1080"/>
      <c r="AC310" s="1080"/>
    </row>
    <row r="311" spans="1:29" ht="12" customHeight="1">
      <c r="A311" s="1264"/>
      <c r="B311" s="1264"/>
      <c r="C311" s="1080"/>
      <c r="D311" s="1080"/>
      <c r="E311" s="1080"/>
      <c r="F311" s="1080"/>
      <c r="G311" s="1080"/>
      <c r="H311" s="1080"/>
      <c r="I311" s="1080"/>
      <c r="J311" s="1080"/>
      <c r="K311" s="1080"/>
      <c r="L311" s="1080"/>
      <c r="M311" s="1080"/>
      <c r="N311" s="1080"/>
      <c r="O311" s="1080"/>
      <c r="P311" s="1080"/>
      <c r="Q311" s="1080"/>
      <c r="R311" s="1080"/>
      <c r="S311" s="1080"/>
      <c r="T311" s="1080"/>
      <c r="U311" s="1080"/>
      <c r="V311" s="1080"/>
      <c r="W311" s="1080"/>
      <c r="X311" s="1080"/>
      <c r="Y311" s="1080"/>
      <c r="Z311" s="1080"/>
      <c r="AA311" s="1080"/>
      <c r="AB311" s="1080"/>
      <c r="AC311" s="1080"/>
    </row>
    <row r="312" spans="1:29" ht="12" customHeight="1">
      <c r="A312" s="1264"/>
      <c r="B312" s="1264"/>
      <c r="C312" s="1080"/>
      <c r="D312" s="1080"/>
      <c r="E312" s="1080"/>
      <c r="F312" s="1080"/>
      <c r="G312" s="1080"/>
      <c r="H312" s="1080"/>
      <c r="I312" s="1080"/>
      <c r="J312" s="1080"/>
      <c r="K312" s="1080"/>
      <c r="L312" s="1080"/>
      <c r="M312" s="1080"/>
      <c r="N312" s="1080"/>
      <c r="O312" s="1080"/>
      <c r="P312" s="1080"/>
      <c r="Q312" s="1080"/>
      <c r="R312" s="1080"/>
      <c r="S312" s="1080"/>
      <c r="T312" s="1080"/>
      <c r="U312" s="1080"/>
      <c r="V312" s="1080"/>
      <c r="W312" s="1080"/>
      <c r="X312" s="1080"/>
      <c r="Y312" s="1080"/>
      <c r="Z312" s="1080"/>
      <c r="AA312" s="1080"/>
      <c r="AB312" s="1080"/>
      <c r="AC312" s="1080"/>
    </row>
    <row r="313" spans="1:29" ht="12" customHeight="1">
      <c r="A313" s="1264"/>
      <c r="B313" s="1264"/>
      <c r="C313" s="1080"/>
      <c r="D313" s="1080"/>
      <c r="E313" s="1080"/>
      <c r="F313" s="1080"/>
      <c r="G313" s="1080"/>
      <c r="H313" s="1080"/>
      <c r="I313" s="1080"/>
      <c r="J313" s="1080"/>
      <c r="K313" s="1080"/>
      <c r="L313" s="1080"/>
      <c r="M313" s="1080"/>
      <c r="N313" s="1080"/>
      <c r="O313" s="1080"/>
      <c r="P313" s="1080"/>
      <c r="Q313" s="1080"/>
      <c r="R313" s="1080"/>
      <c r="S313" s="1080"/>
      <c r="T313" s="1080"/>
      <c r="U313" s="1080"/>
      <c r="V313" s="1080"/>
      <c r="W313" s="1080"/>
      <c r="X313" s="1080"/>
      <c r="Y313" s="1080"/>
      <c r="Z313" s="1080"/>
      <c r="AA313" s="1080"/>
      <c r="AB313" s="1080"/>
      <c r="AC313" s="1080"/>
    </row>
    <row r="314" spans="1:29" ht="12" customHeight="1">
      <c r="A314" s="1264"/>
      <c r="B314" s="1264"/>
      <c r="C314" s="1080"/>
      <c r="D314" s="1080"/>
      <c r="E314" s="1080"/>
      <c r="F314" s="1080"/>
      <c r="G314" s="1080"/>
      <c r="H314" s="1080"/>
      <c r="I314" s="1080"/>
      <c r="J314" s="1080"/>
      <c r="K314" s="1080"/>
      <c r="L314" s="1080"/>
      <c r="M314" s="1080"/>
      <c r="N314" s="1080"/>
      <c r="O314" s="1080"/>
      <c r="P314" s="1080"/>
      <c r="Q314" s="1080"/>
      <c r="R314" s="1080"/>
      <c r="S314" s="1080"/>
      <c r="T314" s="1080"/>
      <c r="U314" s="1080"/>
      <c r="V314" s="1080"/>
      <c r="W314" s="1080"/>
      <c r="X314" s="1080"/>
      <c r="Y314" s="1080"/>
      <c r="Z314" s="1080"/>
      <c r="AA314" s="1080"/>
      <c r="AB314" s="1080"/>
      <c r="AC314" s="1080"/>
    </row>
    <row r="315" spans="1:29" ht="12" customHeight="1">
      <c r="A315" s="1264"/>
      <c r="B315" s="1264"/>
      <c r="C315" s="1080"/>
      <c r="D315" s="1080"/>
      <c r="E315" s="1080"/>
      <c r="F315" s="1080"/>
      <c r="G315" s="1080"/>
      <c r="H315" s="1080"/>
      <c r="I315" s="1080"/>
      <c r="J315" s="1080"/>
      <c r="K315" s="1080"/>
      <c r="L315" s="1080"/>
      <c r="M315" s="1080"/>
      <c r="N315" s="1080"/>
      <c r="O315" s="1080"/>
      <c r="P315" s="1080"/>
      <c r="Q315" s="1080"/>
      <c r="R315" s="1080"/>
      <c r="S315" s="1080"/>
      <c r="T315" s="1080"/>
      <c r="U315" s="1080"/>
      <c r="V315" s="1080"/>
      <c r="W315" s="1080"/>
      <c r="X315" s="1080"/>
      <c r="Y315" s="1080"/>
      <c r="Z315" s="1080"/>
      <c r="AA315" s="1080"/>
      <c r="AB315" s="1080"/>
      <c r="AC315" s="1080"/>
    </row>
    <row r="316" spans="1:29" ht="12" customHeight="1">
      <c r="A316" s="1264"/>
      <c r="B316" s="1264"/>
      <c r="C316" s="1080"/>
      <c r="D316" s="1080"/>
      <c r="E316" s="1080"/>
      <c r="F316" s="1080"/>
      <c r="G316" s="1080"/>
      <c r="H316" s="1080"/>
      <c r="I316" s="1080"/>
      <c r="J316" s="1080"/>
      <c r="K316" s="1080"/>
      <c r="L316" s="1080"/>
      <c r="M316" s="1080"/>
      <c r="N316" s="1080"/>
      <c r="O316" s="1080"/>
      <c r="P316" s="1080"/>
      <c r="Q316" s="1080"/>
      <c r="R316" s="1080"/>
      <c r="S316" s="1080"/>
      <c r="T316" s="1080"/>
      <c r="U316" s="1080"/>
      <c r="V316" s="1080"/>
      <c r="W316" s="1080"/>
      <c r="X316" s="1080"/>
      <c r="Y316" s="1080"/>
      <c r="Z316" s="1080"/>
      <c r="AA316" s="1080"/>
      <c r="AB316" s="1080"/>
      <c r="AC316" s="1080"/>
    </row>
    <row r="317" spans="1:29" ht="12" customHeight="1">
      <c r="A317" s="1264"/>
      <c r="B317" s="1264"/>
      <c r="C317" s="1080"/>
      <c r="D317" s="1080"/>
      <c r="E317" s="1080"/>
      <c r="F317" s="1080"/>
      <c r="G317" s="1080"/>
      <c r="H317" s="1080"/>
      <c r="I317" s="1080"/>
      <c r="J317" s="1080"/>
      <c r="K317" s="1080"/>
      <c r="L317" s="1080"/>
      <c r="M317" s="1080"/>
      <c r="N317" s="1080"/>
      <c r="O317" s="1080"/>
      <c r="P317" s="1080"/>
      <c r="Q317" s="1080"/>
      <c r="R317" s="1080"/>
      <c r="S317" s="1080"/>
      <c r="T317" s="1080"/>
      <c r="U317" s="1080"/>
      <c r="V317" s="1080"/>
      <c r="W317" s="1080"/>
      <c r="X317" s="1080"/>
      <c r="Y317" s="1080"/>
      <c r="Z317" s="1080"/>
      <c r="AA317" s="1080"/>
      <c r="AB317" s="1080"/>
      <c r="AC317" s="1080"/>
    </row>
    <row r="318" spans="1:29" ht="12" customHeight="1">
      <c r="A318" s="1264"/>
      <c r="B318" s="1264"/>
      <c r="C318" s="1080"/>
      <c r="D318" s="1080"/>
      <c r="E318" s="1080"/>
      <c r="F318" s="1080"/>
      <c r="G318" s="1080"/>
      <c r="H318" s="1080"/>
      <c r="I318" s="1080"/>
      <c r="J318" s="1080"/>
      <c r="K318" s="1080"/>
      <c r="L318" s="1080"/>
      <c r="M318" s="1080"/>
      <c r="N318" s="1080"/>
      <c r="O318" s="1080"/>
      <c r="P318" s="1080"/>
      <c r="Q318" s="1080"/>
      <c r="R318" s="1080"/>
      <c r="S318" s="1080"/>
      <c r="T318" s="1080"/>
      <c r="U318" s="1080"/>
      <c r="V318" s="1080"/>
      <c r="W318" s="1080"/>
      <c r="X318" s="1080"/>
      <c r="Y318" s="1080"/>
      <c r="Z318" s="1080"/>
      <c r="AA318" s="1080"/>
      <c r="AB318" s="1080"/>
      <c r="AC318" s="1080"/>
    </row>
    <row r="319" spans="1:29" ht="12" customHeight="1">
      <c r="A319" s="1264"/>
      <c r="B319" s="1264"/>
      <c r="C319" s="1080"/>
      <c r="D319" s="1080"/>
      <c r="E319" s="1080"/>
      <c r="F319" s="1080"/>
      <c r="G319" s="1080"/>
      <c r="H319" s="1080"/>
      <c r="I319" s="1080"/>
      <c r="J319" s="1080"/>
      <c r="K319" s="1080"/>
      <c r="L319" s="1080"/>
      <c r="M319" s="1080"/>
      <c r="N319" s="1080"/>
      <c r="O319" s="1080"/>
      <c r="P319" s="1080"/>
      <c r="Q319" s="1080"/>
      <c r="R319" s="1080"/>
      <c r="S319" s="1080"/>
      <c r="T319" s="1080"/>
      <c r="U319" s="1080"/>
      <c r="V319" s="1080"/>
      <c r="W319" s="1080"/>
      <c r="X319" s="1080"/>
      <c r="Y319" s="1080"/>
      <c r="Z319" s="1080"/>
      <c r="AA319" s="1080"/>
      <c r="AB319" s="1080"/>
      <c r="AC319" s="1080"/>
    </row>
    <row r="320" spans="1:29" ht="12" customHeight="1">
      <c r="A320" s="1264"/>
      <c r="B320" s="1264"/>
      <c r="C320" s="1080"/>
      <c r="D320" s="1080"/>
      <c r="E320" s="1080"/>
      <c r="F320" s="1080"/>
      <c r="G320" s="1080"/>
      <c r="H320" s="1080"/>
      <c r="I320" s="1080"/>
      <c r="J320" s="1080"/>
      <c r="K320" s="1080"/>
      <c r="L320" s="1080"/>
      <c r="M320" s="1080"/>
      <c r="N320" s="1080"/>
      <c r="O320" s="1080"/>
      <c r="P320" s="1080"/>
      <c r="Q320" s="1080"/>
      <c r="R320" s="1080"/>
      <c r="S320" s="1080"/>
      <c r="T320" s="1080"/>
      <c r="U320" s="1080"/>
      <c r="V320" s="1080"/>
      <c r="W320" s="1080"/>
      <c r="X320" s="1080"/>
      <c r="Y320" s="1080"/>
      <c r="Z320" s="1080"/>
      <c r="AA320" s="1080"/>
      <c r="AB320" s="1080"/>
      <c r="AC320" s="1080"/>
    </row>
    <row r="321" spans="1:29" ht="12" customHeight="1">
      <c r="A321" s="1264"/>
      <c r="B321" s="1264"/>
      <c r="C321" s="1080"/>
      <c r="D321" s="1080"/>
      <c r="E321" s="1080"/>
      <c r="F321" s="1080"/>
      <c r="G321" s="1080"/>
      <c r="H321" s="1080"/>
      <c r="I321" s="1080"/>
      <c r="J321" s="1080"/>
      <c r="K321" s="1080"/>
      <c r="L321" s="1080"/>
      <c r="M321" s="1080"/>
      <c r="N321" s="1080"/>
      <c r="O321" s="1080"/>
      <c r="P321" s="1080"/>
      <c r="Q321" s="1080"/>
      <c r="R321" s="1080"/>
      <c r="S321" s="1080"/>
      <c r="T321" s="1080"/>
      <c r="U321" s="1080"/>
      <c r="V321" s="1080"/>
      <c r="W321" s="1080"/>
      <c r="X321" s="1080"/>
      <c r="Y321" s="1080"/>
      <c r="Z321" s="1080"/>
      <c r="AA321" s="1080"/>
      <c r="AB321" s="1080"/>
      <c r="AC321" s="1080"/>
    </row>
    <row r="322" spans="1:29" ht="12" customHeight="1">
      <c r="A322" s="1264"/>
      <c r="B322" s="1264"/>
      <c r="C322" s="1080"/>
      <c r="D322" s="1080"/>
      <c r="E322" s="1080"/>
      <c r="F322" s="1080"/>
      <c r="G322" s="1080"/>
      <c r="H322" s="1080"/>
      <c r="I322" s="1080"/>
      <c r="J322" s="1080"/>
      <c r="K322" s="1080"/>
      <c r="L322" s="1080"/>
      <c r="M322" s="1080"/>
      <c r="N322" s="1080"/>
      <c r="O322" s="1080"/>
      <c r="P322" s="1080"/>
      <c r="Q322" s="1080"/>
      <c r="R322" s="1080"/>
      <c r="S322" s="1080"/>
      <c r="T322" s="1080"/>
      <c r="U322" s="1080"/>
      <c r="V322" s="1080"/>
      <c r="W322" s="1080"/>
      <c r="X322" s="1080"/>
      <c r="Y322" s="1080"/>
      <c r="Z322" s="1080"/>
      <c r="AA322" s="1080"/>
      <c r="AB322" s="1080"/>
      <c r="AC322" s="1080"/>
    </row>
    <row r="323" spans="1:29" ht="12" customHeight="1">
      <c r="A323" s="1264"/>
      <c r="B323" s="1264"/>
      <c r="C323" s="1080"/>
      <c r="D323" s="1080"/>
      <c r="E323" s="1080"/>
      <c r="F323" s="1080"/>
      <c r="G323" s="1080"/>
      <c r="H323" s="1080"/>
      <c r="I323" s="1080"/>
      <c r="J323" s="1080"/>
      <c r="K323" s="1080"/>
      <c r="L323" s="1080"/>
      <c r="M323" s="1080"/>
      <c r="N323" s="1080"/>
      <c r="O323" s="1080"/>
      <c r="P323" s="1080"/>
      <c r="Q323" s="1080"/>
      <c r="R323" s="1080"/>
      <c r="S323" s="1080"/>
      <c r="T323" s="1080"/>
      <c r="U323" s="1080"/>
      <c r="V323" s="1080"/>
      <c r="W323" s="1080"/>
      <c r="X323" s="1080"/>
      <c r="Y323" s="1080"/>
      <c r="Z323" s="1080"/>
      <c r="AA323" s="1080"/>
      <c r="AB323" s="1080"/>
      <c r="AC323" s="1080"/>
    </row>
    <row r="324" spans="1:29" ht="12" customHeight="1">
      <c r="A324" s="1264"/>
      <c r="B324" s="1264"/>
      <c r="C324" s="1080"/>
      <c r="D324" s="1080"/>
      <c r="E324" s="1080"/>
      <c r="F324" s="1080"/>
      <c r="G324" s="1080"/>
      <c r="H324" s="1080"/>
      <c r="I324" s="1080"/>
      <c r="J324" s="1080"/>
      <c r="K324" s="1080"/>
      <c r="L324" s="1080"/>
      <c r="M324" s="1080"/>
      <c r="N324" s="1080"/>
      <c r="O324" s="1080"/>
      <c r="P324" s="1080"/>
      <c r="Q324" s="1080"/>
      <c r="R324" s="1080"/>
      <c r="S324" s="1080"/>
      <c r="T324" s="1080"/>
      <c r="U324" s="1080"/>
      <c r="V324" s="1080"/>
      <c r="W324" s="1080"/>
      <c r="X324" s="1080"/>
      <c r="Y324" s="1080"/>
      <c r="Z324" s="1080"/>
      <c r="AA324" s="1080"/>
      <c r="AB324" s="1080"/>
      <c r="AC324" s="1080"/>
    </row>
    <row r="325" spans="1:29" ht="12" customHeight="1">
      <c r="A325" s="1264"/>
      <c r="B325" s="1264"/>
      <c r="C325" s="1080"/>
      <c r="D325" s="1080"/>
      <c r="E325" s="1080"/>
      <c r="F325" s="1080"/>
      <c r="G325" s="1080"/>
      <c r="H325" s="1080"/>
      <c r="I325" s="1080"/>
      <c r="J325" s="1080"/>
      <c r="K325" s="1080"/>
      <c r="L325" s="1080"/>
      <c r="M325" s="1080"/>
      <c r="N325" s="1080"/>
      <c r="O325" s="1080"/>
      <c r="P325" s="1080"/>
      <c r="Q325" s="1080"/>
      <c r="R325" s="1080"/>
      <c r="S325" s="1080"/>
      <c r="T325" s="1080"/>
      <c r="U325" s="1080"/>
      <c r="V325" s="1080"/>
      <c r="W325" s="1080"/>
      <c r="X325" s="1080"/>
      <c r="Y325" s="1080"/>
      <c r="Z325" s="1080"/>
      <c r="AA325" s="1080"/>
      <c r="AB325" s="1080"/>
      <c r="AC325" s="1080"/>
    </row>
    <row r="326" spans="1:29" ht="12" customHeight="1">
      <c r="A326" s="1264"/>
      <c r="B326" s="1264"/>
      <c r="C326" s="1080"/>
      <c r="D326" s="1080"/>
      <c r="E326" s="1080"/>
      <c r="F326" s="1080"/>
      <c r="G326" s="1080"/>
      <c r="H326" s="1080"/>
      <c r="I326" s="1080"/>
      <c r="J326" s="1080"/>
      <c r="K326" s="1080"/>
      <c r="L326" s="1080"/>
      <c r="M326" s="1080"/>
      <c r="N326" s="1080"/>
      <c r="O326" s="1080"/>
      <c r="P326" s="1080"/>
      <c r="Q326" s="1080"/>
      <c r="R326" s="1080"/>
      <c r="S326" s="1080"/>
      <c r="T326" s="1080"/>
      <c r="U326" s="1080"/>
      <c r="V326" s="1080"/>
      <c r="W326" s="1080"/>
      <c r="X326" s="1080"/>
      <c r="Y326" s="1080"/>
      <c r="Z326" s="1080"/>
      <c r="AA326" s="1080"/>
      <c r="AB326" s="1080"/>
      <c r="AC326" s="1080"/>
    </row>
    <row r="327" spans="1:29" ht="12" customHeight="1">
      <c r="A327" s="1264"/>
      <c r="B327" s="1264"/>
      <c r="C327" s="1080"/>
      <c r="D327" s="1080"/>
      <c r="E327" s="1080"/>
      <c r="F327" s="1080"/>
      <c r="G327" s="1080"/>
      <c r="H327" s="1080"/>
      <c r="I327" s="1080"/>
      <c r="J327" s="1080"/>
      <c r="K327" s="1080"/>
      <c r="L327" s="1080"/>
      <c r="M327" s="1080"/>
      <c r="N327" s="1080"/>
      <c r="O327" s="1080"/>
      <c r="P327" s="1080"/>
      <c r="Q327" s="1080"/>
      <c r="R327" s="1080"/>
      <c r="S327" s="1080"/>
      <c r="T327" s="1080"/>
      <c r="U327" s="1080"/>
      <c r="V327" s="1080"/>
      <c r="W327" s="1080"/>
      <c r="X327" s="1080"/>
      <c r="Y327" s="1080"/>
      <c r="Z327" s="1080"/>
      <c r="AA327" s="1080"/>
      <c r="AB327" s="1080"/>
      <c r="AC327" s="1080"/>
    </row>
    <row r="328" spans="1:29" ht="12" customHeight="1">
      <c r="A328" s="1264"/>
      <c r="B328" s="1264"/>
      <c r="C328" s="1080"/>
      <c r="D328" s="1080"/>
      <c r="E328" s="1080"/>
      <c r="F328" s="1080"/>
      <c r="G328" s="1080"/>
      <c r="H328" s="1080"/>
      <c r="I328" s="1080"/>
      <c r="J328" s="1080"/>
      <c r="K328" s="1080"/>
      <c r="L328" s="1080"/>
      <c r="M328" s="1080"/>
      <c r="N328" s="1080"/>
      <c r="O328" s="1080"/>
      <c r="P328" s="1080"/>
      <c r="Q328" s="1080"/>
      <c r="R328" s="1080"/>
      <c r="S328" s="1080"/>
      <c r="T328" s="1080"/>
      <c r="U328" s="1080"/>
      <c r="V328" s="1080"/>
      <c r="W328" s="1080"/>
      <c r="X328" s="1080"/>
      <c r="Y328" s="1080"/>
      <c r="Z328" s="1080"/>
      <c r="AA328" s="1080"/>
      <c r="AB328" s="1080"/>
      <c r="AC328" s="1080"/>
    </row>
    <row r="329" spans="1:29" ht="12" customHeight="1">
      <c r="A329" s="1264"/>
      <c r="B329" s="1264"/>
      <c r="C329" s="1080"/>
      <c r="D329" s="1080"/>
      <c r="E329" s="1080"/>
      <c r="F329" s="1080"/>
      <c r="G329" s="1080"/>
      <c r="H329" s="1080"/>
      <c r="I329" s="1080"/>
      <c r="J329" s="1080"/>
      <c r="K329" s="1080"/>
      <c r="L329" s="1080"/>
      <c r="M329" s="1080"/>
      <c r="N329" s="1080"/>
      <c r="O329" s="1080"/>
      <c r="P329" s="1080"/>
      <c r="Q329" s="1080"/>
      <c r="R329" s="1080"/>
      <c r="S329" s="1080"/>
      <c r="T329" s="1080"/>
      <c r="U329" s="1080"/>
      <c r="V329" s="1080"/>
      <c r="W329" s="1080"/>
      <c r="X329" s="1080"/>
      <c r="Y329" s="1080"/>
      <c r="Z329" s="1080"/>
      <c r="AA329" s="1080"/>
      <c r="AB329" s="1080"/>
      <c r="AC329" s="1080"/>
    </row>
    <row r="330" spans="1:29" ht="12" customHeight="1">
      <c r="A330" s="1264"/>
      <c r="B330" s="1264"/>
      <c r="C330" s="1080"/>
      <c r="D330" s="1080"/>
      <c r="E330" s="1080"/>
      <c r="F330" s="1080"/>
      <c r="G330" s="1080"/>
      <c r="H330" s="1080"/>
      <c r="I330" s="1080"/>
      <c r="J330" s="1080"/>
      <c r="K330" s="1080"/>
      <c r="L330" s="1080"/>
      <c r="M330" s="1080"/>
      <c r="N330" s="1080"/>
      <c r="O330" s="1080"/>
      <c r="P330" s="1080"/>
      <c r="Q330" s="1080"/>
      <c r="R330" s="1080"/>
      <c r="S330" s="1080"/>
      <c r="T330" s="1080"/>
      <c r="U330" s="1080"/>
      <c r="V330" s="1080"/>
      <c r="W330" s="1080"/>
      <c r="X330" s="1080"/>
      <c r="Y330" s="1080"/>
      <c r="Z330" s="1080"/>
      <c r="AA330" s="1080"/>
      <c r="AB330" s="1080"/>
      <c r="AC330" s="1080"/>
    </row>
    <row r="331" spans="1:29" ht="12" customHeight="1">
      <c r="A331" s="1264"/>
      <c r="B331" s="1264"/>
      <c r="C331" s="1080"/>
      <c r="D331" s="1080"/>
      <c r="E331" s="1080"/>
      <c r="F331" s="1080"/>
      <c r="G331" s="1080"/>
      <c r="H331" s="1080"/>
      <c r="I331" s="1080"/>
      <c r="J331" s="1080"/>
      <c r="K331" s="1080"/>
      <c r="L331" s="1080"/>
      <c r="M331" s="1080"/>
      <c r="N331" s="1080"/>
      <c r="O331" s="1080"/>
      <c r="P331" s="1080"/>
      <c r="Q331" s="1080"/>
      <c r="R331" s="1080"/>
      <c r="S331" s="1080"/>
      <c r="T331" s="1080"/>
      <c r="U331" s="1080"/>
      <c r="V331" s="1080"/>
      <c r="W331" s="1080"/>
      <c r="X331" s="1080"/>
      <c r="Y331" s="1080"/>
      <c r="Z331" s="1080"/>
      <c r="AA331" s="1080"/>
      <c r="AB331" s="1080"/>
      <c r="AC331" s="1080"/>
    </row>
    <row r="332" spans="1:29" ht="12" customHeight="1">
      <c r="A332" s="1264"/>
      <c r="B332" s="1264"/>
      <c r="C332" s="1080"/>
      <c r="D332" s="1080"/>
      <c r="E332" s="1080"/>
      <c r="F332" s="1080"/>
      <c r="G332" s="1080"/>
      <c r="H332" s="1080"/>
      <c r="I332" s="1080"/>
      <c r="J332" s="1080"/>
      <c r="K332" s="1080"/>
      <c r="L332" s="1080"/>
      <c r="M332" s="1080"/>
      <c r="N332" s="1080"/>
      <c r="O332" s="1080"/>
      <c r="P332" s="1080"/>
      <c r="Q332" s="1080"/>
      <c r="R332" s="1080"/>
      <c r="S332" s="1080"/>
      <c r="T332" s="1080"/>
      <c r="U332" s="1080"/>
      <c r="V332" s="1080"/>
      <c r="W332" s="1080"/>
      <c r="X332" s="1080"/>
      <c r="Y332" s="1080"/>
      <c r="Z332" s="1080"/>
      <c r="AA332" s="1080"/>
      <c r="AB332" s="1080"/>
      <c r="AC332" s="1080"/>
    </row>
    <row r="333" spans="1:29" ht="12" customHeight="1">
      <c r="A333" s="1264"/>
      <c r="B333" s="1264"/>
      <c r="C333" s="1080"/>
      <c r="D333" s="1080"/>
      <c r="E333" s="1080"/>
      <c r="F333" s="1080"/>
      <c r="G333" s="1080"/>
      <c r="H333" s="1080"/>
      <c r="I333" s="1080"/>
      <c r="J333" s="1080"/>
      <c r="K333" s="1080"/>
      <c r="L333" s="1080"/>
      <c r="M333" s="1080"/>
      <c r="N333" s="1080"/>
      <c r="O333" s="1080"/>
      <c r="P333" s="1080"/>
      <c r="Q333" s="1080"/>
      <c r="R333" s="1080"/>
      <c r="S333" s="1080"/>
      <c r="T333" s="1080"/>
      <c r="U333" s="1080"/>
      <c r="V333" s="1080"/>
      <c r="W333" s="1080"/>
      <c r="X333" s="1080"/>
      <c r="Y333" s="1080"/>
      <c r="Z333" s="1080"/>
      <c r="AA333" s="1080"/>
      <c r="AB333" s="1080"/>
      <c r="AC333" s="1080"/>
    </row>
    <row r="334" spans="1:29" ht="12" customHeight="1">
      <c r="A334" s="1264"/>
      <c r="B334" s="1264"/>
      <c r="C334" s="1080"/>
      <c r="D334" s="1080"/>
      <c r="E334" s="1080"/>
      <c r="F334" s="1080"/>
      <c r="G334" s="1080"/>
      <c r="H334" s="1080"/>
      <c r="I334" s="1080"/>
      <c r="J334" s="1080"/>
      <c r="K334" s="1080"/>
      <c r="L334" s="1080"/>
      <c r="M334" s="1080"/>
      <c r="N334" s="1080"/>
      <c r="O334" s="1080"/>
      <c r="P334" s="1080"/>
      <c r="Q334" s="1080"/>
      <c r="R334" s="1080"/>
      <c r="S334" s="1080"/>
      <c r="T334" s="1080"/>
      <c r="U334" s="1080"/>
      <c r="V334" s="1080"/>
      <c r="W334" s="1080"/>
      <c r="X334" s="1080"/>
      <c r="Y334" s="1080"/>
      <c r="Z334" s="1080"/>
      <c r="AA334" s="1080"/>
      <c r="AB334" s="1080"/>
      <c r="AC334" s="1080"/>
    </row>
    <row r="335" spans="1:29" ht="12" customHeight="1">
      <c r="A335" s="1264"/>
      <c r="B335" s="1264"/>
      <c r="C335" s="1080"/>
      <c r="D335" s="1080"/>
      <c r="E335" s="1080"/>
      <c r="F335" s="1080"/>
      <c r="G335" s="1080"/>
      <c r="H335" s="1080"/>
      <c r="I335" s="1080"/>
      <c r="J335" s="1080"/>
      <c r="K335" s="1080"/>
      <c r="L335" s="1080"/>
      <c r="M335" s="1080"/>
      <c r="N335" s="1080"/>
      <c r="O335" s="1080"/>
      <c r="P335" s="1080"/>
      <c r="Q335" s="1080"/>
      <c r="R335" s="1080"/>
      <c r="S335" s="1080"/>
      <c r="T335" s="1080"/>
      <c r="U335" s="1080"/>
      <c r="V335" s="1080"/>
      <c r="W335" s="1080"/>
      <c r="X335" s="1080"/>
      <c r="Y335" s="1080"/>
      <c r="Z335" s="1080"/>
      <c r="AA335" s="1080"/>
      <c r="AB335" s="1080"/>
      <c r="AC335" s="1080"/>
    </row>
    <row r="336" spans="1:29" ht="12" customHeight="1">
      <c r="A336" s="1264"/>
      <c r="B336" s="1264"/>
      <c r="C336" s="1080"/>
      <c r="D336" s="1080"/>
      <c r="E336" s="1080"/>
      <c r="F336" s="1080"/>
      <c r="G336" s="1080"/>
      <c r="H336" s="1080"/>
      <c r="I336" s="1080"/>
      <c r="J336" s="1080"/>
      <c r="K336" s="1080"/>
      <c r="L336" s="1080"/>
      <c r="M336" s="1080"/>
      <c r="N336" s="1080"/>
      <c r="O336" s="1080"/>
      <c r="P336" s="1080"/>
      <c r="Q336" s="1080"/>
      <c r="R336" s="1080"/>
      <c r="S336" s="1080"/>
      <c r="T336" s="1080"/>
      <c r="U336" s="1080"/>
      <c r="V336" s="1080"/>
      <c r="W336" s="1080"/>
      <c r="X336" s="1080"/>
      <c r="Y336" s="1080"/>
      <c r="Z336" s="1080"/>
      <c r="AA336" s="1080"/>
      <c r="AB336" s="1080"/>
      <c r="AC336" s="1080"/>
    </row>
    <row r="337" spans="1:29" ht="12" customHeight="1">
      <c r="A337" s="1264"/>
      <c r="B337" s="1264"/>
      <c r="C337" s="1080"/>
      <c r="D337" s="1080"/>
      <c r="E337" s="1080"/>
      <c r="F337" s="1080"/>
      <c r="G337" s="1080"/>
      <c r="H337" s="1080"/>
      <c r="I337" s="1080"/>
      <c r="J337" s="1080"/>
      <c r="K337" s="1080"/>
      <c r="L337" s="1080"/>
      <c r="M337" s="1080"/>
      <c r="N337" s="1080"/>
      <c r="O337" s="1080"/>
      <c r="P337" s="1080"/>
      <c r="Q337" s="1080"/>
      <c r="R337" s="1080"/>
      <c r="S337" s="1080"/>
      <c r="T337" s="1080"/>
      <c r="U337" s="1080"/>
      <c r="V337" s="1080"/>
      <c r="W337" s="1080"/>
      <c r="X337" s="1080"/>
      <c r="Y337" s="1080"/>
      <c r="Z337" s="1080"/>
      <c r="AA337" s="1080"/>
      <c r="AB337" s="1080"/>
      <c r="AC337" s="1080"/>
    </row>
    <row r="338" spans="1:29" ht="12" customHeight="1">
      <c r="A338" s="1264"/>
      <c r="B338" s="1264"/>
      <c r="C338" s="1080"/>
      <c r="D338" s="1080"/>
      <c r="E338" s="1080"/>
      <c r="F338" s="1080"/>
      <c r="G338" s="1080"/>
      <c r="H338" s="1080"/>
      <c r="I338" s="1080"/>
      <c r="J338" s="1080"/>
      <c r="K338" s="1080"/>
      <c r="L338" s="1080"/>
      <c r="M338" s="1080"/>
      <c r="N338" s="1080"/>
      <c r="O338" s="1080"/>
      <c r="P338" s="1080"/>
      <c r="Q338" s="1080"/>
      <c r="R338" s="1080"/>
      <c r="S338" s="1080"/>
      <c r="T338" s="1080"/>
      <c r="U338" s="1080"/>
      <c r="V338" s="1080"/>
      <c r="W338" s="1080"/>
      <c r="X338" s="1080"/>
      <c r="Y338" s="1080"/>
      <c r="Z338" s="1080"/>
      <c r="AA338" s="1080"/>
      <c r="AB338" s="1080"/>
      <c r="AC338" s="1080"/>
    </row>
    <row r="339" spans="1:29" ht="12" customHeight="1">
      <c r="A339" s="1264"/>
      <c r="B339" s="1264"/>
      <c r="C339" s="1080"/>
      <c r="D339" s="1080"/>
      <c r="E339" s="1080"/>
      <c r="F339" s="1080"/>
      <c r="G339" s="1080"/>
      <c r="H339" s="1080"/>
      <c r="I339" s="1080"/>
      <c r="J339" s="1080"/>
      <c r="K339" s="1080"/>
      <c r="L339" s="1080"/>
      <c r="M339" s="1080"/>
      <c r="N339" s="1080"/>
      <c r="O339" s="1080"/>
      <c r="P339" s="1080"/>
      <c r="Q339" s="1080"/>
      <c r="R339" s="1080"/>
      <c r="S339" s="1080"/>
      <c r="T339" s="1080"/>
      <c r="U339" s="1080"/>
      <c r="V339" s="1080"/>
      <c r="W339" s="1080"/>
      <c r="X339" s="1080"/>
      <c r="Y339" s="1080"/>
      <c r="Z339" s="1080"/>
      <c r="AA339" s="1080"/>
      <c r="AB339" s="1080"/>
      <c r="AC339" s="1080"/>
    </row>
    <row r="340" spans="1:29" ht="12" customHeight="1">
      <c r="A340" s="1264"/>
      <c r="B340" s="1264"/>
      <c r="C340" s="1080"/>
      <c r="D340" s="1080"/>
      <c r="E340" s="1080"/>
      <c r="F340" s="1080"/>
      <c r="G340" s="1080"/>
      <c r="H340" s="1080"/>
      <c r="I340" s="1080"/>
      <c r="J340" s="1080"/>
      <c r="K340" s="1080"/>
      <c r="L340" s="1080"/>
      <c r="M340" s="1080"/>
      <c r="N340" s="1080"/>
      <c r="O340" s="1080"/>
      <c r="P340" s="1080"/>
      <c r="Q340" s="1080"/>
      <c r="R340" s="1080"/>
      <c r="S340" s="1080"/>
      <c r="T340" s="1080"/>
      <c r="U340" s="1080"/>
      <c r="V340" s="1080"/>
      <c r="W340" s="1080"/>
      <c r="X340" s="1080"/>
      <c r="Y340" s="1080"/>
      <c r="Z340" s="1080"/>
      <c r="AA340" s="1080"/>
      <c r="AB340" s="1080"/>
      <c r="AC340" s="1080"/>
    </row>
    <row r="341" spans="1:29" ht="12" customHeight="1">
      <c r="A341" s="1264"/>
      <c r="B341" s="1264"/>
      <c r="C341" s="1080"/>
      <c r="D341" s="1080"/>
      <c r="E341" s="1080"/>
      <c r="F341" s="1080"/>
      <c r="G341" s="1080"/>
      <c r="H341" s="1080"/>
      <c r="I341" s="1080"/>
      <c r="J341" s="1080"/>
      <c r="K341" s="1080"/>
      <c r="L341" s="1080"/>
      <c r="M341" s="1080"/>
      <c r="N341" s="1080"/>
      <c r="O341" s="1080"/>
      <c r="P341" s="1080"/>
      <c r="Q341" s="1080"/>
      <c r="R341" s="1080"/>
      <c r="S341" s="1080"/>
      <c r="T341" s="1080"/>
      <c r="U341" s="1080"/>
      <c r="V341" s="1080"/>
      <c r="W341" s="1080"/>
      <c r="X341" s="1080"/>
      <c r="Y341" s="1080"/>
      <c r="Z341" s="1080"/>
      <c r="AA341" s="1080"/>
      <c r="AB341" s="1080"/>
      <c r="AC341" s="1080"/>
    </row>
    <row r="342" spans="1:29" ht="12" customHeight="1">
      <c r="A342" s="1264"/>
      <c r="B342" s="1264"/>
      <c r="C342" s="1080"/>
      <c r="D342" s="1080"/>
      <c r="E342" s="1080"/>
      <c r="F342" s="1080"/>
      <c r="G342" s="1080"/>
      <c r="H342" s="1080"/>
      <c r="I342" s="1080"/>
      <c r="J342" s="1080"/>
      <c r="K342" s="1080"/>
      <c r="L342" s="1080"/>
      <c r="M342" s="1080"/>
      <c r="N342" s="1080"/>
      <c r="O342" s="1080"/>
      <c r="P342" s="1080"/>
      <c r="Q342" s="1080"/>
      <c r="R342" s="1080"/>
      <c r="S342" s="1080"/>
      <c r="T342" s="1080"/>
      <c r="U342" s="1080"/>
      <c r="V342" s="1080"/>
      <c r="W342" s="1080"/>
      <c r="X342" s="1080"/>
      <c r="Y342" s="1080"/>
      <c r="Z342" s="1080"/>
      <c r="AA342" s="1080"/>
      <c r="AB342" s="1080"/>
      <c r="AC342" s="1080"/>
    </row>
    <row r="343" spans="1:29" ht="12" customHeight="1">
      <c r="A343" s="1264"/>
      <c r="B343" s="1264"/>
      <c r="C343" s="1080"/>
      <c r="D343" s="1080"/>
      <c r="E343" s="1080"/>
      <c r="F343" s="1080"/>
      <c r="G343" s="1080"/>
      <c r="H343" s="1080"/>
      <c r="I343" s="1080"/>
      <c r="J343" s="1080"/>
      <c r="K343" s="1080"/>
      <c r="L343" s="1080"/>
      <c r="M343" s="1080"/>
      <c r="N343" s="1080"/>
      <c r="O343" s="1080"/>
      <c r="P343" s="1080"/>
      <c r="Q343" s="1080"/>
      <c r="R343" s="1080"/>
      <c r="S343" s="1080"/>
      <c r="T343" s="1080"/>
      <c r="U343" s="1080"/>
      <c r="V343" s="1080"/>
      <c r="W343" s="1080"/>
      <c r="X343" s="1080"/>
      <c r="Y343" s="1080"/>
      <c r="Z343" s="1080"/>
      <c r="AA343" s="1080"/>
      <c r="AB343" s="1080"/>
      <c r="AC343" s="1080"/>
    </row>
    <row r="344" spans="1:29" ht="12" customHeight="1">
      <c r="A344" s="1264"/>
      <c r="B344" s="1264"/>
      <c r="C344" s="1080"/>
      <c r="D344" s="1080"/>
      <c r="E344" s="1080"/>
      <c r="F344" s="1080"/>
      <c r="G344" s="1080"/>
      <c r="H344" s="1080"/>
      <c r="I344" s="1080"/>
      <c r="J344" s="1080"/>
      <c r="K344" s="1080"/>
      <c r="L344" s="1080"/>
      <c r="M344" s="1080"/>
      <c r="N344" s="1080"/>
      <c r="O344" s="1080"/>
      <c r="P344" s="1080"/>
      <c r="Q344" s="1080"/>
      <c r="R344" s="1080"/>
      <c r="S344" s="1080"/>
      <c r="T344" s="1080"/>
      <c r="U344" s="1080"/>
      <c r="V344" s="1080"/>
      <c r="W344" s="1080"/>
      <c r="X344" s="1080"/>
      <c r="Y344" s="1080"/>
      <c r="Z344" s="1080"/>
      <c r="AA344" s="1080"/>
      <c r="AB344" s="1080"/>
      <c r="AC344" s="1080"/>
    </row>
    <row r="345" spans="1:29" ht="12" customHeight="1">
      <c r="A345" s="1264"/>
      <c r="B345" s="1264"/>
      <c r="C345" s="1080"/>
      <c r="D345" s="1080"/>
      <c r="E345" s="1080"/>
      <c r="F345" s="1080"/>
      <c r="G345" s="1080"/>
      <c r="H345" s="1080"/>
      <c r="I345" s="1080"/>
      <c r="J345" s="1080"/>
      <c r="K345" s="1080"/>
      <c r="L345" s="1080"/>
      <c r="M345" s="1080"/>
      <c r="N345" s="1080"/>
      <c r="O345" s="1080"/>
      <c r="P345" s="1080"/>
      <c r="Q345" s="1080"/>
      <c r="R345" s="1080"/>
      <c r="S345" s="1080"/>
      <c r="T345" s="1080"/>
      <c r="U345" s="1080"/>
      <c r="V345" s="1080"/>
      <c r="W345" s="1080"/>
      <c r="X345" s="1080"/>
      <c r="Y345" s="1080"/>
      <c r="Z345" s="1080"/>
      <c r="AA345" s="1080"/>
      <c r="AB345" s="1080"/>
      <c r="AC345" s="1080"/>
    </row>
    <row r="346" spans="1:29" ht="12" customHeight="1">
      <c r="A346" s="1264"/>
      <c r="B346" s="1264"/>
      <c r="C346" s="1080"/>
      <c r="D346" s="1080"/>
      <c r="E346" s="1080"/>
      <c r="F346" s="1080"/>
      <c r="G346" s="1080"/>
      <c r="H346" s="1080"/>
      <c r="I346" s="1080"/>
      <c r="J346" s="1080"/>
      <c r="K346" s="1080"/>
      <c r="L346" s="1080"/>
      <c r="M346" s="1080"/>
      <c r="N346" s="1080"/>
      <c r="O346" s="1080"/>
      <c r="P346" s="1080"/>
      <c r="Q346" s="1080"/>
      <c r="R346" s="1080"/>
      <c r="S346" s="1080"/>
      <c r="T346" s="1080"/>
      <c r="U346" s="1080"/>
      <c r="V346" s="1080"/>
      <c r="W346" s="1080"/>
      <c r="X346" s="1080"/>
      <c r="Y346" s="1080"/>
      <c r="Z346" s="1080"/>
      <c r="AA346" s="1080"/>
      <c r="AB346" s="1080"/>
      <c r="AC346" s="1080"/>
    </row>
    <row r="347" spans="1:29" ht="12" customHeight="1">
      <c r="A347" s="1264"/>
      <c r="B347" s="1264"/>
      <c r="C347" s="1080"/>
      <c r="D347" s="1080"/>
      <c r="E347" s="1080"/>
      <c r="F347" s="1080"/>
      <c r="G347" s="1080"/>
      <c r="H347" s="1080"/>
      <c r="I347" s="1080"/>
      <c r="J347" s="1080"/>
      <c r="K347" s="1080"/>
      <c r="L347" s="1080"/>
      <c r="M347" s="1080"/>
      <c r="N347" s="1080"/>
      <c r="O347" s="1080"/>
      <c r="P347" s="1080"/>
      <c r="Q347" s="1080"/>
      <c r="R347" s="1080"/>
      <c r="S347" s="1080"/>
      <c r="T347" s="1080"/>
      <c r="U347" s="1080"/>
      <c r="V347" s="1080"/>
      <c r="W347" s="1080"/>
      <c r="X347" s="1080"/>
      <c r="Y347" s="1080"/>
      <c r="Z347" s="1080"/>
      <c r="AA347" s="1080"/>
      <c r="AB347" s="1080"/>
      <c r="AC347" s="1080"/>
    </row>
    <row r="348" spans="1:29" ht="12" customHeight="1">
      <c r="A348" s="1264"/>
      <c r="B348" s="1264"/>
      <c r="C348" s="1080"/>
      <c r="D348" s="1080"/>
      <c r="E348" s="1080"/>
      <c r="F348" s="1080"/>
      <c r="G348" s="1080"/>
      <c r="H348" s="1080"/>
      <c r="I348" s="1080"/>
      <c r="J348" s="1080"/>
      <c r="K348" s="1080"/>
      <c r="L348" s="1080"/>
      <c r="M348" s="1080"/>
      <c r="N348" s="1080"/>
      <c r="O348" s="1080"/>
      <c r="P348" s="1080"/>
      <c r="Q348" s="1080"/>
      <c r="R348" s="1080"/>
      <c r="S348" s="1080"/>
      <c r="T348" s="1080"/>
      <c r="U348" s="1080"/>
      <c r="V348" s="1080"/>
      <c r="W348" s="1080"/>
      <c r="X348" s="1080"/>
      <c r="Y348" s="1080"/>
      <c r="Z348" s="1080"/>
      <c r="AA348" s="1080"/>
      <c r="AB348" s="1080"/>
      <c r="AC348" s="1080"/>
    </row>
    <row r="349" spans="1:29" ht="12" customHeight="1">
      <c r="A349" s="1264"/>
      <c r="B349" s="1264"/>
      <c r="C349" s="1080"/>
      <c r="D349" s="1080"/>
      <c r="E349" s="1080"/>
      <c r="F349" s="1080"/>
      <c r="G349" s="1080"/>
      <c r="H349" s="1080"/>
      <c r="I349" s="1080"/>
      <c r="J349" s="1080"/>
      <c r="K349" s="1080"/>
      <c r="L349" s="1080"/>
      <c r="M349" s="1080"/>
      <c r="N349" s="1080"/>
      <c r="O349" s="1080"/>
      <c r="P349" s="1080"/>
      <c r="Q349" s="1080"/>
      <c r="R349" s="1080"/>
      <c r="S349" s="1080"/>
      <c r="T349" s="1080"/>
      <c r="U349" s="1080"/>
      <c r="V349" s="1080"/>
      <c r="W349" s="1080"/>
      <c r="X349" s="1080"/>
      <c r="Y349" s="1080"/>
      <c r="Z349" s="1080"/>
      <c r="AA349" s="1080"/>
      <c r="AB349" s="1080"/>
      <c r="AC349" s="1080"/>
    </row>
    <row r="350" spans="1:29" ht="12" customHeight="1">
      <c r="A350" s="1264"/>
      <c r="B350" s="1264"/>
      <c r="C350" s="1080"/>
      <c r="D350" s="1080"/>
      <c r="E350" s="1080"/>
      <c r="F350" s="1080"/>
      <c r="G350" s="1080"/>
      <c r="H350" s="1080"/>
      <c r="I350" s="1080"/>
      <c r="J350" s="1080"/>
      <c r="K350" s="1080"/>
      <c r="L350" s="1080"/>
      <c r="M350" s="1080"/>
      <c r="N350" s="1080"/>
      <c r="O350" s="1080"/>
      <c r="P350" s="1080"/>
      <c r="Q350" s="1080"/>
      <c r="R350" s="1080"/>
      <c r="S350" s="1080"/>
      <c r="T350" s="1080"/>
      <c r="U350" s="1080"/>
      <c r="V350" s="1080"/>
      <c r="W350" s="1080"/>
      <c r="X350" s="1080"/>
      <c r="Y350" s="1080"/>
      <c r="Z350" s="1080"/>
      <c r="AA350" s="1080"/>
      <c r="AB350" s="1080"/>
      <c r="AC350" s="1080"/>
    </row>
    <row r="351" spans="1:29" ht="12" customHeight="1">
      <c r="A351" s="1264"/>
      <c r="B351" s="1264"/>
      <c r="C351" s="1080"/>
      <c r="D351" s="1080"/>
      <c r="E351" s="1080"/>
      <c r="F351" s="1080"/>
      <c r="G351" s="1080"/>
      <c r="H351" s="1080"/>
      <c r="I351" s="1080"/>
      <c r="J351" s="1080"/>
      <c r="K351" s="1080"/>
      <c r="L351" s="1080"/>
      <c r="M351" s="1080"/>
      <c r="N351" s="1080"/>
      <c r="O351" s="1080"/>
      <c r="P351" s="1080"/>
      <c r="Q351" s="1080"/>
      <c r="R351" s="1080"/>
      <c r="S351" s="1080"/>
      <c r="T351" s="1080"/>
      <c r="U351" s="1080"/>
      <c r="V351" s="1080"/>
      <c r="W351" s="1080"/>
      <c r="X351" s="1080"/>
      <c r="Y351" s="1080"/>
      <c r="Z351" s="1080"/>
      <c r="AA351" s="1080"/>
      <c r="AB351" s="1080"/>
      <c r="AC351" s="1080"/>
    </row>
    <row r="352" spans="1:29" ht="12" customHeight="1">
      <c r="A352" s="1264"/>
      <c r="B352" s="1264"/>
      <c r="C352" s="1080"/>
      <c r="D352" s="1080"/>
      <c r="E352" s="1080"/>
      <c r="F352" s="1080"/>
      <c r="G352" s="1080"/>
      <c r="H352" s="1080"/>
      <c r="I352" s="1080"/>
      <c r="J352" s="1080"/>
      <c r="K352" s="1080"/>
      <c r="L352" s="1080"/>
      <c r="M352" s="1080"/>
      <c r="N352" s="1080"/>
      <c r="O352" s="1080"/>
      <c r="P352" s="1080"/>
      <c r="Q352" s="1080"/>
      <c r="R352" s="1080"/>
      <c r="S352" s="1080"/>
      <c r="T352" s="1080"/>
      <c r="U352" s="1080"/>
      <c r="V352" s="1080"/>
      <c r="W352" s="1080"/>
      <c r="X352" s="1080"/>
      <c r="Y352" s="1080"/>
      <c r="Z352" s="1080"/>
      <c r="AA352" s="1080"/>
      <c r="AB352" s="1080"/>
      <c r="AC352" s="1080"/>
    </row>
    <row r="353" spans="1:29" ht="12" customHeight="1">
      <c r="A353" s="1264"/>
      <c r="B353" s="1264"/>
      <c r="C353" s="1080"/>
      <c r="D353" s="1080"/>
      <c r="E353" s="1080"/>
      <c r="F353" s="1080"/>
      <c r="G353" s="1080"/>
      <c r="H353" s="1080"/>
      <c r="I353" s="1080"/>
      <c r="J353" s="1080"/>
      <c r="K353" s="1080"/>
      <c r="L353" s="1080"/>
      <c r="M353" s="1080"/>
      <c r="N353" s="1080"/>
      <c r="O353" s="1080"/>
      <c r="P353" s="1080"/>
      <c r="Q353" s="1080"/>
      <c r="R353" s="1080"/>
      <c r="S353" s="1080"/>
      <c r="T353" s="1080"/>
      <c r="U353" s="1080"/>
      <c r="V353" s="1080"/>
      <c r="W353" s="1080"/>
      <c r="X353" s="1080"/>
      <c r="Y353" s="1080"/>
      <c r="Z353" s="1080"/>
      <c r="AA353" s="1080"/>
      <c r="AB353" s="1080"/>
      <c r="AC353" s="1080"/>
    </row>
    <row r="354" spans="1:29" ht="12" customHeight="1">
      <c r="A354" s="1264"/>
      <c r="B354" s="1264"/>
      <c r="C354" s="1080"/>
      <c r="D354" s="1080"/>
      <c r="E354" s="1080"/>
      <c r="F354" s="1080"/>
      <c r="G354" s="1080"/>
      <c r="H354" s="1080"/>
      <c r="I354" s="1080"/>
      <c r="J354" s="1080"/>
      <c r="K354" s="1080"/>
      <c r="L354" s="1080"/>
      <c r="M354" s="1080"/>
      <c r="N354" s="1080"/>
      <c r="O354" s="1080"/>
      <c r="P354" s="1080"/>
      <c r="Q354" s="1080"/>
      <c r="R354" s="1080"/>
      <c r="S354" s="1080"/>
      <c r="T354" s="1080"/>
      <c r="U354" s="1080"/>
      <c r="V354" s="1080"/>
      <c r="W354" s="1080"/>
      <c r="X354" s="1080"/>
      <c r="Y354" s="1080"/>
      <c r="Z354" s="1080"/>
      <c r="AA354" s="1080"/>
      <c r="AB354" s="1080"/>
      <c r="AC354" s="1080"/>
    </row>
    <row r="355" spans="1:29" ht="12" customHeight="1">
      <c r="A355" s="1264"/>
      <c r="B355" s="1264"/>
      <c r="C355" s="1080"/>
      <c r="D355" s="1080"/>
      <c r="E355" s="1080"/>
      <c r="F355" s="1080"/>
      <c r="G355" s="1080"/>
      <c r="H355" s="1080"/>
      <c r="I355" s="1080"/>
      <c r="J355" s="1080"/>
      <c r="K355" s="1080"/>
      <c r="L355" s="1080"/>
      <c r="M355" s="1080"/>
      <c r="N355" s="1080"/>
      <c r="O355" s="1080"/>
      <c r="P355" s="1080"/>
      <c r="Q355" s="1080"/>
      <c r="R355" s="1080"/>
      <c r="S355" s="1080"/>
      <c r="T355" s="1080"/>
      <c r="U355" s="1080"/>
      <c r="V355" s="1080"/>
      <c r="W355" s="1080"/>
      <c r="X355" s="1080"/>
      <c r="Y355" s="1080"/>
      <c r="Z355" s="1080"/>
      <c r="AA355" s="1080"/>
      <c r="AB355" s="1080"/>
      <c r="AC355" s="1080"/>
    </row>
    <row r="356" spans="1:29" ht="12" customHeight="1">
      <c r="A356" s="1264"/>
      <c r="B356" s="1264"/>
      <c r="C356" s="1080"/>
      <c r="D356" s="1080"/>
      <c r="E356" s="1080"/>
      <c r="F356" s="1080"/>
      <c r="G356" s="1080"/>
      <c r="H356" s="1080"/>
      <c r="I356" s="1080"/>
      <c r="J356" s="1080"/>
      <c r="K356" s="1080"/>
      <c r="L356" s="1080"/>
      <c r="M356" s="1080"/>
      <c r="N356" s="1080"/>
      <c r="O356" s="1080"/>
      <c r="P356" s="1080"/>
      <c r="Q356" s="1080"/>
      <c r="R356" s="1080"/>
      <c r="S356" s="1080"/>
      <c r="T356" s="1080"/>
      <c r="U356" s="1080"/>
      <c r="V356" s="1080"/>
      <c r="W356" s="1080"/>
      <c r="X356" s="1080"/>
      <c r="Y356" s="1080"/>
      <c r="Z356" s="1080"/>
      <c r="AA356" s="1080"/>
      <c r="AB356" s="1080"/>
      <c r="AC356" s="1080"/>
    </row>
    <row r="357" spans="1:29" ht="12" customHeight="1">
      <c r="A357" s="1264"/>
      <c r="B357" s="1264"/>
      <c r="C357" s="1080"/>
      <c r="D357" s="1080"/>
      <c r="E357" s="1080"/>
      <c r="F357" s="1080"/>
      <c r="G357" s="1080"/>
      <c r="H357" s="1080"/>
      <c r="I357" s="1080"/>
      <c r="J357" s="1080"/>
      <c r="K357" s="1080"/>
      <c r="L357" s="1080"/>
      <c r="M357" s="1080"/>
      <c r="N357" s="1080"/>
      <c r="O357" s="1080"/>
      <c r="P357" s="1080"/>
      <c r="Q357" s="1080"/>
      <c r="R357" s="1080"/>
      <c r="S357" s="1080"/>
      <c r="T357" s="1080"/>
      <c r="U357" s="1080"/>
      <c r="V357" s="1080"/>
      <c r="W357" s="1080"/>
      <c r="X357" s="1080"/>
      <c r="Y357" s="1080"/>
      <c r="Z357" s="1080"/>
      <c r="AA357" s="1080"/>
      <c r="AB357" s="1080"/>
      <c r="AC357" s="1080"/>
    </row>
    <row r="358" spans="1:29" ht="12" customHeight="1">
      <c r="A358" s="1264"/>
      <c r="B358" s="1264"/>
      <c r="C358" s="1080"/>
      <c r="D358" s="1080"/>
      <c r="E358" s="1080"/>
      <c r="F358" s="1080"/>
      <c r="G358" s="1080"/>
      <c r="H358" s="1080"/>
      <c r="I358" s="1080"/>
      <c r="J358" s="1080"/>
      <c r="K358" s="1080"/>
      <c r="L358" s="1080"/>
      <c r="M358" s="1080"/>
      <c r="N358" s="1080"/>
      <c r="O358" s="1080"/>
      <c r="P358" s="1080"/>
      <c r="Q358" s="1080"/>
      <c r="R358" s="1080"/>
      <c r="S358" s="1080"/>
      <c r="T358" s="1080"/>
      <c r="U358" s="1080"/>
      <c r="V358" s="1080"/>
      <c r="W358" s="1080"/>
      <c r="X358" s="1080"/>
      <c r="Y358" s="1080"/>
      <c r="Z358" s="1080"/>
      <c r="AA358" s="1080"/>
      <c r="AB358" s="1080"/>
      <c r="AC358" s="1080"/>
    </row>
    <row r="359" spans="1:29" ht="12" customHeight="1">
      <c r="A359" s="1264"/>
      <c r="B359" s="1264"/>
      <c r="C359" s="1080"/>
      <c r="D359" s="1080"/>
      <c r="E359" s="1080"/>
      <c r="F359" s="1080"/>
      <c r="G359" s="1080"/>
      <c r="H359" s="1080"/>
      <c r="I359" s="1080"/>
      <c r="J359" s="1080"/>
      <c r="K359" s="1080"/>
      <c r="L359" s="1080"/>
      <c r="M359" s="1080"/>
      <c r="N359" s="1080"/>
      <c r="O359" s="1080"/>
      <c r="P359" s="1080"/>
      <c r="Q359" s="1080"/>
      <c r="R359" s="1080"/>
      <c r="S359" s="1080"/>
      <c r="T359" s="1080"/>
      <c r="U359" s="1080"/>
      <c r="V359" s="1080"/>
      <c r="W359" s="1080"/>
      <c r="X359" s="1080"/>
      <c r="Y359" s="1080"/>
      <c r="Z359" s="1080"/>
      <c r="AA359" s="1080"/>
      <c r="AB359" s="1080"/>
      <c r="AC359" s="1080"/>
    </row>
    <row r="360" spans="1:29" ht="12" customHeight="1">
      <c r="A360" s="1264"/>
      <c r="B360" s="1264"/>
      <c r="C360" s="1080"/>
      <c r="D360" s="1080"/>
      <c r="E360" s="1080"/>
      <c r="F360" s="1080"/>
      <c r="G360" s="1080"/>
      <c r="H360" s="1080"/>
      <c r="I360" s="1080"/>
      <c r="J360" s="1080"/>
      <c r="K360" s="1080"/>
      <c r="L360" s="1080"/>
      <c r="M360" s="1080"/>
      <c r="N360" s="1080"/>
      <c r="O360" s="1080"/>
      <c r="P360" s="1080"/>
      <c r="Q360" s="1080"/>
      <c r="R360" s="1080"/>
      <c r="S360" s="1080"/>
      <c r="T360" s="1080"/>
      <c r="U360" s="1080"/>
      <c r="V360" s="1080"/>
      <c r="W360" s="1080"/>
      <c r="X360" s="1080"/>
      <c r="Y360" s="1080"/>
      <c r="Z360" s="1080"/>
      <c r="AA360" s="1080"/>
      <c r="AB360" s="1080"/>
      <c r="AC360" s="1080"/>
    </row>
    <row r="361" spans="1:29" ht="12" customHeight="1">
      <c r="A361" s="1264"/>
      <c r="B361" s="1264"/>
      <c r="C361" s="1080"/>
      <c r="D361" s="1080"/>
      <c r="E361" s="1080"/>
      <c r="F361" s="1080"/>
      <c r="G361" s="1080"/>
      <c r="H361" s="1080"/>
      <c r="I361" s="1080"/>
      <c r="J361" s="1080"/>
      <c r="K361" s="1080"/>
      <c r="L361" s="1080"/>
      <c r="M361" s="1080"/>
      <c r="N361" s="1080"/>
      <c r="O361" s="1080"/>
      <c r="P361" s="1080"/>
      <c r="Q361" s="1080"/>
      <c r="R361" s="1080"/>
      <c r="S361" s="1080"/>
      <c r="T361" s="1080"/>
      <c r="U361" s="1080"/>
      <c r="V361" s="1080"/>
      <c r="W361" s="1080"/>
      <c r="X361" s="1080"/>
      <c r="Y361" s="1080"/>
      <c r="Z361" s="1080"/>
      <c r="AA361" s="1080"/>
      <c r="AB361" s="1080"/>
      <c r="AC361" s="1080"/>
    </row>
    <row r="362" spans="1:29" ht="12" customHeight="1">
      <c r="A362" s="1264"/>
      <c r="B362" s="1264"/>
      <c r="C362" s="1080"/>
      <c r="D362" s="1080"/>
      <c r="E362" s="1080"/>
      <c r="F362" s="1080"/>
      <c r="G362" s="1080"/>
      <c r="H362" s="1080"/>
      <c r="I362" s="1080"/>
      <c r="J362" s="1080"/>
      <c r="K362" s="1080"/>
      <c r="L362" s="1080"/>
      <c r="M362" s="1080"/>
      <c r="N362" s="1080"/>
      <c r="O362" s="1080"/>
      <c r="P362" s="1080"/>
      <c r="Q362" s="1080"/>
      <c r="R362" s="1080"/>
      <c r="S362" s="1080"/>
      <c r="T362" s="1080"/>
      <c r="U362" s="1080"/>
      <c r="V362" s="1080"/>
      <c r="W362" s="1080"/>
      <c r="X362" s="1080"/>
      <c r="Y362" s="1080"/>
      <c r="Z362" s="1080"/>
      <c r="AA362" s="1080"/>
      <c r="AB362" s="1080"/>
      <c r="AC362" s="1080"/>
    </row>
    <row r="363" spans="1:29" ht="12" customHeight="1">
      <c r="A363" s="1264"/>
      <c r="B363" s="1264"/>
      <c r="C363" s="1080"/>
      <c r="D363" s="1080"/>
      <c r="E363" s="1080"/>
      <c r="F363" s="1080"/>
      <c r="G363" s="1080"/>
      <c r="H363" s="1080"/>
      <c r="I363" s="1080"/>
      <c r="J363" s="1080"/>
      <c r="K363" s="1080"/>
      <c r="L363" s="1080"/>
      <c r="M363" s="1080"/>
      <c r="N363" s="1080"/>
      <c r="O363" s="1080"/>
      <c r="P363" s="1080"/>
      <c r="Q363" s="1080"/>
      <c r="R363" s="1080"/>
      <c r="S363" s="1080"/>
      <c r="T363" s="1080"/>
      <c r="U363" s="1080"/>
      <c r="V363" s="1080"/>
      <c r="W363" s="1080"/>
      <c r="X363" s="1080"/>
      <c r="Y363" s="1080"/>
      <c r="Z363" s="1080"/>
      <c r="AA363" s="1080"/>
      <c r="AB363" s="1080"/>
      <c r="AC363" s="1080"/>
    </row>
    <row r="364" spans="1:29" ht="12" customHeight="1">
      <c r="A364" s="1264"/>
      <c r="B364" s="1264"/>
      <c r="C364" s="1080"/>
      <c r="D364" s="1080"/>
      <c r="E364" s="1080"/>
      <c r="F364" s="1080"/>
      <c r="G364" s="1080"/>
      <c r="H364" s="1080"/>
      <c r="I364" s="1080"/>
      <c r="J364" s="1080"/>
      <c r="K364" s="1080"/>
      <c r="L364" s="1080"/>
      <c r="M364" s="1080"/>
      <c r="N364" s="1080"/>
      <c r="O364" s="1080"/>
      <c r="P364" s="1080"/>
      <c r="Q364" s="1080"/>
      <c r="R364" s="1080"/>
      <c r="S364" s="1080"/>
      <c r="T364" s="1080"/>
      <c r="U364" s="1080"/>
      <c r="V364" s="1080"/>
      <c r="W364" s="1080"/>
      <c r="X364" s="1080"/>
      <c r="Y364" s="1080"/>
      <c r="Z364" s="1080"/>
      <c r="AA364" s="1080"/>
      <c r="AB364" s="1080"/>
      <c r="AC364" s="1080"/>
    </row>
    <row r="365" spans="1:29" ht="12" customHeight="1">
      <c r="A365" s="1264"/>
      <c r="B365" s="1264"/>
      <c r="C365" s="1080"/>
      <c r="D365" s="1080"/>
      <c r="E365" s="1080"/>
      <c r="F365" s="1080"/>
      <c r="G365" s="1080"/>
      <c r="H365" s="1080"/>
      <c r="I365" s="1080"/>
      <c r="J365" s="1080"/>
      <c r="K365" s="1080"/>
      <c r="L365" s="1080"/>
      <c r="M365" s="1080"/>
      <c r="N365" s="1080"/>
      <c r="O365" s="1080"/>
      <c r="P365" s="1080"/>
      <c r="Q365" s="1080"/>
      <c r="R365" s="1080"/>
      <c r="S365" s="1080"/>
      <c r="T365" s="1080"/>
      <c r="U365" s="1080"/>
      <c r="V365" s="1080"/>
      <c r="W365" s="1080"/>
      <c r="X365" s="1080"/>
      <c r="Y365" s="1080"/>
      <c r="Z365" s="1080"/>
      <c r="AA365" s="1080"/>
      <c r="AB365" s="1080"/>
      <c r="AC365" s="1080"/>
    </row>
    <row r="366" spans="1:29" ht="12" customHeight="1">
      <c r="A366" s="1264"/>
      <c r="B366" s="1264"/>
      <c r="C366" s="1080"/>
      <c r="D366" s="1080"/>
      <c r="E366" s="1080"/>
      <c r="F366" s="1080"/>
      <c r="G366" s="1080"/>
      <c r="H366" s="1080"/>
      <c r="I366" s="1080"/>
      <c r="J366" s="1080"/>
      <c r="K366" s="1080"/>
      <c r="L366" s="1080"/>
      <c r="M366" s="1080"/>
      <c r="N366" s="1080"/>
      <c r="O366" s="1080"/>
      <c r="P366" s="1080"/>
      <c r="Q366" s="1080"/>
      <c r="R366" s="1080"/>
      <c r="S366" s="1080"/>
      <c r="T366" s="1080"/>
      <c r="U366" s="1080"/>
      <c r="V366" s="1080"/>
      <c r="W366" s="1080"/>
      <c r="X366" s="1080"/>
      <c r="Y366" s="1080"/>
      <c r="Z366" s="1080"/>
      <c r="AA366" s="1080"/>
      <c r="AB366" s="1080"/>
      <c r="AC366" s="1080"/>
    </row>
    <row r="367" spans="1:29" ht="12" customHeight="1">
      <c r="A367" s="1264"/>
      <c r="B367" s="1264"/>
      <c r="C367" s="1080"/>
      <c r="D367" s="1080"/>
      <c r="E367" s="1080"/>
      <c r="F367" s="1080"/>
      <c r="G367" s="1080"/>
      <c r="H367" s="1080"/>
      <c r="I367" s="1080"/>
      <c r="J367" s="1080"/>
      <c r="K367" s="1080"/>
      <c r="L367" s="1080"/>
      <c r="M367" s="1080"/>
      <c r="N367" s="1080"/>
      <c r="O367" s="1080"/>
      <c r="P367" s="1080"/>
      <c r="Q367" s="1080"/>
      <c r="R367" s="1080"/>
      <c r="S367" s="1080"/>
      <c r="T367" s="1080"/>
      <c r="U367" s="1080"/>
      <c r="V367" s="1080"/>
      <c r="W367" s="1080"/>
      <c r="X367" s="1080"/>
      <c r="Y367" s="1080"/>
      <c r="Z367" s="1080"/>
      <c r="AA367" s="1080"/>
      <c r="AB367" s="1080"/>
      <c r="AC367" s="1080"/>
    </row>
    <row r="368" spans="1:29" ht="12" customHeight="1">
      <c r="A368" s="1264"/>
      <c r="B368" s="1264"/>
      <c r="C368" s="1080"/>
      <c r="D368" s="1080"/>
      <c r="E368" s="1080"/>
      <c r="F368" s="1080"/>
      <c r="G368" s="1080"/>
      <c r="H368" s="1080"/>
      <c r="I368" s="1080"/>
      <c r="J368" s="1080"/>
      <c r="K368" s="1080"/>
      <c r="L368" s="1080"/>
      <c r="M368" s="1080"/>
      <c r="N368" s="1080"/>
      <c r="O368" s="1080"/>
      <c r="P368" s="1080"/>
      <c r="Q368" s="1080"/>
      <c r="R368" s="1080"/>
      <c r="S368" s="1080"/>
      <c r="T368" s="1080"/>
      <c r="U368" s="1080"/>
      <c r="V368" s="1080"/>
      <c r="W368" s="1080"/>
      <c r="X368" s="1080"/>
      <c r="Y368" s="1080"/>
      <c r="Z368" s="1080"/>
      <c r="AA368" s="1080"/>
      <c r="AB368" s="1080"/>
      <c r="AC368" s="1080"/>
    </row>
    <row r="369" spans="1:29" ht="12" customHeight="1">
      <c r="A369" s="1264"/>
      <c r="B369" s="1264"/>
      <c r="C369" s="1080"/>
      <c r="D369" s="1080"/>
      <c r="E369" s="1080"/>
      <c r="F369" s="1080"/>
      <c r="G369" s="1080"/>
      <c r="H369" s="1080"/>
      <c r="I369" s="1080"/>
      <c r="J369" s="1080"/>
      <c r="K369" s="1080"/>
      <c r="L369" s="1080"/>
      <c r="M369" s="1080"/>
      <c r="N369" s="1080"/>
      <c r="O369" s="1080"/>
      <c r="P369" s="1080"/>
      <c r="Q369" s="1080"/>
      <c r="R369" s="1080"/>
      <c r="S369" s="1080"/>
      <c r="T369" s="1080"/>
      <c r="U369" s="1080"/>
      <c r="V369" s="1080"/>
      <c r="W369" s="1080"/>
      <c r="X369" s="1080"/>
      <c r="Y369" s="1080"/>
      <c r="Z369" s="1080"/>
      <c r="AA369" s="1080"/>
      <c r="AB369" s="1080"/>
      <c r="AC369" s="1080"/>
    </row>
    <row r="370" spans="1:29" ht="12" customHeight="1">
      <c r="A370" s="1264"/>
      <c r="B370" s="1264"/>
      <c r="C370" s="1080"/>
      <c r="D370" s="1080"/>
      <c r="E370" s="1080"/>
      <c r="F370" s="1080"/>
      <c r="G370" s="1080"/>
      <c r="H370" s="1080"/>
      <c r="I370" s="1080"/>
      <c r="J370" s="1080"/>
      <c r="K370" s="1080"/>
      <c r="L370" s="1080"/>
      <c r="M370" s="1080"/>
      <c r="N370" s="1080"/>
      <c r="O370" s="1080"/>
      <c r="P370" s="1080"/>
      <c r="Q370" s="1080"/>
      <c r="R370" s="1080"/>
      <c r="S370" s="1080"/>
      <c r="T370" s="1080"/>
      <c r="U370" s="1080"/>
      <c r="V370" s="1080"/>
      <c r="W370" s="1080"/>
      <c r="X370" s="1080"/>
      <c r="Y370" s="1080"/>
      <c r="Z370" s="1080"/>
      <c r="AA370" s="1080"/>
      <c r="AB370" s="1080"/>
      <c r="AC370" s="1080"/>
    </row>
    <row r="371" spans="1:29" ht="12" customHeight="1">
      <c r="A371" s="1264"/>
      <c r="B371" s="1264"/>
      <c r="C371" s="1080"/>
      <c r="D371" s="1080"/>
      <c r="E371" s="1080"/>
      <c r="F371" s="1080"/>
      <c r="G371" s="1080"/>
      <c r="H371" s="1080"/>
      <c r="I371" s="1080"/>
      <c r="J371" s="1080"/>
      <c r="K371" s="1080"/>
      <c r="L371" s="1080"/>
      <c r="M371" s="1080"/>
      <c r="N371" s="1080"/>
      <c r="O371" s="1080"/>
      <c r="P371" s="1080"/>
      <c r="Q371" s="1080"/>
      <c r="R371" s="1080"/>
      <c r="S371" s="1080"/>
      <c r="T371" s="1080"/>
      <c r="U371" s="1080"/>
      <c r="V371" s="1080"/>
      <c r="W371" s="1080"/>
      <c r="X371" s="1080"/>
      <c r="Y371" s="1080"/>
      <c r="Z371" s="1080"/>
      <c r="AA371" s="1080"/>
      <c r="AB371" s="1080"/>
      <c r="AC371" s="1080"/>
    </row>
    <row r="372" spans="1:29" ht="12" customHeight="1">
      <c r="A372" s="1264"/>
      <c r="B372" s="1264"/>
      <c r="C372" s="1080"/>
      <c r="D372" s="1080"/>
      <c r="E372" s="1080"/>
      <c r="F372" s="1080"/>
      <c r="G372" s="1080"/>
      <c r="H372" s="1080"/>
      <c r="I372" s="1080"/>
      <c r="J372" s="1080"/>
      <c r="K372" s="1080"/>
      <c r="L372" s="1080"/>
      <c r="M372" s="1080"/>
      <c r="N372" s="1080"/>
      <c r="O372" s="1080"/>
      <c r="P372" s="1080"/>
      <c r="Q372" s="1080"/>
      <c r="R372" s="1080"/>
      <c r="S372" s="1080"/>
      <c r="T372" s="1080"/>
      <c r="U372" s="1080"/>
      <c r="V372" s="1080"/>
      <c r="W372" s="1080"/>
      <c r="X372" s="1080"/>
      <c r="Y372" s="1080"/>
      <c r="Z372" s="1080"/>
      <c r="AA372" s="1080"/>
      <c r="AB372" s="1080"/>
      <c r="AC372" s="1080"/>
    </row>
    <row r="373" spans="1:29" ht="12" customHeight="1">
      <c r="A373" s="1264"/>
      <c r="B373" s="1264"/>
      <c r="C373" s="1080"/>
      <c r="D373" s="1080"/>
      <c r="E373" s="1080"/>
      <c r="F373" s="1080"/>
      <c r="G373" s="1080"/>
      <c r="H373" s="1080"/>
      <c r="I373" s="1080"/>
      <c r="J373" s="1080"/>
      <c r="K373" s="1080"/>
      <c r="L373" s="1080"/>
      <c r="M373" s="1080"/>
      <c r="N373" s="1080"/>
      <c r="O373" s="1080"/>
      <c r="P373" s="1080"/>
      <c r="Q373" s="1080"/>
      <c r="R373" s="1080"/>
      <c r="S373" s="1080"/>
      <c r="T373" s="1080"/>
      <c r="U373" s="1080"/>
      <c r="V373" s="1080"/>
      <c r="W373" s="1080"/>
      <c r="X373" s="1080"/>
      <c r="Y373" s="1080"/>
      <c r="Z373" s="1080"/>
      <c r="AA373" s="1080"/>
      <c r="AB373" s="1080"/>
      <c r="AC373" s="1080"/>
    </row>
    <row r="374" spans="1:29" ht="12" customHeight="1">
      <c r="A374" s="1264"/>
      <c r="B374" s="1264"/>
      <c r="C374" s="1080"/>
      <c r="D374" s="1080"/>
      <c r="E374" s="1080"/>
      <c r="F374" s="1080"/>
      <c r="G374" s="1080"/>
      <c r="H374" s="1080"/>
      <c r="I374" s="1080"/>
      <c r="J374" s="1080"/>
      <c r="K374" s="1080"/>
      <c r="L374" s="1080"/>
      <c r="M374" s="1080"/>
      <c r="N374" s="1080"/>
      <c r="O374" s="1080"/>
      <c r="P374" s="1080"/>
      <c r="Q374" s="1080"/>
      <c r="R374" s="1080"/>
      <c r="S374" s="1080"/>
      <c r="T374" s="1080"/>
      <c r="U374" s="1080"/>
      <c r="V374" s="1080"/>
      <c r="W374" s="1080"/>
      <c r="X374" s="1080"/>
      <c r="Y374" s="1080"/>
      <c r="Z374" s="1080"/>
      <c r="AA374" s="1080"/>
      <c r="AB374" s="1080"/>
      <c r="AC374" s="1080"/>
    </row>
    <row r="375" spans="1:29" ht="12" customHeight="1">
      <c r="A375" s="1264"/>
      <c r="B375" s="1264"/>
      <c r="C375" s="1080"/>
      <c r="D375" s="1080"/>
      <c r="E375" s="1080"/>
      <c r="F375" s="1080"/>
      <c r="G375" s="1080"/>
      <c r="H375" s="1080"/>
      <c r="I375" s="1080"/>
      <c r="J375" s="1080"/>
      <c r="K375" s="1080"/>
      <c r="L375" s="1080"/>
      <c r="M375" s="1080"/>
      <c r="N375" s="1080"/>
      <c r="O375" s="1080"/>
      <c r="P375" s="1080"/>
      <c r="Q375" s="1080"/>
      <c r="R375" s="1080"/>
      <c r="S375" s="1080"/>
      <c r="T375" s="1080"/>
      <c r="U375" s="1080"/>
      <c r="V375" s="1080"/>
      <c r="W375" s="1080"/>
      <c r="X375" s="1080"/>
      <c r="Y375" s="1080"/>
      <c r="Z375" s="1080"/>
      <c r="AA375" s="1080"/>
      <c r="AB375" s="1080"/>
      <c r="AC375" s="1080"/>
    </row>
    <row r="376" spans="1:29" ht="12" customHeight="1">
      <c r="A376" s="1264"/>
      <c r="B376" s="1264"/>
      <c r="C376" s="1080"/>
      <c r="D376" s="1080"/>
      <c r="E376" s="1080"/>
      <c r="F376" s="1080"/>
      <c r="G376" s="1080"/>
      <c r="H376" s="1080"/>
      <c r="I376" s="1080"/>
      <c r="J376" s="1080"/>
      <c r="K376" s="1080"/>
      <c r="L376" s="1080"/>
      <c r="M376" s="1080"/>
      <c r="N376" s="1080"/>
      <c r="O376" s="1080"/>
      <c r="P376" s="1080"/>
      <c r="Q376" s="1080"/>
      <c r="R376" s="1080"/>
      <c r="S376" s="1080"/>
      <c r="T376" s="1080"/>
      <c r="U376" s="1080"/>
      <c r="V376" s="1080"/>
      <c r="W376" s="1080"/>
      <c r="X376" s="1080"/>
      <c r="Y376" s="1080"/>
      <c r="Z376" s="1080"/>
      <c r="AA376" s="1080"/>
      <c r="AB376" s="1080"/>
      <c r="AC376" s="1080"/>
    </row>
    <row r="377" spans="1:29" ht="12" customHeight="1">
      <c r="A377" s="1264"/>
      <c r="B377" s="1264"/>
      <c r="C377" s="1080"/>
      <c r="D377" s="1080"/>
      <c r="E377" s="1080"/>
      <c r="F377" s="1080"/>
      <c r="G377" s="1080"/>
      <c r="H377" s="1080"/>
      <c r="I377" s="1080"/>
      <c r="J377" s="1080"/>
      <c r="K377" s="1080"/>
      <c r="L377" s="1080"/>
      <c r="M377" s="1080"/>
      <c r="N377" s="1080"/>
      <c r="O377" s="1080"/>
      <c r="P377" s="1080"/>
      <c r="Q377" s="1080"/>
      <c r="R377" s="1080"/>
      <c r="S377" s="1080"/>
      <c r="T377" s="1080"/>
      <c r="U377" s="1080"/>
      <c r="V377" s="1080"/>
      <c r="W377" s="1080"/>
      <c r="X377" s="1080"/>
      <c r="Y377" s="1080"/>
      <c r="Z377" s="1080"/>
      <c r="AA377" s="1080"/>
      <c r="AB377" s="1080"/>
      <c r="AC377" s="1080"/>
    </row>
    <row r="378" spans="1:29" ht="12" customHeight="1">
      <c r="A378" s="1264"/>
      <c r="B378" s="1264"/>
      <c r="C378" s="1080"/>
      <c r="D378" s="1080"/>
      <c r="E378" s="1080"/>
      <c r="F378" s="1080"/>
      <c r="G378" s="1080"/>
      <c r="H378" s="1080"/>
      <c r="I378" s="1080"/>
      <c r="J378" s="1080"/>
      <c r="K378" s="1080"/>
      <c r="L378" s="1080"/>
      <c r="M378" s="1080"/>
      <c r="N378" s="1080"/>
      <c r="O378" s="1080"/>
      <c r="P378" s="1080"/>
      <c r="Q378" s="1080"/>
      <c r="R378" s="1080"/>
      <c r="S378" s="1080"/>
      <c r="T378" s="1080"/>
      <c r="U378" s="1080"/>
      <c r="V378" s="1080"/>
      <c r="W378" s="1080"/>
      <c r="X378" s="1080"/>
      <c r="Y378" s="1080"/>
      <c r="Z378" s="1080"/>
      <c r="AA378" s="1080"/>
      <c r="AB378" s="1080"/>
      <c r="AC378" s="1080"/>
    </row>
    <row r="379" spans="1:29" ht="12" customHeight="1">
      <c r="A379" s="1264"/>
      <c r="B379" s="1264"/>
      <c r="C379" s="1080"/>
      <c r="D379" s="1080"/>
      <c r="E379" s="1080"/>
      <c r="F379" s="1080"/>
      <c r="G379" s="1080"/>
      <c r="H379" s="1080"/>
      <c r="I379" s="1080"/>
      <c r="J379" s="1080"/>
      <c r="K379" s="1080"/>
      <c r="L379" s="1080"/>
      <c r="M379" s="1080"/>
      <c r="N379" s="1080"/>
      <c r="O379" s="1080"/>
      <c r="P379" s="1080"/>
      <c r="Q379" s="1080"/>
      <c r="R379" s="1080"/>
      <c r="S379" s="1080"/>
      <c r="T379" s="1080"/>
      <c r="U379" s="1080"/>
      <c r="V379" s="1080"/>
      <c r="W379" s="1080"/>
      <c r="X379" s="1080"/>
      <c r="Y379" s="1080"/>
      <c r="Z379" s="1080"/>
      <c r="AA379" s="1080"/>
      <c r="AB379" s="1080"/>
      <c r="AC379" s="1080"/>
    </row>
    <row r="380" spans="1:29" ht="12" customHeight="1">
      <c r="A380" s="1264"/>
      <c r="B380" s="1264"/>
      <c r="C380" s="1080"/>
      <c r="D380" s="1080"/>
      <c r="E380" s="1080"/>
      <c r="F380" s="1080"/>
      <c r="G380" s="1080"/>
      <c r="H380" s="1080"/>
      <c r="I380" s="1080"/>
      <c r="J380" s="1080"/>
      <c r="K380" s="1080"/>
      <c r="L380" s="1080"/>
      <c r="M380" s="1080"/>
      <c r="N380" s="1080"/>
      <c r="O380" s="1080"/>
      <c r="P380" s="1080"/>
      <c r="Q380" s="1080"/>
      <c r="R380" s="1080"/>
      <c r="S380" s="1080"/>
      <c r="T380" s="1080"/>
      <c r="U380" s="1080"/>
      <c r="V380" s="1080"/>
      <c r="W380" s="1080"/>
      <c r="X380" s="1080"/>
      <c r="Y380" s="1080"/>
      <c r="Z380" s="1080"/>
      <c r="AA380" s="1080"/>
      <c r="AB380" s="1080"/>
      <c r="AC380" s="1080"/>
    </row>
    <row r="381" spans="1:29" ht="12" customHeight="1">
      <c r="A381" s="1264"/>
      <c r="B381" s="1264"/>
      <c r="C381" s="1080"/>
      <c r="D381" s="1080"/>
      <c r="E381" s="1080"/>
      <c r="F381" s="1080"/>
      <c r="G381" s="1080"/>
      <c r="H381" s="1080"/>
      <c r="I381" s="1080"/>
      <c r="J381" s="1080"/>
      <c r="K381" s="1080"/>
      <c r="L381" s="1080"/>
      <c r="M381" s="1080"/>
      <c r="N381" s="1080"/>
      <c r="O381" s="1080"/>
      <c r="P381" s="1080"/>
      <c r="Q381" s="1080"/>
      <c r="R381" s="1080"/>
      <c r="S381" s="1080"/>
      <c r="T381" s="1080"/>
      <c r="U381" s="1080"/>
      <c r="V381" s="1080"/>
      <c r="W381" s="1080"/>
      <c r="X381" s="1080"/>
      <c r="Y381" s="1080"/>
      <c r="Z381" s="1080"/>
      <c r="AA381" s="1080"/>
      <c r="AB381" s="1080"/>
      <c r="AC381" s="1080"/>
    </row>
    <row r="382" spans="1:29" ht="12" customHeight="1">
      <c r="A382" s="1264"/>
      <c r="B382" s="1264"/>
      <c r="C382" s="1080"/>
      <c r="D382" s="1080"/>
      <c r="E382" s="1080"/>
      <c r="F382" s="1080"/>
      <c r="G382" s="1080"/>
      <c r="H382" s="1080"/>
      <c r="I382" s="1080"/>
      <c r="J382" s="1080"/>
      <c r="K382" s="1080"/>
      <c r="L382" s="1080"/>
      <c r="M382" s="1080"/>
      <c r="N382" s="1080"/>
      <c r="O382" s="1080"/>
      <c r="P382" s="1080"/>
      <c r="Q382" s="1080"/>
      <c r="R382" s="1080"/>
      <c r="S382" s="1080"/>
      <c r="T382" s="1080"/>
      <c r="U382" s="1080"/>
      <c r="V382" s="1080"/>
      <c r="W382" s="1080"/>
      <c r="X382" s="1080"/>
      <c r="Y382" s="1080"/>
      <c r="Z382" s="1080"/>
      <c r="AA382" s="1080"/>
      <c r="AB382" s="1080"/>
      <c r="AC382" s="1080"/>
    </row>
    <row r="383" spans="1:29" ht="12" customHeight="1">
      <c r="A383" s="1264"/>
      <c r="B383" s="1264"/>
      <c r="C383" s="1080"/>
      <c r="D383" s="1080"/>
      <c r="E383" s="1080"/>
      <c r="F383" s="1080"/>
      <c r="G383" s="1080"/>
      <c r="H383" s="1080"/>
      <c r="I383" s="1080"/>
      <c r="J383" s="1080"/>
      <c r="K383" s="1080"/>
      <c r="L383" s="1080"/>
      <c r="M383" s="1080"/>
      <c r="N383" s="1080"/>
      <c r="O383" s="1080"/>
      <c r="P383" s="1080"/>
      <c r="Q383" s="1080"/>
      <c r="R383" s="1080"/>
      <c r="S383" s="1080"/>
      <c r="T383" s="1080"/>
      <c r="U383" s="1080"/>
      <c r="V383" s="1080"/>
      <c r="W383" s="1080"/>
      <c r="X383" s="1080"/>
      <c r="Y383" s="1080"/>
      <c r="Z383" s="1080"/>
      <c r="AA383" s="1080"/>
      <c r="AB383" s="1080"/>
      <c r="AC383" s="1080"/>
    </row>
    <row r="384" spans="1:29" ht="12" customHeight="1">
      <c r="A384" s="1264"/>
      <c r="B384" s="1264"/>
      <c r="C384" s="1080"/>
      <c r="D384" s="1080"/>
      <c r="E384" s="1080"/>
      <c r="F384" s="1080"/>
      <c r="G384" s="1080"/>
      <c r="H384" s="1080"/>
      <c r="I384" s="1080"/>
      <c r="J384" s="1080"/>
      <c r="K384" s="1080"/>
      <c r="L384" s="1080"/>
      <c r="M384" s="1080"/>
      <c r="N384" s="1080"/>
      <c r="O384" s="1080"/>
      <c r="P384" s="1080"/>
      <c r="Q384" s="1080"/>
      <c r="R384" s="1080"/>
      <c r="S384" s="1080"/>
      <c r="T384" s="1080"/>
      <c r="U384" s="1080"/>
      <c r="V384" s="1080"/>
      <c r="W384" s="1080"/>
      <c r="X384" s="1080"/>
      <c r="Y384" s="1080"/>
      <c r="Z384" s="1080"/>
      <c r="AA384" s="1080"/>
      <c r="AB384" s="1080"/>
      <c r="AC384" s="1080"/>
    </row>
    <row r="385" spans="1:29" ht="12" customHeight="1">
      <c r="A385" s="1264"/>
      <c r="B385" s="1264"/>
      <c r="C385" s="1080"/>
      <c r="D385" s="1080"/>
      <c r="E385" s="1080"/>
      <c r="F385" s="1080"/>
      <c r="G385" s="1080"/>
      <c r="H385" s="1080"/>
      <c r="I385" s="1080"/>
      <c r="J385" s="1080"/>
      <c r="K385" s="1080"/>
      <c r="L385" s="1080"/>
      <c r="M385" s="1080"/>
      <c r="N385" s="1080"/>
      <c r="O385" s="1080"/>
      <c r="P385" s="1080"/>
      <c r="Q385" s="1080"/>
      <c r="R385" s="1080"/>
      <c r="S385" s="1080"/>
      <c r="T385" s="1080"/>
      <c r="U385" s="1080"/>
      <c r="V385" s="1080"/>
      <c r="W385" s="1080"/>
      <c r="X385" s="1080"/>
      <c r="Y385" s="1080"/>
      <c r="Z385" s="1080"/>
      <c r="AA385" s="1080"/>
      <c r="AB385" s="1080"/>
      <c r="AC385" s="1080"/>
    </row>
    <row r="386" spans="1:29" ht="12" customHeight="1">
      <c r="A386" s="1264"/>
      <c r="B386" s="1264"/>
      <c r="C386" s="1080"/>
      <c r="D386" s="1080"/>
      <c r="E386" s="1080"/>
      <c r="F386" s="1080"/>
      <c r="G386" s="1080"/>
      <c r="H386" s="1080"/>
      <c r="I386" s="1080"/>
      <c r="J386" s="1080"/>
      <c r="K386" s="1080"/>
      <c r="L386" s="1080"/>
      <c r="M386" s="1080"/>
      <c r="N386" s="1080"/>
      <c r="O386" s="1080"/>
      <c r="P386" s="1080"/>
      <c r="Q386" s="1080"/>
      <c r="R386" s="1080"/>
      <c r="S386" s="1080"/>
      <c r="T386" s="1080"/>
      <c r="U386" s="1080"/>
      <c r="V386" s="1080"/>
      <c r="W386" s="1080"/>
      <c r="X386" s="1080"/>
      <c r="Y386" s="1080"/>
      <c r="Z386" s="1080"/>
      <c r="AA386" s="1080"/>
      <c r="AB386" s="1080"/>
      <c r="AC386" s="1080"/>
    </row>
    <row r="387" spans="1:29" ht="12" customHeight="1">
      <c r="A387" s="1264"/>
      <c r="B387" s="1264"/>
      <c r="C387" s="1080"/>
      <c r="D387" s="1080"/>
      <c r="E387" s="1080"/>
      <c r="F387" s="1080"/>
      <c r="G387" s="1080"/>
      <c r="H387" s="1080"/>
      <c r="I387" s="1080"/>
      <c r="J387" s="1080"/>
      <c r="K387" s="1080"/>
      <c r="L387" s="1080"/>
      <c r="M387" s="1080"/>
      <c r="N387" s="1080"/>
      <c r="O387" s="1080"/>
      <c r="P387" s="1080"/>
      <c r="Q387" s="1080"/>
      <c r="R387" s="1080"/>
      <c r="S387" s="1080"/>
      <c r="T387" s="1080"/>
      <c r="U387" s="1080"/>
      <c r="V387" s="1080"/>
      <c r="W387" s="1080"/>
      <c r="X387" s="1080"/>
      <c r="Y387" s="1080"/>
      <c r="Z387" s="1080"/>
      <c r="AA387" s="1080"/>
      <c r="AB387" s="1080"/>
      <c r="AC387" s="1080"/>
    </row>
    <row r="388" spans="1:29" ht="12" customHeight="1">
      <c r="A388" s="1264"/>
      <c r="B388" s="1264"/>
      <c r="C388" s="1080"/>
      <c r="D388" s="1080"/>
      <c r="E388" s="1080"/>
      <c r="F388" s="1080"/>
      <c r="G388" s="1080"/>
      <c r="H388" s="1080"/>
      <c r="I388" s="1080"/>
      <c r="J388" s="1080"/>
      <c r="K388" s="1080"/>
      <c r="L388" s="1080"/>
      <c r="M388" s="1080"/>
      <c r="N388" s="1080"/>
      <c r="O388" s="1080"/>
      <c r="P388" s="1080"/>
      <c r="Q388" s="1080"/>
      <c r="R388" s="1080"/>
      <c r="S388" s="1080"/>
      <c r="T388" s="1080"/>
      <c r="U388" s="1080"/>
      <c r="V388" s="1080"/>
      <c r="W388" s="1080"/>
      <c r="X388" s="1080"/>
      <c r="Y388" s="1080"/>
      <c r="Z388" s="1080"/>
      <c r="AA388" s="1080"/>
      <c r="AB388" s="1080"/>
      <c r="AC388" s="1080"/>
    </row>
    <row r="389" spans="1:29" ht="12" customHeight="1">
      <c r="A389" s="1264"/>
      <c r="B389" s="1264"/>
      <c r="C389" s="1080"/>
      <c r="D389" s="1080"/>
      <c r="E389" s="1080"/>
      <c r="F389" s="1080"/>
      <c r="G389" s="1080"/>
      <c r="H389" s="1080"/>
      <c r="I389" s="1080"/>
      <c r="J389" s="1080"/>
      <c r="K389" s="1080"/>
      <c r="L389" s="1080"/>
      <c r="M389" s="1080"/>
      <c r="N389" s="1080"/>
      <c r="O389" s="1080"/>
      <c r="P389" s="1080"/>
      <c r="Q389" s="1080"/>
      <c r="R389" s="1080"/>
      <c r="S389" s="1080"/>
      <c r="T389" s="1080"/>
      <c r="U389" s="1080"/>
      <c r="V389" s="1080"/>
      <c r="W389" s="1080"/>
      <c r="X389" s="1080"/>
      <c r="Y389" s="1080"/>
      <c r="Z389" s="1080"/>
      <c r="AA389" s="1080"/>
      <c r="AB389" s="1080"/>
      <c r="AC389" s="1080"/>
    </row>
    <row r="390" spans="1:29" ht="12" customHeight="1">
      <c r="A390" s="1264"/>
      <c r="B390" s="1264"/>
      <c r="C390" s="1080"/>
      <c r="D390" s="1080"/>
      <c r="E390" s="1080"/>
      <c r="F390" s="1080"/>
      <c r="G390" s="1080"/>
      <c r="H390" s="1080"/>
      <c r="I390" s="1080"/>
      <c r="J390" s="1080"/>
      <c r="K390" s="1080"/>
      <c r="L390" s="1080"/>
      <c r="M390" s="1080"/>
      <c r="N390" s="1080"/>
      <c r="O390" s="1080"/>
      <c r="P390" s="1080"/>
      <c r="Q390" s="1080"/>
      <c r="R390" s="1080"/>
      <c r="S390" s="1080"/>
      <c r="T390" s="1080"/>
      <c r="U390" s="1080"/>
      <c r="V390" s="1080"/>
      <c r="W390" s="1080"/>
      <c r="X390" s="1080"/>
      <c r="Y390" s="1080"/>
      <c r="Z390" s="1080"/>
      <c r="AA390" s="1080"/>
      <c r="AB390" s="1080"/>
      <c r="AC390" s="1080"/>
    </row>
    <row r="391" spans="1:29" ht="12" customHeight="1">
      <c r="A391" s="1264"/>
      <c r="B391" s="1264"/>
      <c r="C391" s="1080"/>
      <c r="D391" s="1080"/>
      <c r="E391" s="1080"/>
      <c r="F391" s="1080"/>
      <c r="G391" s="1080"/>
      <c r="H391" s="1080"/>
      <c r="I391" s="1080"/>
      <c r="J391" s="1080"/>
      <c r="K391" s="1080"/>
      <c r="L391" s="1080"/>
      <c r="M391" s="1080"/>
      <c r="N391" s="1080"/>
      <c r="O391" s="1080"/>
      <c r="P391" s="1080"/>
      <c r="Q391" s="1080"/>
      <c r="R391" s="1080"/>
      <c r="S391" s="1080"/>
      <c r="T391" s="1080"/>
      <c r="U391" s="1080"/>
      <c r="V391" s="1080"/>
      <c r="W391" s="1080"/>
      <c r="X391" s="1080"/>
      <c r="Y391" s="1080"/>
      <c r="Z391" s="1080"/>
      <c r="AA391" s="1080"/>
      <c r="AB391" s="1080"/>
      <c r="AC391" s="1080"/>
    </row>
    <row r="392" spans="1:29" ht="12" customHeight="1">
      <c r="A392" s="1264"/>
      <c r="B392" s="1264"/>
      <c r="C392" s="1080"/>
      <c r="D392" s="1080"/>
      <c r="E392" s="1080"/>
      <c r="F392" s="1080"/>
      <c r="G392" s="1080"/>
      <c r="H392" s="1080"/>
      <c r="I392" s="1080"/>
      <c r="J392" s="1080"/>
      <c r="K392" s="1080"/>
      <c r="L392" s="1080"/>
      <c r="M392" s="1080"/>
      <c r="N392" s="1080"/>
      <c r="O392" s="1080"/>
      <c r="P392" s="1080"/>
      <c r="Q392" s="1080"/>
      <c r="R392" s="1080"/>
      <c r="S392" s="1080"/>
      <c r="T392" s="1080"/>
      <c r="U392" s="1080"/>
      <c r="V392" s="1080"/>
      <c r="W392" s="1080"/>
      <c r="X392" s="1080"/>
      <c r="Y392" s="1080"/>
      <c r="Z392" s="1080"/>
      <c r="AA392" s="1080"/>
      <c r="AB392" s="1080"/>
      <c r="AC392" s="1080"/>
    </row>
    <row r="393" spans="1:29" ht="12" customHeight="1">
      <c r="A393" s="1264"/>
      <c r="B393" s="1264"/>
      <c r="C393" s="1080"/>
      <c r="D393" s="1080"/>
      <c r="E393" s="1080"/>
      <c r="F393" s="1080"/>
      <c r="G393" s="1080"/>
      <c r="H393" s="1080"/>
      <c r="I393" s="1080"/>
      <c r="J393" s="1080"/>
      <c r="K393" s="1080"/>
      <c r="L393" s="1080"/>
      <c r="M393" s="1080"/>
      <c r="N393" s="1080"/>
      <c r="O393" s="1080"/>
      <c r="P393" s="1080"/>
      <c r="Q393" s="1080"/>
      <c r="R393" s="1080"/>
      <c r="S393" s="1080"/>
      <c r="T393" s="1080"/>
      <c r="U393" s="1080"/>
      <c r="V393" s="1080"/>
      <c r="W393" s="1080"/>
      <c r="X393" s="1080"/>
      <c r="Y393" s="1080"/>
      <c r="Z393" s="1080"/>
      <c r="AA393" s="1080"/>
      <c r="AB393" s="1080"/>
      <c r="AC393" s="1080"/>
    </row>
    <row r="394" spans="1:29" ht="12" customHeight="1">
      <c r="A394" s="1264"/>
      <c r="B394" s="1264"/>
      <c r="C394" s="1080"/>
      <c r="D394" s="1080"/>
      <c r="E394" s="1080"/>
      <c r="F394" s="1080"/>
      <c r="G394" s="1080"/>
      <c r="H394" s="1080"/>
      <c r="I394" s="1080"/>
      <c r="J394" s="1080"/>
      <c r="K394" s="1080"/>
      <c r="L394" s="1080"/>
      <c r="M394" s="1080"/>
      <c r="N394" s="1080"/>
      <c r="O394" s="1080"/>
      <c r="P394" s="1080"/>
      <c r="Q394" s="1080"/>
      <c r="R394" s="1080"/>
      <c r="S394" s="1080"/>
      <c r="T394" s="1080"/>
      <c r="U394" s="1080"/>
      <c r="V394" s="1080"/>
      <c r="W394" s="1080"/>
      <c r="X394" s="1080"/>
      <c r="Y394" s="1080"/>
      <c r="Z394" s="1080"/>
      <c r="AA394" s="1080"/>
      <c r="AB394" s="1080"/>
      <c r="AC394" s="1080"/>
    </row>
    <row r="395" spans="1:29" ht="12" customHeight="1">
      <c r="A395" s="1264"/>
      <c r="B395" s="1264"/>
      <c r="C395" s="1080"/>
      <c r="D395" s="1080"/>
      <c r="E395" s="1080"/>
      <c r="F395" s="1080"/>
      <c r="G395" s="1080"/>
      <c r="H395" s="1080"/>
      <c r="I395" s="1080"/>
      <c r="J395" s="1080"/>
      <c r="K395" s="1080"/>
      <c r="L395" s="1080"/>
      <c r="M395" s="1080"/>
      <c r="N395" s="1080"/>
      <c r="O395" s="1080"/>
      <c r="P395" s="1080"/>
      <c r="Q395" s="1080"/>
      <c r="R395" s="1080"/>
      <c r="S395" s="1080"/>
      <c r="T395" s="1080"/>
      <c r="U395" s="1080"/>
      <c r="V395" s="1080"/>
      <c r="W395" s="1080"/>
      <c r="X395" s="1080"/>
      <c r="Y395" s="1080"/>
      <c r="Z395" s="1080"/>
      <c r="AA395" s="1080"/>
      <c r="AB395" s="1080"/>
      <c r="AC395" s="1080"/>
    </row>
    <row r="396" spans="1:29" ht="12" customHeight="1">
      <c r="A396" s="1264"/>
      <c r="B396" s="1264"/>
      <c r="C396" s="1080"/>
      <c r="D396" s="1080"/>
      <c r="E396" s="1080"/>
      <c r="F396" s="1080"/>
      <c r="G396" s="1080"/>
      <c r="H396" s="1080"/>
      <c r="I396" s="1080"/>
      <c r="J396" s="1080"/>
      <c r="K396" s="1080"/>
      <c r="L396" s="1080"/>
      <c r="M396" s="1080"/>
      <c r="N396" s="1080"/>
      <c r="O396" s="1080"/>
      <c r="P396" s="1080"/>
      <c r="Q396" s="1080"/>
      <c r="R396" s="1080"/>
      <c r="S396" s="1080"/>
      <c r="T396" s="1080"/>
      <c r="U396" s="1080"/>
      <c r="V396" s="1080"/>
      <c r="W396" s="1080"/>
      <c r="X396" s="1080"/>
      <c r="Y396" s="1080"/>
      <c r="Z396" s="1080"/>
      <c r="AA396" s="1080"/>
      <c r="AB396" s="1080"/>
      <c r="AC396" s="1080"/>
    </row>
    <row r="397" spans="1:29" ht="12" customHeight="1">
      <c r="A397" s="1264"/>
      <c r="B397" s="1264"/>
      <c r="C397" s="1080"/>
      <c r="D397" s="1080"/>
      <c r="E397" s="1080"/>
      <c r="F397" s="1080"/>
      <c r="G397" s="1080"/>
      <c r="H397" s="1080"/>
      <c r="I397" s="1080"/>
      <c r="J397" s="1080"/>
      <c r="K397" s="1080"/>
      <c r="L397" s="1080"/>
      <c r="M397" s="1080"/>
      <c r="N397" s="1080"/>
      <c r="O397" s="1080"/>
      <c r="P397" s="1080"/>
      <c r="Q397" s="1080"/>
      <c r="R397" s="1080"/>
      <c r="S397" s="1080"/>
      <c r="T397" s="1080"/>
      <c r="U397" s="1080"/>
      <c r="V397" s="1080"/>
      <c r="W397" s="1080"/>
      <c r="X397" s="1080"/>
      <c r="Y397" s="1080"/>
      <c r="Z397" s="1080"/>
      <c r="AA397" s="1080"/>
      <c r="AB397" s="1080"/>
      <c r="AC397" s="1080"/>
    </row>
    <row r="398" spans="1:29" ht="12" customHeight="1">
      <c r="A398" s="1264"/>
      <c r="B398" s="1264"/>
      <c r="C398" s="1080"/>
      <c r="D398" s="1080"/>
      <c r="E398" s="1080"/>
      <c r="F398" s="1080"/>
      <c r="G398" s="1080"/>
      <c r="H398" s="1080"/>
      <c r="I398" s="1080"/>
      <c r="J398" s="1080"/>
      <c r="K398" s="1080"/>
      <c r="L398" s="1080"/>
      <c r="M398" s="1080"/>
      <c r="N398" s="1080"/>
      <c r="O398" s="1080"/>
      <c r="P398" s="1080"/>
      <c r="Q398" s="1080"/>
      <c r="R398" s="1080"/>
      <c r="S398" s="1080"/>
      <c r="T398" s="1080"/>
      <c r="U398" s="1080"/>
      <c r="V398" s="1080"/>
      <c r="W398" s="1080"/>
      <c r="X398" s="1080"/>
      <c r="Y398" s="1080"/>
      <c r="Z398" s="1080"/>
      <c r="AA398" s="1080"/>
      <c r="AB398" s="1080"/>
      <c r="AC398" s="1080"/>
    </row>
    <row r="399" spans="1:29" ht="12" customHeight="1">
      <c r="A399" s="1264"/>
      <c r="B399" s="1264"/>
      <c r="C399" s="1080"/>
      <c r="D399" s="1080"/>
      <c r="E399" s="1080"/>
      <c r="F399" s="1080"/>
      <c r="G399" s="1080"/>
      <c r="H399" s="1080"/>
      <c r="I399" s="1080"/>
      <c r="J399" s="1080"/>
      <c r="K399" s="1080"/>
      <c r="L399" s="1080"/>
      <c r="M399" s="1080"/>
      <c r="N399" s="1080"/>
      <c r="O399" s="1080"/>
      <c r="P399" s="1080"/>
      <c r="Q399" s="1080"/>
      <c r="R399" s="1080"/>
      <c r="S399" s="1080"/>
      <c r="T399" s="1080"/>
      <c r="U399" s="1080"/>
      <c r="V399" s="1080"/>
      <c r="W399" s="1080"/>
      <c r="X399" s="1080"/>
      <c r="Y399" s="1080"/>
      <c r="Z399" s="1080"/>
      <c r="AA399" s="1080"/>
      <c r="AB399" s="1080"/>
      <c r="AC399" s="1080"/>
    </row>
    <row r="400" spans="1:29" ht="12" customHeight="1">
      <c r="A400" s="1264"/>
      <c r="B400" s="1264"/>
      <c r="C400" s="1080"/>
      <c r="D400" s="1080"/>
      <c r="E400" s="1080"/>
      <c r="F400" s="1080"/>
      <c r="G400" s="1080"/>
      <c r="H400" s="1080"/>
      <c r="I400" s="1080"/>
      <c r="J400" s="1080"/>
      <c r="K400" s="1080"/>
      <c r="L400" s="1080"/>
      <c r="M400" s="1080"/>
      <c r="N400" s="1080"/>
      <c r="O400" s="1080"/>
      <c r="P400" s="1080"/>
      <c r="Q400" s="1080"/>
      <c r="R400" s="1080"/>
      <c r="S400" s="1080"/>
      <c r="T400" s="1080"/>
      <c r="U400" s="1080"/>
      <c r="V400" s="1080"/>
      <c r="W400" s="1080"/>
      <c r="X400" s="1080"/>
      <c r="Y400" s="1080"/>
      <c r="Z400" s="1080"/>
      <c r="AA400" s="1080"/>
      <c r="AB400" s="1080"/>
      <c r="AC400" s="1080"/>
    </row>
    <row r="401" spans="1:29" ht="12" customHeight="1">
      <c r="A401" s="1264"/>
      <c r="B401" s="1264"/>
      <c r="C401" s="1080"/>
      <c r="D401" s="1080"/>
      <c r="E401" s="1080"/>
      <c r="F401" s="1080"/>
      <c r="G401" s="1080"/>
      <c r="H401" s="1080"/>
      <c r="I401" s="1080"/>
      <c r="J401" s="1080"/>
      <c r="K401" s="1080"/>
      <c r="L401" s="1080"/>
      <c r="M401" s="1080"/>
      <c r="N401" s="1080"/>
      <c r="O401" s="1080"/>
      <c r="P401" s="1080"/>
      <c r="Q401" s="1080"/>
      <c r="R401" s="1080"/>
      <c r="S401" s="1080"/>
      <c r="T401" s="1080"/>
      <c r="U401" s="1080"/>
      <c r="V401" s="1080"/>
      <c r="W401" s="1080"/>
      <c r="X401" s="1080"/>
      <c r="Y401" s="1080"/>
      <c r="Z401" s="1080"/>
      <c r="AA401" s="1080"/>
      <c r="AB401" s="1080"/>
      <c r="AC401" s="1080"/>
    </row>
    <row r="402" spans="1:29" ht="12" customHeight="1">
      <c r="A402" s="1264"/>
      <c r="B402" s="1264"/>
      <c r="C402" s="1080"/>
      <c r="D402" s="1080"/>
      <c r="E402" s="1080"/>
      <c r="F402" s="1080"/>
      <c r="G402" s="1080"/>
      <c r="H402" s="1080"/>
      <c r="I402" s="1080"/>
      <c r="J402" s="1080"/>
      <c r="K402" s="1080"/>
      <c r="L402" s="1080"/>
      <c r="M402" s="1080"/>
      <c r="N402" s="1080"/>
      <c r="O402" s="1080"/>
      <c r="P402" s="1080"/>
      <c r="Q402" s="1080"/>
      <c r="R402" s="1080"/>
      <c r="S402" s="1080"/>
      <c r="T402" s="1080"/>
      <c r="U402" s="1080"/>
      <c r="V402" s="1080"/>
      <c r="W402" s="1080"/>
      <c r="X402" s="1080"/>
      <c r="Y402" s="1080"/>
      <c r="Z402" s="1080"/>
      <c r="AA402" s="1080"/>
      <c r="AB402" s="1080"/>
      <c r="AC402" s="1080"/>
    </row>
    <row r="403" spans="1:29" ht="12" customHeight="1">
      <c r="A403" s="1264"/>
      <c r="B403" s="1264"/>
      <c r="C403" s="1080"/>
      <c r="D403" s="1080"/>
      <c r="E403" s="1080"/>
      <c r="F403" s="1080"/>
      <c r="G403" s="1080"/>
      <c r="H403" s="1080"/>
      <c r="I403" s="1080"/>
      <c r="J403" s="1080"/>
      <c r="K403" s="1080"/>
      <c r="L403" s="1080"/>
      <c r="M403" s="1080"/>
      <c r="N403" s="1080"/>
      <c r="O403" s="1080"/>
      <c r="P403" s="1080"/>
      <c r="Q403" s="1080"/>
      <c r="R403" s="1080"/>
      <c r="S403" s="1080"/>
      <c r="T403" s="1080"/>
      <c r="U403" s="1080"/>
      <c r="V403" s="1080"/>
      <c r="W403" s="1080"/>
      <c r="X403" s="1080"/>
      <c r="Y403" s="1080"/>
      <c r="Z403" s="1080"/>
      <c r="AA403" s="1080"/>
      <c r="AB403" s="1080"/>
      <c r="AC403" s="1080"/>
    </row>
    <row r="404" spans="1:29" ht="12" customHeight="1">
      <c r="A404" s="1264"/>
      <c r="B404" s="1264"/>
      <c r="C404" s="1080"/>
      <c r="D404" s="1080"/>
      <c r="E404" s="1080"/>
      <c r="F404" s="1080"/>
      <c r="G404" s="1080"/>
      <c r="H404" s="1080"/>
      <c r="I404" s="1080"/>
      <c r="J404" s="1080"/>
      <c r="K404" s="1080"/>
      <c r="L404" s="1080"/>
      <c r="M404" s="1080"/>
      <c r="N404" s="1080"/>
      <c r="O404" s="1080"/>
      <c r="P404" s="1080"/>
      <c r="Q404" s="1080"/>
      <c r="R404" s="1080"/>
      <c r="S404" s="1080"/>
      <c r="T404" s="1080"/>
      <c r="U404" s="1080"/>
      <c r="V404" s="1080"/>
      <c r="W404" s="1080"/>
      <c r="X404" s="1080"/>
      <c r="Y404" s="1080"/>
      <c r="Z404" s="1080"/>
      <c r="AA404" s="1080"/>
      <c r="AB404" s="1080"/>
      <c r="AC404" s="1080"/>
    </row>
    <row r="405" spans="1:29" ht="12" customHeight="1">
      <c r="A405" s="1264"/>
      <c r="B405" s="1264"/>
      <c r="C405" s="1080"/>
      <c r="D405" s="1080"/>
      <c r="E405" s="1080"/>
      <c r="F405" s="1080"/>
      <c r="G405" s="1080"/>
      <c r="H405" s="1080"/>
      <c r="I405" s="1080"/>
      <c r="J405" s="1080"/>
      <c r="K405" s="1080"/>
      <c r="L405" s="1080"/>
      <c r="M405" s="1080"/>
      <c r="N405" s="1080"/>
      <c r="O405" s="1080"/>
      <c r="P405" s="1080"/>
      <c r="Q405" s="1080"/>
      <c r="R405" s="1080"/>
      <c r="S405" s="1080"/>
      <c r="T405" s="1080"/>
      <c r="U405" s="1080"/>
      <c r="V405" s="1080"/>
      <c r="W405" s="1080"/>
      <c r="X405" s="1080"/>
      <c r="Y405" s="1080"/>
      <c r="Z405" s="1080"/>
      <c r="AA405" s="1080"/>
      <c r="AB405" s="1080"/>
      <c r="AC405" s="1080"/>
    </row>
    <row r="406" spans="1:29" ht="12" customHeight="1">
      <c r="A406" s="1264"/>
      <c r="B406" s="1264"/>
      <c r="C406" s="1080"/>
      <c r="D406" s="1080"/>
      <c r="E406" s="1080"/>
      <c r="F406" s="1080"/>
      <c r="G406" s="1080"/>
      <c r="H406" s="1080"/>
      <c r="I406" s="1080"/>
      <c r="J406" s="1080"/>
      <c r="K406" s="1080"/>
      <c r="L406" s="1080"/>
      <c r="M406" s="1080"/>
      <c r="N406" s="1080"/>
      <c r="O406" s="1080"/>
      <c r="P406" s="1080"/>
      <c r="Q406" s="1080"/>
      <c r="R406" s="1080"/>
      <c r="S406" s="1080"/>
      <c r="T406" s="1080"/>
      <c r="U406" s="1080"/>
      <c r="V406" s="1080"/>
      <c r="W406" s="1080"/>
      <c r="X406" s="1080"/>
      <c r="Y406" s="1080"/>
      <c r="Z406" s="1080"/>
      <c r="AA406" s="1080"/>
      <c r="AB406" s="1080"/>
      <c r="AC406" s="1080"/>
    </row>
    <row r="407" spans="1:29" ht="12" customHeight="1">
      <c r="A407" s="1264"/>
      <c r="B407" s="1264"/>
      <c r="C407" s="1080"/>
      <c r="D407" s="1080"/>
      <c r="E407" s="1080"/>
      <c r="F407" s="1080"/>
      <c r="G407" s="1080"/>
      <c r="H407" s="1080"/>
      <c r="I407" s="1080"/>
      <c r="J407" s="1080"/>
      <c r="K407" s="1080"/>
      <c r="L407" s="1080"/>
      <c r="M407" s="1080"/>
      <c r="N407" s="1080"/>
      <c r="O407" s="1080"/>
      <c r="P407" s="1080"/>
      <c r="Q407" s="1080"/>
      <c r="R407" s="1080"/>
      <c r="S407" s="1080"/>
      <c r="T407" s="1080"/>
      <c r="U407" s="1080"/>
      <c r="V407" s="1080"/>
      <c r="W407" s="1080"/>
      <c r="X407" s="1080"/>
      <c r="Y407" s="1080"/>
      <c r="Z407" s="1080"/>
      <c r="AA407" s="1080"/>
      <c r="AB407" s="1080"/>
      <c r="AC407" s="1080"/>
    </row>
    <row r="408" spans="1:29" ht="12" customHeight="1">
      <c r="A408" s="1264"/>
      <c r="B408" s="1264"/>
      <c r="C408" s="1080"/>
      <c r="D408" s="1080"/>
      <c r="E408" s="1080"/>
      <c r="F408" s="1080"/>
      <c r="G408" s="1080"/>
      <c r="H408" s="1080"/>
      <c r="I408" s="1080"/>
      <c r="J408" s="1080"/>
      <c r="K408" s="1080"/>
      <c r="L408" s="1080"/>
      <c r="M408" s="1080"/>
      <c r="N408" s="1080"/>
      <c r="O408" s="1080"/>
      <c r="P408" s="1080"/>
      <c r="Q408" s="1080"/>
      <c r="R408" s="1080"/>
      <c r="S408" s="1080"/>
      <c r="T408" s="1080"/>
      <c r="U408" s="1080"/>
      <c r="V408" s="1080"/>
      <c r="W408" s="1080"/>
      <c r="X408" s="1080"/>
      <c r="Y408" s="1080"/>
      <c r="Z408" s="1080"/>
      <c r="AA408" s="1080"/>
      <c r="AB408" s="1080"/>
      <c r="AC408" s="1080"/>
    </row>
    <row r="409" spans="1:29" ht="12" customHeight="1">
      <c r="A409" s="1264"/>
      <c r="B409" s="1264"/>
      <c r="C409" s="1080"/>
      <c r="D409" s="1080"/>
      <c r="E409" s="1080"/>
      <c r="F409" s="1080"/>
      <c r="G409" s="1080"/>
      <c r="H409" s="1080"/>
      <c r="I409" s="1080"/>
      <c r="J409" s="1080"/>
      <c r="K409" s="1080"/>
      <c r="L409" s="1080"/>
      <c r="M409" s="1080"/>
      <c r="N409" s="1080"/>
      <c r="O409" s="1080"/>
      <c r="P409" s="1080"/>
      <c r="Q409" s="1080"/>
      <c r="R409" s="1080"/>
      <c r="S409" s="1080"/>
      <c r="T409" s="1080"/>
      <c r="U409" s="1080"/>
      <c r="V409" s="1080"/>
      <c r="W409" s="1080"/>
      <c r="X409" s="1080"/>
      <c r="Y409" s="1080"/>
      <c r="Z409" s="1080"/>
      <c r="AA409" s="1080"/>
      <c r="AB409" s="1080"/>
      <c r="AC409" s="1080"/>
    </row>
    <row r="410" spans="1:29" ht="12" customHeight="1">
      <c r="A410" s="1264"/>
      <c r="B410" s="1264"/>
      <c r="C410" s="1080"/>
      <c r="D410" s="1080"/>
      <c r="E410" s="1080"/>
      <c r="F410" s="1080"/>
      <c r="G410" s="1080"/>
      <c r="H410" s="1080"/>
      <c r="I410" s="1080"/>
      <c r="J410" s="1080"/>
      <c r="K410" s="1080"/>
      <c r="L410" s="1080"/>
      <c r="M410" s="1080"/>
      <c r="N410" s="1080"/>
      <c r="O410" s="1080"/>
      <c r="P410" s="1080"/>
      <c r="Q410" s="1080"/>
      <c r="R410" s="1080"/>
      <c r="S410" s="1080"/>
      <c r="T410" s="1080"/>
      <c r="U410" s="1080"/>
      <c r="V410" s="1080"/>
      <c r="W410" s="1080"/>
      <c r="X410" s="1080"/>
      <c r="Y410" s="1080"/>
      <c r="Z410" s="1080"/>
      <c r="AA410" s="1080"/>
      <c r="AB410" s="1080"/>
      <c r="AC410" s="1080"/>
    </row>
    <row r="411" spans="1:29" ht="15.75" customHeight="1"/>
    <row r="412" spans="1:29" ht="15.75" customHeight="1"/>
    <row r="413" spans="1:29" ht="15.75" customHeight="1"/>
    <row r="414" spans="1:29" ht="15.75" customHeight="1"/>
    <row r="415" spans="1:29" ht="15.75" customHeight="1"/>
    <row r="416" spans="1:29"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J164" xr:uid="{00000000-0009-0000-0000-00001E000000}">
    <filterColumn colId="0">
      <filters>
        <filter val="Mexico"/>
      </filters>
    </filterColumn>
  </autoFilter>
  <pageMargins left="0.75" right="0.75" top="1" bottom="1" header="0" footer="0"/>
  <pageSetup orientation="landscape"/>
  <legacyDrawing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1072"/>
  <sheetViews>
    <sheetView workbookViewId="0"/>
  </sheetViews>
  <sheetFormatPr baseColWidth="10" defaultColWidth="14.44140625" defaultRowHeight="15" customHeight="1"/>
  <cols>
    <col min="1" max="1" width="16.88671875" customWidth="1"/>
    <col min="2" max="2" width="29" customWidth="1"/>
    <col min="3" max="6" width="10.6640625" customWidth="1"/>
  </cols>
  <sheetData>
    <row r="1" spans="1:4" ht="14.4">
      <c r="A1" s="12" t="s">
        <v>1009</v>
      </c>
      <c r="B1" s="1"/>
      <c r="C1" s="1"/>
      <c r="D1" s="12"/>
    </row>
    <row r="2" spans="1:4" ht="14.4">
      <c r="A2" s="12"/>
      <c r="B2" s="1"/>
      <c r="C2" s="1"/>
      <c r="D2" s="12"/>
    </row>
    <row r="3" spans="1:4" ht="14.4">
      <c r="A3" s="73" t="s">
        <v>1010</v>
      </c>
      <c r="B3" s="1"/>
      <c r="C3" s="12" t="s">
        <v>1011</v>
      </c>
      <c r="D3" s="1"/>
    </row>
    <row r="4" spans="1:4" ht="14.4">
      <c r="A4" s="1"/>
      <c r="B4" s="1"/>
      <c r="C4" s="1326" t="s">
        <v>1012</v>
      </c>
      <c r="D4" s="1"/>
    </row>
    <row r="5" spans="1:4" ht="14.4">
      <c r="A5" s="1327" t="s">
        <v>1013</v>
      </c>
      <c r="B5" s="1328" t="s">
        <v>1014</v>
      </c>
      <c r="C5" s="1"/>
      <c r="D5" s="1"/>
    </row>
    <row r="6" spans="1:4" ht="14.4">
      <c r="A6" s="1329">
        <v>44246</v>
      </c>
      <c r="B6" s="1330">
        <v>198</v>
      </c>
      <c r="C6" s="1"/>
      <c r="D6" s="1"/>
    </row>
    <row r="7" spans="1:4" ht="14.4">
      <c r="A7" s="1331">
        <v>44245</v>
      </c>
      <c r="B7" s="1330">
        <v>198</v>
      </c>
      <c r="C7" s="1"/>
      <c r="D7" s="1"/>
    </row>
    <row r="8" spans="1:4" ht="14.4">
      <c r="A8" s="1329">
        <v>44244</v>
      </c>
      <c r="B8" s="1330">
        <v>199</v>
      </c>
      <c r="C8" s="1"/>
      <c r="D8" s="1"/>
    </row>
    <row r="9" spans="1:4" ht="14.4">
      <c r="A9" s="1331">
        <v>44243</v>
      </c>
      <c r="B9" s="1330">
        <v>199</v>
      </c>
      <c r="C9" s="1"/>
      <c r="D9" s="1"/>
    </row>
    <row r="10" spans="1:4" ht="14.4">
      <c r="A10" s="1329">
        <v>44242</v>
      </c>
      <c r="B10" s="1330">
        <v>195</v>
      </c>
      <c r="C10" s="1"/>
      <c r="D10" s="1"/>
    </row>
    <row r="11" spans="1:4" ht="14.4">
      <c r="A11" s="1331">
        <v>44239</v>
      </c>
      <c r="B11" s="1330">
        <v>195</v>
      </c>
      <c r="C11" s="1"/>
      <c r="D11" s="1"/>
    </row>
    <row r="12" spans="1:4" ht="14.4">
      <c r="A12" s="1329">
        <v>44238</v>
      </c>
      <c r="B12" s="1330">
        <v>197</v>
      </c>
      <c r="C12" s="1"/>
      <c r="D12" s="1"/>
    </row>
    <row r="13" spans="1:4" ht="14.4">
      <c r="A13" s="1331">
        <v>44237</v>
      </c>
      <c r="B13" s="1330">
        <v>200</v>
      </c>
      <c r="C13" s="1"/>
      <c r="D13" s="1"/>
    </row>
    <row r="14" spans="1:4" ht="14.4">
      <c r="A14" s="1329">
        <v>44236</v>
      </c>
      <c r="B14" s="1330">
        <v>201</v>
      </c>
      <c r="C14" s="1"/>
      <c r="D14" s="1"/>
    </row>
    <row r="15" spans="1:4" ht="14.4">
      <c r="A15" s="1331">
        <v>44235</v>
      </c>
      <c r="B15" s="1330">
        <v>202</v>
      </c>
      <c r="C15" s="1"/>
      <c r="D15" s="1"/>
    </row>
    <row r="16" spans="1:4" ht="14.4">
      <c r="A16" s="1329">
        <v>44232</v>
      </c>
      <c r="B16" s="1330">
        <v>201</v>
      </c>
      <c r="C16" s="1"/>
      <c r="D16" s="1"/>
    </row>
    <row r="17" spans="1:2" ht="14.4">
      <c r="A17" s="1331">
        <v>44231</v>
      </c>
      <c r="B17" s="1330">
        <v>207</v>
      </c>
    </row>
    <row r="18" spans="1:2" ht="14.4">
      <c r="A18" s="1329">
        <v>44230</v>
      </c>
      <c r="B18" s="1330">
        <v>211</v>
      </c>
    </row>
    <row r="19" spans="1:2" ht="14.4">
      <c r="A19" s="1331">
        <v>44229</v>
      </c>
      <c r="B19" s="1330">
        <v>2010</v>
      </c>
    </row>
    <row r="20" spans="1:2" ht="14.4">
      <c r="A20" s="1329">
        <v>44228</v>
      </c>
      <c r="B20" s="1330">
        <v>213</v>
      </c>
    </row>
    <row r="21" spans="1:2" ht="15.75" customHeight="1">
      <c r="A21" s="1331">
        <v>44225</v>
      </c>
      <c r="B21" s="1330">
        <v>212</v>
      </c>
    </row>
    <row r="22" spans="1:2" ht="15.75" customHeight="1">
      <c r="A22" s="1329">
        <v>44224</v>
      </c>
      <c r="B22" s="1330">
        <v>214</v>
      </c>
    </row>
    <row r="23" spans="1:2" ht="15.75" customHeight="1">
      <c r="A23" s="1331">
        <v>44223</v>
      </c>
      <c r="B23" s="1330">
        <v>216</v>
      </c>
    </row>
    <row r="24" spans="1:2" ht="15.75" customHeight="1">
      <c r="A24" s="1329">
        <v>44222</v>
      </c>
      <c r="B24" s="1330">
        <v>212</v>
      </c>
    </row>
    <row r="25" spans="1:2" ht="15.75" customHeight="1">
      <c r="A25" s="1331">
        <v>44221</v>
      </c>
      <c r="B25" s="1330">
        <v>211</v>
      </c>
    </row>
    <row r="26" spans="1:2" ht="15.75" customHeight="1">
      <c r="A26" s="1329">
        <v>44218</v>
      </c>
      <c r="B26" s="1330">
        <v>207</v>
      </c>
    </row>
    <row r="27" spans="1:2" ht="15.75" customHeight="1">
      <c r="A27" s="1331">
        <v>44217</v>
      </c>
      <c r="B27" s="1330">
        <v>206</v>
      </c>
    </row>
    <row r="28" spans="1:2" ht="15.75" customHeight="1">
      <c r="A28" s="1329">
        <v>44216</v>
      </c>
      <c r="B28" s="1330">
        <v>208</v>
      </c>
    </row>
    <row r="29" spans="1:2" ht="15.75" customHeight="1">
      <c r="A29" s="1331">
        <v>44215</v>
      </c>
      <c r="B29" s="1330">
        <v>209</v>
      </c>
    </row>
    <row r="30" spans="1:2" ht="15.75" customHeight="1">
      <c r="A30" s="1329">
        <v>44214</v>
      </c>
      <c r="B30" s="1330">
        <v>208</v>
      </c>
    </row>
    <row r="31" spans="1:2" ht="15.75" customHeight="1">
      <c r="A31" s="1331">
        <v>44211</v>
      </c>
      <c r="B31" s="1330">
        <v>208</v>
      </c>
    </row>
    <row r="32" spans="1:2" ht="15.75" customHeight="1">
      <c r="A32" s="1329">
        <v>44210</v>
      </c>
      <c r="B32" s="1330">
        <v>204</v>
      </c>
    </row>
    <row r="33" spans="1:3" ht="15.75" customHeight="1">
      <c r="A33" s="1331">
        <v>44209</v>
      </c>
      <c r="B33" s="1330">
        <v>207</v>
      </c>
      <c r="C33" s="1"/>
    </row>
    <row r="34" spans="1:3" ht="15.75" customHeight="1">
      <c r="A34" s="1329">
        <v>44208</v>
      </c>
      <c r="B34" s="1330">
        <v>205</v>
      </c>
      <c r="C34" s="1"/>
    </row>
    <row r="35" spans="1:3" ht="15.75" customHeight="1">
      <c r="A35" s="1331">
        <v>44207</v>
      </c>
      <c r="B35" s="1330">
        <v>200</v>
      </c>
      <c r="C35" s="1"/>
    </row>
    <row r="36" spans="1:3" ht="15.75" customHeight="1">
      <c r="A36" s="1329">
        <v>44204</v>
      </c>
      <c r="B36" s="1330">
        <v>196</v>
      </c>
      <c r="C36" s="1"/>
    </row>
    <row r="37" spans="1:3" ht="15.75" customHeight="1">
      <c r="A37" s="1331">
        <v>44203</v>
      </c>
      <c r="B37" s="1330">
        <v>198</v>
      </c>
      <c r="C37" s="1"/>
    </row>
    <row r="38" spans="1:3" ht="15.75" customHeight="1">
      <c r="A38" s="1329">
        <v>44202</v>
      </c>
      <c r="B38" s="1330">
        <v>200</v>
      </c>
      <c r="C38" s="1"/>
    </row>
    <row r="39" spans="1:3" ht="15.75" customHeight="1">
      <c r="A39" s="1331">
        <v>44201</v>
      </c>
      <c r="B39" s="1330">
        <v>202</v>
      </c>
      <c r="C39" s="1"/>
    </row>
    <row r="40" spans="1:3" ht="15.75" customHeight="1">
      <c r="A40" s="1329">
        <v>44200</v>
      </c>
      <c r="B40" s="1330">
        <v>202</v>
      </c>
      <c r="C40" s="1"/>
    </row>
    <row r="41" spans="1:3" ht="15.75" customHeight="1">
      <c r="A41" s="1331">
        <v>44196</v>
      </c>
      <c r="B41" s="1330">
        <v>199</v>
      </c>
      <c r="C41" s="1"/>
    </row>
    <row r="42" spans="1:3" ht="15.75" customHeight="1">
      <c r="A42" s="1329">
        <v>44195</v>
      </c>
      <c r="B42" s="1330">
        <v>200</v>
      </c>
      <c r="C42" s="1326" t="s">
        <v>1012</v>
      </c>
    </row>
    <row r="43" spans="1:3" ht="15.75" customHeight="1">
      <c r="A43" s="1331">
        <v>44194</v>
      </c>
      <c r="B43" s="1330">
        <v>200</v>
      </c>
      <c r="C43" s="1"/>
    </row>
    <row r="44" spans="1:3" ht="15.75" customHeight="1">
      <c r="A44" s="1329">
        <v>44193</v>
      </c>
      <c r="B44" s="1330">
        <v>201</v>
      </c>
      <c r="C44" s="1"/>
    </row>
    <row r="45" spans="1:3" ht="15.75" customHeight="1">
      <c r="A45" s="1331">
        <v>44189</v>
      </c>
      <c r="B45" s="1330">
        <v>202</v>
      </c>
      <c r="C45" s="1"/>
    </row>
    <row r="46" spans="1:3" ht="15.75" customHeight="1">
      <c r="A46" s="1329">
        <v>44188</v>
      </c>
      <c r="B46" s="1330">
        <v>200</v>
      </c>
      <c r="C46" s="1"/>
    </row>
    <row r="47" spans="1:3" ht="15.75" customHeight="1">
      <c r="A47" s="1331">
        <v>44187</v>
      </c>
      <c r="B47" s="1330">
        <v>205</v>
      </c>
      <c r="C47" s="1"/>
    </row>
    <row r="48" spans="1:3" ht="15.75" customHeight="1">
      <c r="A48" s="1329">
        <v>44186</v>
      </c>
      <c r="B48" s="1330">
        <v>205</v>
      </c>
      <c r="C48" s="1"/>
    </row>
    <row r="49" spans="1:2" ht="15.75" customHeight="1">
      <c r="A49" s="1331">
        <v>44183</v>
      </c>
      <c r="B49" s="1330">
        <v>202</v>
      </c>
    </row>
    <row r="50" spans="1:2" ht="15.75" customHeight="1">
      <c r="A50" s="1329">
        <v>44182</v>
      </c>
      <c r="B50" s="1330">
        <v>202</v>
      </c>
    </row>
    <row r="51" spans="1:2" ht="15.75" customHeight="1">
      <c r="A51" s="1331">
        <v>44181</v>
      </c>
      <c r="B51" s="1330">
        <v>206</v>
      </c>
    </row>
    <row r="52" spans="1:2" ht="15.75" customHeight="1">
      <c r="A52" s="1329">
        <v>44180</v>
      </c>
      <c r="B52" s="1330">
        <v>209</v>
      </c>
    </row>
    <row r="53" spans="1:2" ht="15.75" customHeight="1">
      <c r="A53" s="1331">
        <v>44179</v>
      </c>
      <c r="B53" s="1330">
        <v>216</v>
      </c>
    </row>
    <row r="54" spans="1:2" ht="15.75" customHeight="1">
      <c r="A54" s="1329">
        <v>44176</v>
      </c>
      <c r="B54" s="1330">
        <v>217</v>
      </c>
    </row>
    <row r="55" spans="1:2" ht="15.75" customHeight="1">
      <c r="A55" s="1331">
        <v>44175</v>
      </c>
      <c r="B55" s="1330">
        <v>217</v>
      </c>
    </row>
    <row r="56" spans="1:2" ht="15.75" customHeight="1">
      <c r="A56" s="1329">
        <v>44174</v>
      </c>
      <c r="B56" s="1330">
        <v>216</v>
      </c>
    </row>
    <row r="57" spans="1:2" ht="15.75" customHeight="1">
      <c r="A57" s="1331">
        <v>44173</v>
      </c>
      <c r="B57" s="1330">
        <v>216</v>
      </c>
    </row>
    <row r="58" spans="1:2" ht="15.75" customHeight="1">
      <c r="A58" s="1329">
        <v>44172</v>
      </c>
      <c r="B58" s="1330">
        <v>213</v>
      </c>
    </row>
    <row r="59" spans="1:2" ht="15.75" customHeight="1">
      <c r="A59" s="1331">
        <v>44169</v>
      </c>
      <c r="B59" s="1330">
        <v>209</v>
      </c>
    </row>
    <row r="60" spans="1:2" ht="15.75" customHeight="1">
      <c r="A60" s="1329">
        <v>44168</v>
      </c>
      <c r="B60" s="1330">
        <v>214</v>
      </c>
    </row>
    <row r="61" spans="1:2" ht="15.75" customHeight="1">
      <c r="A61" s="1331">
        <v>44167</v>
      </c>
      <c r="B61" s="1330">
        <v>217</v>
      </c>
    </row>
    <row r="62" spans="1:2" ht="15.75" customHeight="1">
      <c r="A62" s="1329">
        <v>44166</v>
      </c>
      <c r="B62" s="1330">
        <v>219</v>
      </c>
    </row>
    <row r="63" spans="1:2" ht="15.75" customHeight="1">
      <c r="A63" s="1331">
        <v>44165</v>
      </c>
      <c r="B63" s="1330">
        <v>229</v>
      </c>
    </row>
    <row r="64" spans="1:2" ht="15.75" customHeight="1">
      <c r="A64" s="1329">
        <v>44162</v>
      </c>
      <c r="B64" s="1330">
        <v>229</v>
      </c>
    </row>
    <row r="65" spans="1:2" ht="15.75" customHeight="1">
      <c r="A65" s="1331">
        <v>44161</v>
      </c>
      <c r="B65" s="1330">
        <v>229</v>
      </c>
    </row>
    <row r="66" spans="1:2" ht="15.75" customHeight="1">
      <c r="A66" s="1329">
        <v>44160</v>
      </c>
      <c r="B66" s="1330">
        <v>229</v>
      </c>
    </row>
    <row r="67" spans="1:2" ht="15.75" customHeight="1">
      <c r="A67" s="1331">
        <v>44159</v>
      </c>
      <c r="B67" s="1330">
        <v>229</v>
      </c>
    </row>
    <row r="68" spans="1:2" ht="15.75" customHeight="1">
      <c r="A68" s="1329">
        <v>44158</v>
      </c>
      <c r="B68" s="1330">
        <v>230</v>
      </c>
    </row>
    <row r="69" spans="1:2" ht="15.75" customHeight="1">
      <c r="A69" s="1331">
        <v>44155</v>
      </c>
      <c r="B69" s="1330">
        <v>230</v>
      </c>
    </row>
    <row r="70" spans="1:2" ht="15.75" customHeight="1">
      <c r="A70" s="1329">
        <v>44154</v>
      </c>
      <c r="B70" s="1330">
        <v>229</v>
      </c>
    </row>
    <row r="71" spans="1:2" ht="15.75" customHeight="1">
      <c r="A71" s="1331">
        <v>44153</v>
      </c>
      <c r="B71" s="1330">
        <v>225</v>
      </c>
    </row>
    <row r="72" spans="1:2" ht="15.75" customHeight="1">
      <c r="A72" s="1329">
        <v>44152</v>
      </c>
      <c r="B72" s="1330">
        <v>225</v>
      </c>
    </row>
    <row r="73" spans="1:2" ht="15.75" customHeight="1">
      <c r="A73" s="1331">
        <v>44151</v>
      </c>
      <c r="B73" s="1330">
        <v>216</v>
      </c>
    </row>
    <row r="74" spans="1:2" ht="15.75" customHeight="1">
      <c r="A74" s="1329">
        <v>44148</v>
      </c>
      <c r="B74" s="1330">
        <v>217</v>
      </c>
    </row>
    <row r="75" spans="1:2" ht="15.75" customHeight="1">
      <c r="A75" s="1331">
        <v>44147</v>
      </c>
      <c r="B75" s="1330">
        <v>215</v>
      </c>
    </row>
    <row r="76" spans="1:2" ht="15.75" customHeight="1">
      <c r="A76" s="1329">
        <v>44146</v>
      </c>
      <c r="B76" s="1330">
        <v>208</v>
      </c>
    </row>
    <row r="77" spans="1:2" ht="15.75" customHeight="1">
      <c r="A77" s="1331">
        <v>44145</v>
      </c>
      <c r="B77" s="1330">
        <v>208</v>
      </c>
    </row>
    <row r="78" spans="1:2" ht="15.75" customHeight="1">
      <c r="A78" s="1329">
        <v>44144</v>
      </c>
      <c r="B78" s="1330">
        <v>209</v>
      </c>
    </row>
    <row r="79" spans="1:2" ht="15.75" customHeight="1">
      <c r="A79" s="1331">
        <v>44141</v>
      </c>
      <c r="B79" s="1330">
        <v>229</v>
      </c>
    </row>
    <row r="80" spans="1:2" ht="15.75" customHeight="1">
      <c r="A80" s="1329">
        <v>44140</v>
      </c>
      <c r="B80" s="1330">
        <v>234</v>
      </c>
    </row>
    <row r="81" spans="1:2" ht="15.75" customHeight="1">
      <c r="A81" s="1331">
        <v>44139</v>
      </c>
      <c r="B81" s="1330">
        <v>242</v>
      </c>
    </row>
    <row r="82" spans="1:2" ht="15.75" customHeight="1">
      <c r="A82" s="1329">
        <v>44138</v>
      </c>
      <c r="B82" s="1330">
        <v>251</v>
      </c>
    </row>
    <row r="83" spans="1:2" ht="15.75" customHeight="1">
      <c r="A83" s="1331">
        <v>44137</v>
      </c>
      <c r="B83" s="1330">
        <v>254</v>
      </c>
    </row>
    <row r="84" spans="1:2" ht="15.75" customHeight="1">
      <c r="A84" s="1329">
        <v>44134</v>
      </c>
      <c r="B84" s="1330">
        <v>253</v>
      </c>
    </row>
    <row r="85" spans="1:2" ht="15.75" customHeight="1">
      <c r="A85" s="1331">
        <v>44133</v>
      </c>
      <c r="B85" s="1330">
        <v>255</v>
      </c>
    </row>
    <row r="86" spans="1:2" ht="15.75" customHeight="1">
      <c r="A86" s="1329">
        <v>44132</v>
      </c>
      <c r="B86" s="1330">
        <v>256</v>
      </c>
    </row>
    <row r="87" spans="1:2" ht="15.75" customHeight="1">
      <c r="A87" s="1331">
        <v>44131</v>
      </c>
      <c r="B87" s="1330">
        <v>254</v>
      </c>
    </row>
    <row r="88" spans="1:2" ht="15.75" customHeight="1">
      <c r="A88" s="1329">
        <v>44130</v>
      </c>
      <c r="B88" s="1330">
        <v>256</v>
      </c>
    </row>
    <row r="89" spans="1:2" ht="15.75" customHeight="1">
      <c r="A89" s="1331">
        <v>44127</v>
      </c>
      <c r="B89" s="1330">
        <v>256</v>
      </c>
    </row>
    <row r="90" spans="1:2" ht="15.75" customHeight="1">
      <c r="A90" s="1329">
        <v>44126</v>
      </c>
      <c r="B90" s="1330">
        <v>254</v>
      </c>
    </row>
    <row r="91" spans="1:2" ht="15.75" customHeight="1">
      <c r="A91" s="1331">
        <v>44125</v>
      </c>
      <c r="B91" s="1330">
        <v>258</v>
      </c>
    </row>
    <row r="92" spans="1:2" ht="15.75" customHeight="1">
      <c r="A92" s="1329">
        <v>44124</v>
      </c>
      <c r="B92" s="1330">
        <v>252</v>
      </c>
    </row>
    <row r="93" spans="1:2" ht="15.75" customHeight="1">
      <c r="A93" s="1331">
        <v>44123</v>
      </c>
      <c r="B93" s="1330">
        <v>253</v>
      </c>
    </row>
    <row r="94" spans="1:2" ht="15.75" customHeight="1">
      <c r="A94" s="1329">
        <v>44120</v>
      </c>
      <c r="B94" s="1330">
        <v>251</v>
      </c>
    </row>
    <row r="95" spans="1:2" ht="15.75" customHeight="1">
      <c r="A95" s="1331">
        <v>44119</v>
      </c>
      <c r="B95" s="1330">
        <v>251</v>
      </c>
    </row>
    <row r="96" spans="1:2" ht="15.75" customHeight="1">
      <c r="A96" s="1329">
        <v>44118</v>
      </c>
      <c r="B96" s="1330">
        <v>252</v>
      </c>
    </row>
    <row r="97" spans="1:2" ht="15.75" customHeight="1">
      <c r="A97" s="1331">
        <v>44117</v>
      </c>
      <c r="B97" s="1330">
        <v>257</v>
      </c>
    </row>
    <row r="98" spans="1:2" ht="15.75" customHeight="1">
      <c r="A98" s="1329">
        <v>44116</v>
      </c>
      <c r="B98" s="1330">
        <v>258</v>
      </c>
    </row>
    <row r="99" spans="1:2" ht="15.75" customHeight="1">
      <c r="A99" s="1331">
        <v>44113</v>
      </c>
      <c r="B99" s="1330">
        <v>257</v>
      </c>
    </row>
    <row r="100" spans="1:2" ht="15.75" customHeight="1">
      <c r="A100" s="1329">
        <v>44112</v>
      </c>
      <c r="B100" s="1330">
        <v>259</v>
      </c>
    </row>
    <row r="101" spans="1:2" ht="15.75" customHeight="1">
      <c r="A101" s="1331">
        <v>44111</v>
      </c>
      <c r="B101" s="1330">
        <v>263</v>
      </c>
    </row>
    <row r="102" spans="1:2" ht="15.75" customHeight="1">
      <c r="A102" s="1329">
        <v>44110</v>
      </c>
      <c r="B102" s="1330">
        <v>270</v>
      </c>
    </row>
    <row r="103" spans="1:2" ht="15.75" customHeight="1">
      <c r="A103" s="1331">
        <v>44109</v>
      </c>
      <c r="B103" s="1330">
        <v>268</v>
      </c>
    </row>
    <row r="104" spans="1:2" ht="15.75" customHeight="1">
      <c r="A104" s="1329">
        <v>44106</v>
      </c>
      <c r="B104" s="1330">
        <v>276</v>
      </c>
    </row>
    <row r="105" spans="1:2" ht="15.75" customHeight="1">
      <c r="A105" s="1331">
        <v>44105</v>
      </c>
      <c r="B105" s="1330">
        <v>280</v>
      </c>
    </row>
    <row r="106" spans="1:2" ht="15.75" customHeight="1">
      <c r="A106" s="1329">
        <v>44104</v>
      </c>
      <c r="B106" s="1330">
        <v>279</v>
      </c>
    </row>
    <row r="107" spans="1:2" ht="15.75" customHeight="1">
      <c r="A107" s="1331">
        <v>44103</v>
      </c>
      <c r="B107" s="1330">
        <v>287</v>
      </c>
    </row>
    <row r="108" spans="1:2" ht="15.75" customHeight="1">
      <c r="A108" s="1329">
        <v>44102</v>
      </c>
      <c r="B108" s="1330">
        <v>285</v>
      </c>
    </row>
    <row r="109" spans="1:2" ht="15.75" customHeight="1">
      <c r="A109" s="1331">
        <v>44099</v>
      </c>
      <c r="B109" s="1330">
        <v>289</v>
      </c>
    </row>
    <row r="110" spans="1:2" ht="15.75" customHeight="1">
      <c r="A110" s="1329">
        <v>44098</v>
      </c>
      <c r="B110" s="1330">
        <v>295</v>
      </c>
    </row>
    <row r="111" spans="1:2" ht="15.75" customHeight="1">
      <c r="A111" s="1331">
        <v>44097</v>
      </c>
      <c r="B111" s="1330">
        <v>297</v>
      </c>
    </row>
    <row r="112" spans="1:2" ht="15.75" customHeight="1">
      <c r="A112" s="1329">
        <v>44096</v>
      </c>
      <c r="B112" s="1330">
        <v>284</v>
      </c>
    </row>
    <row r="113" spans="1:2" ht="15.75" customHeight="1">
      <c r="A113" s="1331">
        <v>44095</v>
      </c>
      <c r="B113" s="1330">
        <v>280</v>
      </c>
    </row>
    <row r="114" spans="1:2" ht="15.75" customHeight="1">
      <c r="A114" s="1329">
        <v>44092</v>
      </c>
      <c r="B114" s="1330">
        <v>267</v>
      </c>
    </row>
    <row r="115" spans="1:2" ht="15.75" customHeight="1">
      <c r="A115" s="1331">
        <v>44091</v>
      </c>
      <c r="B115" s="1330">
        <v>266</v>
      </c>
    </row>
    <row r="116" spans="1:2" ht="15.75" customHeight="1">
      <c r="A116" s="1329">
        <v>44090</v>
      </c>
      <c r="B116" s="1330">
        <v>262</v>
      </c>
    </row>
    <row r="117" spans="1:2" ht="15.75" customHeight="1">
      <c r="A117" s="1331">
        <v>44089</v>
      </c>
      <c r="B117" s="1330">
        <v>264</v>
      </c>
    </row>
    <row r="118" spans="1:2" ht="15.75" customHeight="1">
      <c r="A118" s="1329">
        <v>44088</v>
      </c>
      <c r="B118" s="1330">
        <v>268</v>
      </c>
    </row>
    <row r="119" spans="1:2" ht="15.75" customHeight="1">
      <c r="A119" s="1331">
        <v>44085</v>
      </c>
      <c r="B119" s="1330">
        <v>270</v>
      </c>
    </row>
    <row r="120" spans="1:2" ht="15.75" customHeight="1">
      <c r="A120" s="1329">
        <v>44084</v>
      </c>
      <c r="B120" s="1330">
        <v>267</v>
      </c>
    </row>
    <row r="121" spans="1:2" ht="15.75" customHeight="1">
      <c r="A121" s="1331">
        <v>44083</v>
      </c>
      <c r="B121" s="1330">
        <v>266</v>
      </c>
    </row>
    <row r="122" spans="1:2" ht="15.75" customHeight="1">
      <c r="A122" s="1329">
        <v>44082</v>
      </c>
      <c r="B122" s="1330">
        <v>270</v>
      </c>
    </row>
    <row r="123" spans="1:2" ht="15.75" customHeight="1">
      <c r="A123" s="1331">
        <v>44081</v>
      </c>
      <c r="B123" s="1330">
        <v>262</v>
      </c>
    </row>
    <row r="124" spans="1:2" ht="15.75" customHeight="1">
      <c r="A124" s="1329">
        <v>44078</v>
      </c>
      <c r="B124" s="1330">
        <v>262</v>
      </c>
    </row>
    <row r="125" spans="1:2" ht="15.75" customHeight="1">
      <c r="A125" s="1331">
        <v>44077</v>
      </c>
      <c r="B125" s="1330">
        <v>267</v>
      </c>
    </row>
    <row r="126" spans="1:2" ht="15.75" customHeight="1">
      <c r="A126" s="1329">
        <v>44076</v>
      </c>
      <c r="B126" s="1330">
        <v>256</v>
      </c>
    </row>
    <row r="127" spans="1:2" ht="15.75" customHeight="1">
      <c r="A127" s="1331">
        <v>44075</v>
      </c>
      <c r="B127" s="1330">
        <v>257</v>
      </c>
    </row>
    <row r="128" spans="1:2" ht="15.75" customHeight="1">
      <c r="A128" s="1329">
        <v>44074</v>
      </c>
      <c r="B128" s="1330">
        <v>261</v>
      </c>
    </row>
    <row r="129" spans="1:2" ht="15.75" customHeight="1">
      <c r="A129" s="1331">
        <v>44071</v>
      </c>
      <c r="B129" s="1330">
        <v>262</v>
      </c>
    </row>
    <row r="130" spans="1:2" ht="15.75" customHeight="1">
      <c r="A130" s="1329">
        <v>44070</v>
      </c>
      <c r="B130" s="1330">
        <v>266</v>
      </c>
    </row>
    <row r="131" spans="1:2" ht="15.75" customHeight="1">
      <c r="A131" s="1331">
        <v>44069</v>
      </c>
      <c r="B131" s="1330">
        <v>270</v>
      </c>
    </row>
    <row r="132" spans="1:2" ht="15.75" customHeight="1">
      <c r="A132" s="1329">
        <v>44068</v>
      </c>
      <c r="B132" s="1330">
        <v>269</v>
      </c>
    </row>
    <row r="133" spans="1:2" ht="15.75" customHeight="1">
      <c r="A133" s="1331">
        <v>44067</v>
      </c>
      <c r="B133" s="1330">
        <v>268</v>
      </c>
    </row>
    <row r="134" spans="1:2" ht="15.75" customHeight="1">
      <c r="A134" s="1329">
        <v>44064</v>
      </c>
      <c r="B134" s="1330">
        <v>272</v>
      </c>
    </row>
    <row r="135" spans="1:2" ht="15.75" customHeight="1">
      <c r="A135" s="1331">
        <v>44063</v>
      </c>
      <c r="B135" s="1330">
        <v>274</v>
      </c>
    </row>
    <row r="136" spans="1:2" ht="15.75" customHeight="1">
      <c r="A136" s="1329">
        <v>44062</v>
      </c>
      <c r="B136" s="1330">
        <v>269</v>
      </c>
    </row>
    <row r="137" spans="1:2" ht="15.75" customHeight="1">
      <c r="A137" s="1331">
        <v>44061</v>
      </c>
      <c r="B137" s="1330">
        <v>269</v>
      </c>
    </row>
    <row r="138" spans="1:2" ht="15.75" customHeight="1">
      <c r="A138" s="1329">
        <v>44060</v>
      </c>
      <c r="B138" s="1330">
        <v>266</v>
      </c>
    </row>
    <row r="139" spans="1:2" ht="15.75" customHeight="1">
      <c r="A139" s="1331">
        <v>44057</v>
      </c>
      <c r="B139" s="1330">
        <v>264</v>
      </c>
    </row>
    <row r="140" spans="1:2" ht="15.75" customHeight="1">
      <c r="A140" s="1329">
        <v>44056</v>
      </c>
      <c r="B140" s="1330">
        <v>259</v>
      </c>
    </row>
    <row r="141" spans="1:2" ht="15.75" customHeight="1">
      <c r="A141" s="1331">
        <v>44055</v>
      </c>
      <c r="B141" s="1330">
        <v>258</v>
      </c>
    </row>
    <row r="142" spans="1:2" ht="15.75" customHeight="1">
      <c r="A142" s="1329">
        <v>44054</v>
      </c>
      <c r="B142" s="1330">
        <v>255</v>
      </c>
    </row>
    <row r="143" spans="1:2" ht="15.75" customHeight="1">
      <c r="A143" s="1331">
        <v>44053</v>
      </c>
      <c r="B143" s="1330">
        <v>260</v>
      </c>
    </row>
    <row r="144" spans="1:2" ht="15.75" customHeight="1">
      <c r="A144" s="1329">
        <v>44050</v>
      </c>
      <c r="B144" s="1330">
        <v>264</v>
      </c>
    </row>
    <row r="145" spans="1:2" ht="15.75" customHeight="1">
      <c r="A145" s="1331">
        <v>44049</v>
      </c>
      <c r="B145" s="1330">
        <v>266</v>
      </c>
    </row>
    <row r="146" spans="1:2" ht="15.75" customHeight="1">
      <c r="A146" s="1329">
        <v>44048</v>
      </c>
      <c r="B146" s="1330">
        <v>272</v>
      </c>
    </row>
    <row r="147" spans="1:2" ht="15.75" customHeight="1">
      <c r="A147" s="1331">
        <v>44047</v>
      </c>
      <c r="B147" s="1330">
        <v>285</v>
      </c>
    </row>
    <row r="148" spans="1:2" ht="15.75" customHeight="1">
      <c r="A148" s="1329">
        <v>44046</v>
      </c>
      <c r="B148" s="1330">
        <v>281</v>
      </c>
    </row>
    <row r="149" spans="1:2" ht="15.75" customHeight="1">
      <c r="A149" s="1331">
        <v>44043</v>
      </c>
      <c r="B149" s="1330">
        <v>294</v>
      </c>
    </row>
    <row r="150" spans="1:2" ht="15.75" customHeight="1">
      <c r="A150" s="1329">
        <v>44042</v>
      </c>
      <c r="B150" s="1330">
        <v>288</v>
      </c>
    </row>
    <row r="151" spans="1:2" ht="15.75" customHeight="1">
      <c r="A151" s="1331">
        <v>44041</v>
      </c>
      <c r="B151" s="1330">
        <v>286</v>
      </c>
    </row>
    <row r="152" spans="1:2" ht="15.75" customHeight="1">
      <c r="A152" s="1329">
        <v>44040</v>
      </c>
      <c r="B152" s="1330">
        <v>295</v>
      </c>
    </row>
    <row r="153" spans="1:2" ht="15.75" customHeight="1">
      <c r="A153" s="1331">
        <v>44039</v>
      </c>
      <c r="B153" s="1330">
        <v>292</v>
      </c>
    </row>
    <row r="154" spans="1:2" ht="15.75" customHeight="1">
      <c r="A154" s="1329">
        <v>44036</v>
      </c>
      <c r="B154" s="1330">
        <v>294</v>
      </c>
    </row>
    <row r="155" spans="1:2" ht="15.75" customHeight="1">
      <c r="A155" s="1331">
        <v>44035</v>
      </c>
      <c r="B155" s="1330">
        <v>291</v>
      </c>
    </row>
    <row r="156" spans="1:2" ht="15.75" customHeight="1">
      <c r="A156" s="1329">
        <v>44034</v>
      </c>
      <c r="B156" s="1330">
        <v>276</v>
      </c>
    </row>
    <row r="157" spans="1:2" ht="15.75" customHeight="1">
      <c r="A157" s="1331">
        <v>44033</v>
      </c>
      <c r="B157" s="1330">
        <v>278</v>
      </c>
    </row>
    <row r="158" spans="1:2" ht="15.75" customHeight="1">
      <c r="A158" s="1329">
        <v>44032</v>
      </c>
      <c r="B158" s="1330">
        <v>284</v>
      </c>
    </row>
    <row r="159" spans="1:2" ht="15.75" customHeight="1">
      <c r="A159" s="1331">
        <v>44029</v>
      </c>
      <c r="B159" s="1330">
        <v>294</v>
      </c>
    </row>
    <row r="160" spans="1:2" ht="15.75" customHeight="1">
      <c r="A160" s="1329">
        <v>44028</v>
      </c>
      <c r="B160" s="1330">
        <v>302</v>
      </c>
    </row>
    <row r="161" spans="1:2" ht="15.75" customHeight="1">
      <c r="A161" s="1331">
        <v>44027</v>
      </c>
      <c r="B161" s="1330">
        <v>302</v>
      </c>
    </row>
    <row r="162" spans="1:2" ht="15.75" customHeight="1">
      <c r="A162" s="1329">
        <v>44026</v>
      </c>
      <c r="B162" s="1330">
        <v>310</v>
      </c>
    </row>
    <row r="163" spans="1:2" ht="15.75" customHeight="1">
      <c r="A163" s="1331">
        <v>44025</v>
      </c>
      <c r="B163" s="1330">
        <v>306</v>
      </c>
    </row>
    <row r="164" spans="1:2" ht="15.75" customHeight="1">
      <c r="A164" s="1329">
        <v>44022</v>
      </c>
      <c r="B164" s="1330">
        <v>309</v>
      </c>
    </row>
    <row r="165" spans="1:2" ht="15.75" customHeight="1">
      <c r="A165" s="1331">
        <v>44021</v>
      </c>
      <c r="B165" s="1330">
        <v>312</v>
      </c>
    </row>
    <row r="166" spans="1:2" ht="15.75" customHeight="1">
      <c r="A166" s="1329">
        <v>44020</v>
      </c>
      <c r="B166" s="1330">
        <v>302</v>
      </c>
    </row>
    <row r="167" spans="1:2" ht="15.75" customHeight="1">
      <c r="A167" s="1331">
        <v>44019</v>
      </c>
      <c r="B167" s="1330">
        <v>302</v>
      </c>
    </row>
    <row r="168" spans="1:2" ht="15.75" customHeight="1">
      <c r="A168" s="1329">
        <v>44018</v>
      </c>
      <c r="B168" s="1330">
        <v>297</v>
      </c>
    </row>
    <row r="169" spans="1:2" ht="15.75" customHeight="1">
      <c r="A169" s="1331">
        <v>44015</v>
      </c>
      <c r="B169" s="1330">
        <v>303</v>
      </c>
    </row>
    <row r="170" spans="1:2" ht="15.75" customHeight="1">
      <c r="A170" s="1329">
        <v>44014</v>
      </c>
      <c r="B170" s="1330">
        <v>303</v>
      </c>
    </row>
    <row r="171" spans="1:2" ht="15.75" customHeight="1">
      <c r="A171" s="1331">
        <v>44013</v>
      </c>
      <c r="B171" s="1330">
        <v>308</v>
      </c>
    </row>
    <row r="172" spans="1:2" ht="15.75" customHeight="1">
      <c r="A172" s="1329">
        <v>44012</v>
      </c>
      <c r="B172" s="1330">
        <v>312</v>
      </c>
    </row>
    <row r="173" spans="1:2" ht="15.75" customHeight="1">
      <c r="A173" s="1331">
        <v>44011</v>
      </c>
      <c r="B173" s="1330">
        <v>318</v>
      </c>
    </row>
    <row r="174" spans="1:2" ht="15.75" customHeight="1">
      <c r="A174" s="1329">
        <v>44008</v>
      </c>
      <c r="B174" s="1330">
        <v>318</v>
      </c>
    </row>
    <row r="175" spans="1:2" ht="15.75" customHeight="1">
      <c r="A175" s="1331">
        <v>44007</v>
      </c>
      <c r="B175" s="1330">
        <v>311</v>
      </c>
    </row>
    <row r="176" spans="1:2" ht="15.75" customHeight="1">
      <c r="A176" s="1329">
        <v>44006</v>
      </c>
      <c r="B176" s="1330">
        <v>310</v>
      </c>
    </row>
    <row r="177" spans="1:2" ht="15.75" customHeight="1">
      <c r="A177" s="1331">
        <v>44005</v>
      </c>
      <c r="B177" s="1330">
        <v>308</v>
      </c>
    </row>
    <row r="178" spans="1:2" ht="15.75" customHeight="1">
      <c r="A178" s="1329">
        <v>44004</v>
      </c>
      <c r="B178" s="1330">
        <v>308</v>
      </c>
    </row>
    <row r="179" spans="1:2" ht="15.75" customHeight="1">
      <c r="A179" s="1331">
        <v>44001</v>
      </c>
      <c r="B179" s="1330">
        <v>304</v>
      </c>
    </row>
    <row r="180" spans="1:2" ht="15.75" customHeight="1">
      <c r="A180" s="1329">
        <v>44000</v>
      </c>
      <c r="B180" s="1330">
        <v>304</v>
      </c>
    </row>
    <row r="181" spans="1:2" ht="15.75" customHeight="1">
      <c r="A181" s="1331">
        <v>43999</v>
      </c>
      <c r="B181" s="1330">
        <v>302</v>
      </c>
    </row>
    <row r="182" spans="1:2" ht="15.75" customHeight="1">
      <c r="A182" s="1329">
        <v>43998</v>
      </c>
      <c r="B182" s="1330">
        <v>300</v>
      </c>
    </row>
    <row r="183" spans="1:2" ht="15.75" customHeight="1">
      <c r="A183" s="1331">
        <v>43997</v>
      </c>
      <c r="B183" s="1330">
        <v>316</v>
      </c>
    </row>
    <row r="184" spans="1:2" ht="15.75" customHeight="1">
      <c r="A184" s="1329">
        <v>43994</v>
      </c>
      <c r="B184" s="1330">
        <v>315</v>
      </c>
    </row>
    <row r="185" spans="1:2" ht="15.75" customHeight="1">
      <c r="A185" s="1331">
        <v>43993</v>
      </c>
      <c r="B185" s="1330">
        <v>318</v>
      </c>
    </row>
    <row r="186" spans="1:2" ht="15.75" customHeight="1">
      <c r="A186" s="1329">
        <v>43992</v>
      </c>
      <c r="B186" s="1330">
        <v>291</v>
      </c>
    </row>
    <row r="187" spans="1:2" ht="15.75" customHeight="1">
      <c r="A187" s="1331">
        <v>43991</v>
      </c>
      <c r="B187" s="1330">
        <v>280</v>
      </c>
    </row>
    <row r="188" spans="1:2" ht="15.75" customHeight="1">
      <c r="A188" s="1329">
        <v>43990</v>
      </c>
      <c r="B188" s="1330">
        <v>273</v>
      </c>
    </row>
    <row r="189" spans="1:2" ht="15.75" customHeight="1">
      <c r="A189" s="1331">
        <v>43987</v>
      </c>
      <c r="B189" s="1330">
        <v>275</v>
      </c>
    </row>
    <row r="190" spans="1:2" ht="15.75" customHeight="1">
      <c r="A190" s="1329">
        <v>43986</v>
      </c>
      <c r="B190" s="1330">
        <v>283</v>
      </c>
    </row>
    <row r="191" spans="1:2" ht="15.75" customHeight="1">
      <c r="A191" s="1331">
        <v>43985</v>
      </c>
      <c r="B191" s="1330">
        <v>284</v>
      </c>
    </row>
    <row r="192" spans="1:2" ht="15.75" customHeight="1">
      <c r="A192" s="1329">
        <v>43984</v>
      </c>
      <c r="B192" s="1330">
        <v>301</v>
      </c>
    </row>
    <row r="193" spans="1:2" ht="15.75" customHeight="1">
      <c r="A193" s="1331">
        <v>43983</v>
      </c>
      <c r="B193" s="1330">
        <v>311</v>
      </c>
    </row>
    <row r="194" spans="1:2" ht="15.75" customHeight="1">
      <c r="A194" s="1329">
        <v>43980</v>
      </c>
      <c r="B194" s="1330">
        <v>317</v>
      </c>
    </row>
    <row r="195" spans="1:2" ht="15.75" customHeight="1">
      <c r="A195" s="1331">
        <v>43979</v>
      </c>
      <c r="B195" s="1330">
        <v>309</v>
      </c>
    </row>
    <row r="196" spans="1:2" ht="15.75" customHeight="1">
      <c r="A196" s="1329">
        <v>43978</v>
      </c>
      <c r="B196" s="1330">
        <v>313</v>
      </c>
    </row>
    <row r="197" spans="1:2" ht="15.75" customHeight="1">
      <c r="A197" s="1331">
        <v>43977</v>
      </c>
      <c r="B197" s="1330">
        <v>310</v>
      </c>
    </row>
    <row r="198" spans="1:2" ht="15.75" customHeight="1">
      <c r="A198" s="1329">
        <v>43976</v>
      </c>
      <c r="B198" s="1330">
        <v>322</v>
      </c>
    </row>
    <row r="199" spans="1:2" ht="15.75" customHeight="1">
      <c r="A199" s="1331">
        <v>43973</v>
      </c>
      <c r="B199" s="1330">
        <v>322</v>
      </c>
    </row>
    <row r="200" spans="1:2" ht="15.75" customHeight="1">
      <c r="A200" s="1329">
        <v>43972</v>
      </c>
      <c r="B200" s="1330">
        <v>322</v>
      </c>
    </row>
    <row r="201" spans="1:2" ht="15.75" customHeight="1">
      <c r="A201" s="1331">
        <v>43971</v>
      </c>
      <c r="B201" s="1330">
        <v>334</v>
      </c>
    </row>
    <row r="202" spans="1:2" ht="15.75" customHeight="1">
      <c r="A202" s="1329">
        <v>43970</v>
      </c>
      <c r="B202" s="1330">
        <v>345</v>
      </c>
    </row>
    <row r="203" spans="1:2" ht="15.75" customHeight="1">
      <c r="A203" s="1331">
        <v>43969</v>
      </c>
      <c r="B203" s="1330">
        <v>351</v>
      </c>
    </row>
    <row r="204" spans="1:2" ht="15.75" customHeight="1">
      <c r="A204" s="1329">
        <v>43966</v>
      </c>
      <c r="B204" s="1330">
        <v>379</v>
      </c>
    </row>
    <row r="205" spans="1:2" ht="15.75" customHeight="1">
      <c r="A205" s="1331">
        <v>43965</v>
      </c>
      <c r="B205" s="1330">
        <v>387</v>
      </c>
    </row>
    <row r="206" spans="1:2" ht="15.75" customHeight="1">
      <c r="A206" s="1329">
        <v>43964</v>
      </c>
      <c r="B206" s="1330">
        <v>382</v>
      </c>
    </row>
    <row r="207" spans="1:2" ht="15.75" customHeight="1">
      <c r="A207" s="1331">
        <v>43963</v>
      </c>
      <c r="B207" s="1330">
        <v>368</v>
      </c>
    </row>
    <row r="208" spans="1:2" ht="15.75" customHeight="1">
      <c r="A208" s="1329">
        <v>43962</v>
      </c>
      <c r="B208" s="1330">
        <v>360</v>
      </c>
    </row>
    <row r="209" spans="1:2" ht="15.75" customHeight="1">
      <c r="A209" s="1331">
        <v>43959</v>
      </c>
      <c r="B209" s="1330">
        <v>367</v>
      </c>
    </row>
    <row r="210" spans="1:2" ht="15.75" customHeight="1">
      <c r="A210" s="1329">
        <v>43958</v>
      </c>
      <c r="B210" s="1330">
        <v>387</v>
      </c>
    </row>
    <row r="211" spans="1:2" ht="15.75" customHeight="1">
      <c r="A211" s="1331">
        <v>43957</v>
      </c>
      <c r="B211" s="1330">
        <v>396</v>
      </c>
    </row>
    <row r="212" spans="1:2" ht="15.75" customHeight="1">
      <c r="A212" s="1329">
        <v>43956</v>
      </c>
      <c r="B212" s="1330">
        <v>401</v>
      </c>
    </row>
    <row r="213" spans="1:2" ht="15.75" customHeight="1">
      <c r="A213" s="1331">
        <v>43955</v>
      </c>
      <c r="B213" s="1330">
        <v>411</v>
      </c>
    </row>
    <row r="214" spans="1:2" ht="15.75" customHeight="1">
      <c r="A214" s="1329">
        <v>43952</v>
      </c>
      <c r="B214" s="1330">
        <v>415</v>
      </c>
    </row>
    <row r="215" spans="1:2" ht="15.75" customHeight="1">
      <c r="A215" s="1331">
        <v>43951</v>
      </c>
      <c r="B215" s="1330">
        <v>410</v>
      </c>
    </row>
    <row r="216" spans="1:2" ht="15.75" customHeight="1">
      <c r="A216" s="1329">
        <v>43950</v>
      </c>
      <c r="B216" s="1330">
        <v>426</v>
      </c>
    </row>
    <row r="217" spans="1:2" ht="15.75" customHeight="1">
      <c r="A217" s="1331">
        <v>43949</v>
      </c>
      <c r="B217" s="1330">
        <v>445</v>
      </c>
    </row>
    <row r="218" spans="1:2" ht="15.75" customHeight="1">
      <c r="A218" s="1329">
        <v>43948</v>
      </c>
      <c r="B218" s="1330">
        <v>445</v>
      </c>
    </row>
    <row r="219" spans="1:2" ht="15.75" customHeight="1">
      <c r="A219" s="1331">
        <v>43945</v>
      </c>
      <c r="B219" s="1330">
        <v>442</v>
      </c>
    </row>
    <row r="220" spans="1:2" ht="15.75" customHeight="1">
      <c r="A220" s="1329">
        <v>43944</v>
      </c>
      <c r="B220" s="1330">
        <v>432</v>
      </c>
    </row>
    <row r="221" spans="1:2" ht="15.75" customHeight="1">
      <c r="A221" s="1331">
        <v>43943</v>
      </c>
      <c r="B221" s="1330">
        <v>415</v>
      </c>
    </row>
    <row r="222" spans="1:2" ht="15.75" customHeight="1">
      <c r="A222" s="1329">
        <v>43942</v>
      </c>
      <c r="B222" s="1330">
        <v>410</v>
      </c>
    </row>
    <row r="223" spans="1:2" ht="15.75" customHeight="1">
      <c r="A223" s="1331">
        <v>43941</v>
      </c>
      <c r="B223" s="1330">
        <v>395</v>
      </c>
    </row>
    <row r="224" spans="1:2" ht="15.75" customHeight="1">
      <c r="A224" s="1329">
        <v>43938</v>
      </c>
      <c r="B224" s="1330">
        <v>382</v>
      </c>
    </row>
    <row r="225" spans="1:2" ht="15.75" customHeight="1">
      <c r="A225" s="1331">
        <v>43937</v>
      </c>
      <c r="B225" s="1330">
        <v>388</v>
      </c>
    </row>
    <row r="226" spans="1:2" ht="15.75" customHeight="1">
      <c r="A226" s="1329">
        <v>43936</v>
      </c>
      <c r="B226" s="1330">
        <v>365</v>
      </c>
    </row>
    <row r="227" spans="1:2" ht="15.75" customHeight="1">
      <c r="A227" s="1331">
        <v>43935</v>
      </c>
      <c r="B227" s="1330">
        <v>338</v>
      </c>
    </row>
    <row r="228" spans="1:2" ht="15.75" customHeight="1">
      <c r="A228" s="1329">
        <v>43934</v>
      </c>
      <c r="B228" s="1330">
        <v>341</v>
      </c>
    </row>
    <row r="229" spans="1:2" ht="15.75" customHeight="1">
      <c r="A229" s="1331">
        <v>43930</v>
      </c>
      <c r="B229" s="1330">
        <v>358</v>
      </c>
    </row>
    <row r="230" spans="1:2" ht="15.75" customHeight="1">
      <c r="A230" s="1329">
        <v>43929</v>
      </c>
      <c r="B230" s="1330">
        <v>397</v>
      </c>
    </row>
    <row r="231" spans="1:2" ht="15.75" customHeight="1">
      <c r="A231" s="1331">
        <v>43928</v>
      </c>
      <c r="B231" s="1330">
        <v>404</v>
      </c>
    </row>
    <row r="232" spans="1:2" ht="15.75" customHeight="1">
      <c r="A232" s="1329">
        <v>43927</v>
      </c>
      <c r="B232" s="1330">
        <v>406</v>
      </c>
    </row>
    <row r="233" spans="1:2" ht="15.75" customHeight="1">
      <c r="A233" s="1331">
        <v>43924</v>
      </c>
      <c r="B233" s="1330">
        <v>408</v>
      </c>
    </row>
    <row r="234" spans="1:2" ht="15.75" customHeight="1">
      <c r="A234" s="1329">
        <v>43923</v>
      </c>
      <c r="B234" s="1330">
        <v>390</v>
      </c>
    </row>
    <row r="235" spans="1:2" ht="15.75" customHeight="1">
      <c r="A235" s="1331">
        <v>43922</v>
      </c>
      <c r="B235" s="1330">
        <v>386</v>
      </c>
    </row>
    <row r="236" spans="1:2" ht="15.75" customHeight="1">
      <c r="A236" s="1329">
        <v>43921</v>
      </c>
      <c r="B236" s="1330">
        <v>349</v>
      </c>
    </row>
    <row r="237" spans="1:2" ht="15.75" customHeight="1">
      <c r="A237" s="1331">
        <v>43920</v>
      </c>
      <c r="B237" s="1330">
        <v>359</v>
      </c>
    </row>
    <row r="238" spans="1:2" ht="15.75" customHeight="1">
      <c r="A238" s="1329">
        <v>43917</v>
      </c>
      <c r="B238" s="1330">
        <v>350</v>
      </c>
    </row>
    <row r="239" spans="1:2" ht="15.75" customHeight="1">
      <c r="A239" s="1331">
        <v>43916</v>
      </c>
      <c r="B239" s="1330">
        <v>311</v>
      </c>
    </row>
    <row r="240" spans="1:2" ht="15.75" customHeight="1">
      <c r="A240" s="1329">
        <v>43915</v>
      </c>
      <c r="B240" s="1330">
        <v>324</v>
      </c>
    </row>
    <row r="241" spans="1:2" ht="15.75" customHeight="1">
      <c r="A241" s="1331">
        <v>43914</v>
      </c>
      <c r="B241" s="1330">
        <v>403</v>
      </c>
    </row>
    <row r="242" spans="1:2" ht="15.75" customHeight="1">
      <c r="A242" s="1329">
        <v>43913</v>
      </c>
      <c r="B242" s="1330">
        <v>437</v>
      </c>
    </row>
    <row r="243" spans="1:2" ht="15.75" customHeight="1">
      <c r="A243" s="1331">
        <v>43910</v>
      </c>
      <c r="B243" s="1330">
        <v>407</v>
      </c>
    </row>
    <row r="244" spans="1:2" ht="15.75" customHeight="1">
      <c r="A244" s="1329">
        <v>43909</v>
      </c>
      <c r="B244" s="1330">
        <v>443</v>
      </c>
    </row>
    <row r="245" spans="1:2" ht="15.75" customHeight="1">
      <c r="A245" s="1331">
        <v>43908</v>
      </c>
      <c r="B245" s="1330">
        <v>416</v>
      </c>
    </row>
    <row r="246" spans="1:2" ht="15.75" customHeight="1">
      <c r="A246" s="1329">
        <v>43907</v>
      </c>
      <c r="B246" s="1330">
        <v>348</v>
      </c>
    </row>
    <row r="247" spans="1:2" ht="15.75" customHeight="1">
      <c r="A247" s="1331">
        <v>43906</v>
      </c>
      <c r="B247" s="1330">
        <v>372</v>
      </c>
    </row>
    <row r="248" spans="1:2" ht="15.75" customHeight="1">
      <c r="A248" s="1329">
        <v>43903</v>
      </c>
      <c r="B248" s="1330">
        <v>317</v>
      </c>
    </row>
    <row r="249" spans="1:2" ht="15.75" customHeight="1">
      <c r="A249" s="1331">
        <v>43902</v>
      </c>
      <c r="B249" s="1330">
        <v>339</v>
      </c>
    </row>
    <row r="250" spans="1:2" ht="15.75" customHeight="1">
      <c r="A250" s="1329">
        <v>43901</v>
      </c>
      <c r="B250" s="1330">
        <v>293</v>
      </c>
    </row>
    <row r="251" spans="1:2" ht="15.75" customHeight="1">
      <c r="A251" s="1331">
        <v>43900</v>
      </c>
      <c r="B251" s="1330">
        <v>276</v>
      </c>
    </row>
    <row r="252" spans="1:2" ht="15.75" customHeight="1">
      <c r="A252" s="1329">
        <v>43899</v>
      </c>
      <c r="B252" s="1330">
        <v>302</v>
      </c>
    </row>
    <row r="253" spans="1:2" ht="15.75" customHeight="1">
      <c r="A253" s="1331">
        <v>43896</v>
      </c>
      <c r="B253" s="1330">
        <v>241</v>
      </c>
    </row>
    <row r="254" spans="1:2" ht="15.75" customHeight="1">
      <c r="A254" s="1329">
        <v>43895</v>
      </c>
      <c r="B254" s="1330">
        <v>217</v>
      </c>
    </row>
    <row r="255" spans="1:2" ht="15.75" customHeight="1">
      <c r="A255" s="1331">
        <v>43894</v>
      </c>
      <c r="B255" s="1330">
        <v>202</v>
      </c>
    </row>
    <row r="256" spans="1:2" ht="15.75" customHeight="1">
      <c r="A256" s="1329">
        <v>43893</v>
      </c>
      <c r="B256" s="1330">
        <v>214</v>
      </c>
    </row>
    <row r="257" spans="1:2" ht="15.75" customHeight="1">
      <c r="A257" s="1331">
        <v>43892</v>
      </c>
      <c r="B257" s="1330">
        <v>215</v>
      </c>
    </row>
    <row r="258" spans="1:2" ht="15.75" customHeight="1">
      <c r="A258" s="1329">
        <v>43889</v>
      </c>
      <c r="B258" s="1330">
        <v>219</v>
      </c>
    </row>
    <row r="259" spans="1:2" ht="15.75" customHeight="1">
      <c r="A259" s="1331">
        <v>43888</v>
      </c>
      <c r="B259" s="1330">
        <v>200</v>
      </c>
    </row>
    <row r="260" spans="1:2" ht="15.75" customHeight="1">
      <c r="A260" s="1329">
        <v>43887</v>
      </c>
      <c r="B260" s="1330">
        <v>196</v>
      </c>
    </row>
    <row r="261" spans="1:2" ht="15.75" customHeight="1">
      <c r="A261" s="1331">
        <v>43886</v>
      </c>
      <c r="B261" s="1330">
        <v>195</v>
      </c>
    </row>
    <row r="262" spans="1:2" ht="15.75" customHeight="1">
      <c r="A262" s="1329">
        <v>43885</v>
      </c>
      <c r="B262" s="1330">
        <v>186</v>
      </c>
    </row>
    <row r="263" spans="1:2" ht="15.75" customHeight="1">
      <c r="A263" s="1331">
        <v>43882</v>
      </c>
      <c r="B263" s="1330">
        <v>178</v>
      </c>
    </row>
    <row r="264" spans="1:2" ht="15.75" customHeight="1">
      <c r="A264" s="1329">
        <v>43881</v>
      </c>
      <c r="B264" s="1330">
        <v>174</v>
      </c>
    </row>
    <row r="265" spans="1:2" ht="15.75" customHeight="1">
      <c r="A265" s="1331">
        <v>43880</v>
      </c>
      <c r="B265" s="1330">
        <v>171</v>
      </c>
    </row>
    <row r="266" spans="1:2" ht="15.75" customHeight="1">
      <c r="A266" s="1329">
        <v>43879</v>
      </c>
      <c r="B266" s="1330">
        <v>174</v>
      </c>
    </row>
    <row r="267" spans="1:2" ht="15.75" customHeight="1">
      <c r="A267" s="1331">
        <v>43878</v>
      </c>
      <c r="B267" s="1330">
        <v>174</v>
      </c>
    </row>
    <row r="268" spans="1:2" ht="15.75" customHeight="1">
      <c r="A268" s="1329">
        <v>43875</v>
      </c>
      <c r="B268" s="1330">
        <v>174</v>
      </c>
    </row>
    <row r="269" spans="1:2" ht="15.75" customHeight="1">
      <c r="A269" s="1331">
        <v>43874</v>
      </c>
      <c r="B269" s="1330">
        <v>175</v>
      </c>
    </row>
    <row r="270" spans="1:2" ht="15.75" customHeight="1">
      <c r="A270" s="1329">
        <v>43873</v>
      </c>
      <c r="B270" s="1330">
        <v>175</v>
      </c>
    </row>
    <row r="271" spans="1:2" ht="15.75" customHeight="1">
      <c r="A271" s="1331">
        <v>43872</v>
      </c>
      <c r="B271" s="1330">
        <v>180</v>
      </c>
    </row>
    <row r="272" spans="1:2" ht="15.75" customHeight="1">
      <c r="A272" s="1329">
        <v>43871</v>
      </c>
      <c r="B272" s="1330">
        <v>185</v>
      </c>
    </row>
    <row r="273" spans="1:2" ht="15.75" customHeight="1">
      <c r="A273" s="1331">
        <v>43868</v>
      </c>
      <c r="B273" s="1330">
        <v>185</v>
      </c>
    </row>
    <row r="274" spans="1:2" ht="15.75" customHeight="1">
      <c r="A274" s="1329">
        <v>43867</v>
      </c>
      <c r="B274" s="1330">
        <v>182</v>
      </c>
    </row>
    <row r="275" spans="1:2" ht="15.75" customHeight="1">
      <c r="A275" s="1331">
        <v>43866</v>
      </c>
      <c r="B275" s="1330">
        <v>182</v>
      </c>
    </row>
    <row r="276" spans="1:2" ht="15.75" customHeight="1">
      <c r="A276" s="1329">
        <v>43865</v>
      </c>
      <c r="B276" s="1330">
        <v>186</v>
      </c>
    </row>
    <row r="277" spans="1:2" ht="15.75" customHeight="1">
      <c r="A277" s="1331">
        <v>43861</v>
      </c>
      <c r="B277" s="1330">
        <v>187</v>
      </c>
    </row>
    <row r="278" spans="1:2" ht="15.75" customHeight="1">
      <c r="A278" s="1329">
        <v>43860</v>
      </c>
      <c r="B278" s="1330">
        <v>185</v>
      </c>
    </row>
    <row r="279" spans="1:2" ht="15.75" customHeight="1">
      <c r="A279" s="1331">
        <v>43859</v>
      </c>
      <c r="B279" s="1330">
        <v>187</v>
      </c>
    </row>
    <row r="280" spans="1:2" ht="15.75" customHeight="1">
      <c r="A280" s="1329">
        <v>43858</v>
      </c>
      <c r="B280" s="1330">
        <v>185</v>
      </c>
    </row>
    <row r="281" spans="1:2" ht="15.75" customHeight="1">
      <c r="A281" s="1331">
        <v>43857</v>
      </c>
      <c r="B281" s="1330">
        <v>191</v>
      </c>
    </row>
    <row r="282" spans="1:2" ht="15.75" customHeight="1">
      <c r="A282" s="1329">
        <v>43854</v>
      </c>
      <c r="B282" s="1330">
        <v>185</v>
      </c>
    </row>
    <row r="283" spans="1:2" ht="15.75" customHeight="1">
      <c r="A283" s="1331">
        <v>43853</v>
      </c>
      <c r="B283" s="1330">
        <v>183</v>
      </c>
    </row>
    <row r="284" spans="1:2" ht="15.75" customHeight="1">
      <c r="A284" s="1329">
        <v>43852</v>
      </c>
      <c r="B284" s="1330">
        <v>180</v>
      </c>
    </row>
    <row r="285" spans="1:2" ht="15.75" customHeight="1">
      <c r="A285" s="1331">
        <v>43851</v>
      </c>
      <c r="B285" s="1330">
        <v>180</v>
      </c>
    </row>
    <row r="286" spans="1:2" ht="15.75" customHeight="1">
      <c r="A286" s="1329">
        <v>43850</v>
      </c>
      <c r="B286" s="1330">
        <v>175</v>
      </c>
    </row>
    <row r="287" spans="1:2" ht="15.75" customHeight="1">
      <c r="A287" s="1331">
        <v>43847</v>
      </c>
      <c r="B287" s="1330">
        <v>175</v>
      </c>
    </row>
    <row r="288" spans="1:2" ht="15.75" customHeight="1">
      <c r="A288" s="1329">
        <v>43846</v>
      </c>
      <c r="B288" s="1330">
        <v>177</v>
      </c>
    </row>
    <row r="289" spans="1:2" ht="15.75" customHeight="1">
      <c r="A289" s="1331">
        <v>43845</v>
      </c>
      <c r="B289" s="1330">
        <v>180</v>
      </c>
    </row>
    <row r="290" spans="1:2" ht="15.75" customHeight="1">
      <c r="A290" s="1329">
        <v>43844</v>
      </c>
      <c r="B290" s="1330">
        <v>177</v>
      </c>
    </row>
    <row r="291" spans="1:2" ht="15.75" customHeight="1">
      <c r="A291" s="1331">
        <v>43843</v>
      </c>
      <c r="B291" s="1330">
        <v>175</v>
      </c>
    </row>
    <row r="292" spans="1:2" ht="15.75" customHeight="1">
      <c r="A292" s="1329">
        <v>43840</v>
      </c>
      <c r="B292" s="1330">
        <v>175</v>
      </c>
    </row>
    <row r="293" spans="1:2" ht="15.75" customHeight="1">
      <c r="A293" s="1331">
        <v>43839</v>
      </c>
      <c r="B293" s="1330">
        <v>173</v>
      </c>
    </row>
    <row r="294" spans="1:2" ht="15.75" customHeight="1">
      <c r="A294" s="1329">
        <v>43838</v>
      </c>
      <c r="B294" s="1330">
        <v>171</v>
      </c>
    </row>
    <row r="295" spans="1:2" ht="15.75" customHeight="1">
      <c r="A295" s="1331">
        <v>43837</v>
      </c>
      <c r="B295" s="1330">
        <v>178</v>
      </c>
    </row>
    <row r="296" spans="1:2" ht="15.75" customHeight="1">
      <c r="A296" s="1329">
        <v>43836</v>
      </c>
      <c r="B296" s="1330">
        <v>177</v>
      </c>
    </row>
    <row r="297" spans="1:2" ht="15.75" customHeight="1">
      <c r="A297" s="1331">
        <v>43833</v>
      </c>
      <c r="B297" s="1330">
        <v>181</v>
      </c>
    </row>
    <row r="298" spans="1:2" ht="15.75" customHeight="1">
      <c r="A298" s="1329">
        <v>43832</v>
      </c>
      <c r="B298" s="1330">
        <v>176</v>
      </c>
    </row>
    <row r="299" spans="1:2" ht="15.75" customHeight="1">
      <c r="A299" s="1331">
        <v>43830</v>
      </c>
      <c r="B299" s="1330">
        <v>172</v>
      </c>
    </row>
    <row r="300" spans="1:2" ht="15.75" customHeight="1">
      <c r="A300" s="1329">
        <v>43829</v>
      </c>
      <c r="B300" s="1330">
        <v>175</v>
      </c>
    </row>
    <row r="301" spans="1:2" ht="15.75" customHeight="1">
      <c r="A301" s="1331">
        <v>43826</v>
      </c>
      <c r="B301" s="1330">
        <v>177</v>
      </c>
    </row>
    <row r="302" spans="1:2" ht="15.75" customHeight="1">
      <c r="A302" s="1329">
        <v>43825</v>
      </c>
      <c r="B302" s="1330">
        <v>176</v>
      </c>
    </row>
    <row r="303" spans="1:2" ht="15.75" customHeight="1">
      <c r="A303" s="1331">
        <v>43823</v>
      </c>
      <c r="B303" s="1330">
        <v>176</v>
      </c>
    </row>
    <row r="304" spans="1:2" ht="15.75" customHeight="1">
      <c r="A304" s="1329">
        <v>43822</v>
      </c>
      <c r="B304" s="1330">
        <v>173</v>
      </c>
    </row>
    <row r="305" spans="1:2" ht="15.75" customHeight="1">
      <c r="A305" s="1331">
        <v>43819</v>
      </c>
      <c r="B305" s="1330">
        <v>175</v>
      </c>
    </row>
    <row r="306" spans="1:2" ht="15.75" customHeight="1">
      <c r="A306" s="1329">
        <v>43818</v>
      </c>
      <c r="B306" s="1330">
        <v>175</v>
      </c>
    </row>
    <row r="307" spans="1:2" ht="15.75" customHeight="1">
      <c r="A307" s="1331">
        <v>43817</v>
      </c>
      <c r="B307" s="1330">
        <v>169</v>
      </c>
    </row>
    <row r="308" spans="1:2" ht="15.75" customHeight="1">
      <c r="A308" s="1329">
        <v>43816</v>
      </c>
      <c r="B308" s="1330">
        <v>173</v>
      </c>
    </row>
    <row r="309" spans="1:2" ht="15.75" customHeight="1">
      <c r="A309" s="1331">
        <v>43815</v>
      </c>
      <c r="B309" s="1330">
        <v>176</v>
      </c>
    </row>
    <row r="310" spans="1:2" ht="15.75" customHeight="1">
      <c r="A310" s="1329">
        <v>43812</v>
      </c>
      <c r="B310" s="1330">
        <v>185</v>
      </c>
    </row>
    <row r="311" spans="1:2" ht="15.75" customHeight="1">
      <c r="A311" s="1331">
        <v>43811</v>
      </c>
      <c r="B311" s="1330">
        <v>181</v>
      </c>
    </row>
    <row r="312" spans="1:2" ht="15.75" customHeight="1">
      <c r="A312" s="1329">
        <v>43810</v>
      </c>
      <c r="B312" s="1330">
        <v>191</v>
      </c>
    </row>
    <row r="313" spans="1:2" ht="15.75" customHeight="1">
      <c r="A313" s="1331">
        <v>43809</v>
      </c>
      <c r="B313" s="1330">
        <v>187</v>
      </c>
    </row>
    <row r="314" spans="1:2" ht="15.75" customHeight="1">
      <c r="A314" s="1329">
        <v>43808</v>
      </c>
      <c r="B314" s="1330">
        <v>189</v>
      </c>
    </row>
    <row r="315" spans="1:2" ht="15.75" customHeight="1">
      <c r="A315" s="1331">
        <v>43805</v>
      </c>
      <c r="B315" s="1330">
        <v>189</v>
      </c>
    </row>
    <row r="316" spans="1:2" ht="15.75" customHeight="1">
      <c r="A316" s="1329">
        <v>43804</v>
      </c>
      <c r="B316" s="1330">
        <v>194</v>
      </c>
    </row>
    <row r="317" spans="1:2" ht="15.75" customHeight="1">
      <c r="A317" s="1331">
        <v>43803</v>
      </c>
      <c r="B317" s="1330">
        <v>197</v>
      </c>
    </row>
    <row r="318" spans="1:2" ht="15.75" customHeight="1">
      <c r="A318" s="1329">
        <v>43802</v>
      </c>
      <c r="B318" s="1330">
        <v>204</v>
      </c>
    </row>
    <row r="319" spans="1:2" ht="15.75" customHeight="1">
      <c r="A319" s="1331">
        <v>43801</v>
      </c>
      <c r="B319" s="1330">
        <v>193</v>
      </c>
    </row>
    <row r="320" spans="1:2" ht="15.75" customHeight="1">
      <c r="A320" s="1329">
        <v>43798</v>
      </c>
      <c r="B320" s="1330">
        <v>194</v>
      </c>
    </row>
    <row r="321" spans="1:2" ht="15.75" customHeight="1">
      <c r="A321" s="1331">
        <v>43797</v>
      </c>
      <c r="B321" s="1330">
        <v>195</v>
      </c>
    </row>
    <row r="322" spans="1:2" ht="15.75" customHeight="1">
      <c r="A322" s="1329">
        <v>43796</v>
      </c>
      <c r="B322" s="1330">
        <v>195</v>
      </c>
    </row>
    <row r="323" spans="1:2" ht="15.75" customHeight="1">
      <c r="A323" s="1331">
        <v>43795</v>
      </c>
      <c r="B323" s="1330">
        <v>197</v>
      </c>
    </row>
    <row r="324" spans="1:2" ht="15.75" customHeight="1">
      <c r="A324" s="1329">
        <v>43794</v>
      </c>
      <c r="B324" s="1330">
        <v>195</v>
      </c>
    </row>
    <row r="325" spans="1:2" ht="15.75" customHeight="1">
      <c r="A325" s="1331">
        <v>43791</v>
      </c>
      <c r="B325" s="1330">
        <v>196</v>
      </c>
    </row>
    <row r="326" spans="1:2" ht="15.75" customHeight="1">
      <c r="A326" s="1329">
        <v>43790</v>
      </c>
      <c r="B326" s="1330">
        <v>197</v>
      </c>
    </row>
    <row r="327" spans="1:2" ht="15.75" customHeight="1">
      <c r="A327" s="1331">
        <v>43789</v>
      </c>
      <c r="B327" s="1330">
        <v>202</v>
      </c>
    </row>
    <row r="328" spans="1:2" ht="15.75" customHeight="1">
      <c r="A328" s="1329">
        <v>43788</v>
      </c>
      <c r="B328" s="1330">
        <v>200</v>
      </c>
    </row>
    <row r="329" spans="1:2" ht="15.75" customHeight="1">
      <c r="A329" s="1331">
        <v>43787</v>
      </c>
      <c r="B329" s="1330">
        <v>194</v>
      </c>
    </row>
    <row r="330" spans="1:2" ht="15.75" customHeight="1">
      <c r="A330" s="1329">
        <v>43784</v>
      </c>
      <c r="B330" s="1330">
        <v>192</v>
      </c>
    </row>
    <row r="331" spans="1:2" ht="15.75" customHeight="1">
      <c r="A331" s="1331">
        <v>43783</v>
      </c>
      <c r="B331" s="1330">
        <v>192</v>
      </c>
    </row>
    <row r="332" spans="1:2" ht="15.75" customHeight="1">
      <c r="A332" s="1329">
        <v>43782</v>
      </c>
      <c r="B332" s="1330">
        <v>190</v>
      </c>
    </row>
    <row r="333" spans="1:2" ht="15.75" customHeight="1">
      <c r="A333" s="1331">
        <v>43781</v>
      </c>
      <c r="B333" s="1330">
        <v>188</v>
      </c>
    </row>
    <row r="334" spans="1:2" ht="15.75" customHeight="1">
      <c r="A334" s="1329">
        <v>43780</v>
      </c>
      <c r="B334" s="1330">
        <v>186</v>
      </c>
    </row>
    <row r="335" spans="1:2" ht="15.75" customHeight="1">
      <c r="A335" s="1331">
        <v>43777</v>
      </c>
      <c r="B335" s="1330">
        <v>186</v>
      </c>
    </row>
    <row r="336" spans="1:2" ht="15.75" customHeight="1">
      <c r="A336" s="1329">
        <v>43776</v>
      </c>
      <c r="B336" s="1330">
        <v>187</v>
      </c>
    </row>
    <row r="337" spans="1:2" ht="15.75" customHeight="1">
      <c r="A337" s="1331">
        <v>43775</v>
      </c>
      <c r="B337" s="1330">
        <v>194</v>
      </c>
    </row>
    <row r="338" spans="1:2" ht="15.75" customHeight="1">
      <c r="A338" s="1329">
        <v>43774</v>
      </c>
      <c r="B338" s="1330">
        <v>192</v>
      </c>
    </row>
    <row r="339" spans="1:2" ht="15.75" customHeight="1">
      <c r="A339" s="1331">
        <v>43773</v>
      </c>
      <c r="B339" s="1330">
        <v>192</v>
      </c>
    </row>
    <row r="340" spans="1:2" ht="15.75" customHeight="1">
      <c r="A340" s="1329">
        <v>43770</v>
      </c>
      <c r="B340" s="1330">
        <v>197</v>
      </c>
    </row>
    <row r="341" spans="1:2" ht="15.75" customHeight="1">
      <c r="A341" s="1331">
        <v>43769</v>
      </c>
      <c r="B341" s="1330">
        <v>199</v>
      </c>
    </row>
    <row r="342" spans="1:2" ht="15.75" customHeight="1">
      <c r="A342" s="1329">
        <v>43768</v>
      </c>
      <c r="B342" s="1330">
        <v>196</v>
      </c>
    </row>
    <row r="343" spans="1:2" ht="15.75" customHeight="1">
      <c r="A343" s="1331">
        <v>43767</v>
      </c>
      <c r="B343" s="1330">
        <v>189</v>
      </c>
    </row>
    <row r="344" spans="1:2" ht="15.75" customHeight="1">
      <c r="A344" s="1329">
        <v>43766</v>
      </c>
      <c r="B344" s="1330">
        <v>188</v>
      </c>
    </row>
    <row r="345" spans="1:2" ht="15.75" customHeight="1">
      <c r="A345" s="1331">
        <v>43763</v>
      </c>
      <c r="B345" s="1330">
        <v>192</v>
      </c>
    </row>
    <row r="346" spans="1:2" ht="15.75" customHeight="1">
      <c r="A346" s="1329">
        <v>43762</v>
      </c>
      <c r="B346" s="1330">
        <v>195</v>
      </c>
    </row>
    <row r="347" spans="1:2" ht="15.75" customHeight="1">
      <c r="A347" s="1331">
        <v>43761</v>
      </c>
      <c r="B347" s="1330">
        <v>195</v>
      </c>
    </row>
    <row r="348" spans="1:2" ht="15.75" customHeight="1">
      <c r="A348" s="1329">
        <v>43760</v>
      </c>
      <c r="B348" s="1330">
        <v>195</v>
      </c>
    </row>
    <row r="349" spans="1:2" ht="15.75" customHeight="1">
      <c r="A349" s="1331">
        <v>43759</v>
      </c>
      <c r="B349" s="1330">
        <v>194</v>
      </c>
    </row>
    <row r="350" spans="1:2" ht="15.75" customHeight="1">
      <c r="A350" s="1329">
        <v>43756</v>
      </c>
      <c r="B350" s="1330">
        <v>198</v>
      </c>
    </row>
    <row r="351" spans="1:2" ht="15.75" customHeight="1">
      <c r="A351" s="1331">
        <v>43755</v>
      </c>
      <c r="B351" s="1330">
        <v>198</v>
      </c>
    </row>
    <row r="352" spans="1:2" ht="15.75" customHeight="1">
      <c r="A352" s="1329">
        <v>43754</v>
      </c>
      <c r="B352" s="1330">
        <v>199</v>
      </c>
    </row>
    <row r="353" spans="1:2" ht="15.75" customHeight="1">
      <c r="A353" s="1331">
        <v>43753</v>
      </c>
      <c r="B353" s="1330">
        <v>199</v>
      </c>
    </row>
    <row r="354" spans="1:2" ht="15.75" customHeight="1">
      <c r="A354" s="1329">
        <v>43752</v>
      </c>
      <c r="B354" s="1330">
        <v>200</v>
      </c>
    </row>
    <row r="355" spans="1:2" ht="15.75" customHeight="1">
      <c r="A355" s="1331">
        <v>43749</v>
      </c>
      <c r="B355" s="1330">
        <v>200</v>
      </c>
    </row>
    <row r="356" spans="1:2" ht="15.75" customHeight="1">
      <c r="A356" s="1329">
        <v>43748</v>
      </c>
      <c r="B356" s="1330">
        <v>204</v>
      </c>
    </row>
    <row r="357" spans="1:2" ht="15.75" customHeight="1">
      <c r="A357" s="1331">
        <v>43747</v>
      </c>
      <c r="B357" s="1330">
        <v>210</v>
      </c>
    </row>
    <row r="358" spans="1:2" ht="15.75" customHeight="1">
      <c r="A358" s="1329">
        <v>43746</v>
      </c>
      <c r="B358" s="1330">
        <v>213</v>
      </c>
    </row>
    <row r="359" spans="1:2" ht="15.75" customHeight="1">
      <c r="A359" s="1331">
        <v>43745</v>
      </c>
      <c r="B359" s="1330">
        <v>211</v>
      </c>
    </row>
    <row r="360" spans="1:2" ht="15.75" customHeight="1">
      <c r="A360" s="1329">
        <v>43742</v>
      </c>
      <c r="B360" s="1330">
        <v>215</v>
      </c>
    </row>
    <row r="361" spans="1:2" ht="15.75" customHeight="1">
      <c r="A361" s="1331">
        <v>43741</v>
      </c>
      <c r="B361" s="1330">
        <v>217</v>
      </c>
    </row>
    <row r="362" spans="1:2" ht="15.75" customHeight="1">
      <c r="A362" s="1329">
        <v>43740</v>
      </c>
      <c r="B362" s="1330">
        <v>217</v>
      </c>
    </row>
    <row r="363" spans="1:2" ht="15.75" customHeight="1">
      <c r="A363" s="1331">
        <v>43739</v>
      </c>
      <c r="B363" s="1330">
        <v>214</v>
      </c>
    </row>
    <row r="364" spans="1:2" ht="15.75" customHeight="1">
      <c r="A364" s="1329">
        <v>43738</v>
      </c>
      <c r="B364" s="1330">
        <v>210</v>
      </c>
    </row>
    <row r="365" spans="1:2" ht="15.75" customHeight="1">
      <c r="A365" s="1331">
        <v>43735</v>
      </c>
      <c r="B365" s="1330">
        <v>211</v>
      </c>
    </row>
    <row r="366" spans="1:2" ht="15.75" customHeight="1">
      <c r="A366" s="1329">
        <v>43734</v>
      </c>
      <c r="B366" s="1330">
        <v>209</v>
      </c>
    </row>
    <row r="367" spans="1:2" ht="15.75" customHeight="1">
      <c r="A367" s="1331">
        <v>43733</v>
      </c>
      <c r="B367" s="1330">
        <v>209</v>
      </c>
    </row>
    <row r="368" spans="1:2" ht="15.75" customHeight="1">
      <c r="A368" s="1329">
        <v>43732</v>
      </c>
      <c r="B368" s="1330">
        <v>213</v>
      </c>
    </row>
    <row r="369" spans="1:2" ht="15.75" customHeight="1">
      <c r="A369" s="1331">
        <v>43731</v>
      </c>
      <c r="B369" s="1330">
        <v>205</v>
      </c>
    </row>
    <row r="370" spans="1:2" ht="15.75" customHeight="1">
      <c r="A370" s="1329">
        <v>43728</v>
      </c>
      <c r="B370" s="1330">
        <v>206</v>
      </c>
    </row>
    <row r="371" spans="1:2" ht="15.75" customHeight="1">
      <c r="A371" s="1331">
        <v>43727</v>
      </c>
      <c r="B371" s="1330">
        <v>204</v>
      </c>
    </row>
    <row r="372" spans="1:2" ht="15.75" customHeight="1">
      <c r="A372" s="1329">
        <v>43726</v>
      </c>
      <c r="B372" s="1330">
        <v>205</v>
      </c>
    </row>
    <row r="373" spans="1:2" ht="15.75" customHeight="1">
      <c r="A373" s="1331">
        <v>43725</v>
      </c>
      <c r="B373" s="1330">
        <v>207</v>
      </c>
    </row>
    <row r="374" spans="1:2" ht="15.75" customHeight="1">
      <c r="A374" s="1329">
        <v>43724</v>
      </c>
      <c r="B374" s="1330">
        <v>204</v>
      </c>
    </row>
    <row r="375" spans="1:2" ht="15.75" customHeight="1">
      <c r="A375" s="1331">
        <v>43721</v>
      </c>
      <c r="B375" s="1330">
        <v>198</v>
      </c>
    </row>
    <row r="376" spans="1:2" ht="15.75" customHeight="1">
      <c r="A376" s="1329">
        <v>43720</v>
      </c>
      <c r="B376" s="1330">
        <v>196</v>
      </c>
    </row>
    <row r="377" spans="1:2" ht="15.75" customHeight="1">
      <c r="A377" s="1331">
        <v>43719</v>
      </c>
      <c r="B377" s="1330">
        <v>201</v>
      </c>
    </row>
    <row r="378" spans="1:2" ht="15.75" customHeight="1">
      <c r="A378" s="1329">
        <v>43718</v>
      </c>
      <c r="B378" s="1330">
        <v>202</v>
      </c>
    </row>
    <row r="379" spans="1:2" ht="15.75" customHeight="1">
      <c r="A379" s="1331">
        <v>43717</v>
      </c>
      <c r="B379" s="1330">
        <v>204</v>
      </c>
    </row>
    <row r="380" spans="1:2" ht="15.75" customHeight="1">
      <c r="A380" s="1329">
        <v>43714</v>
      </c>
      <c r="B380" s="1330">
        <v>208</v>
      </c>
    </row>
    <row r="381" spans="1:2" ht="15.75" customHeight="1">
      <c r="A381" s="1331">
        <v>43713</v>
      </c>
      <c r="B381" s="1330">
        <v>206</v>
      </c>
    </row>
    <row r="382" spans="1:2" ht="15.75" customHeight="1">
      <c r="A382" s="1329">
        <v>43712</v>
      </c>
      <c r="B382" s="1330">
        <v>213</v>
      </c>
    </row>
    <row r="383" spans="1:2" ht="15.75" customHeight="1">
      <c r="A383" s="1331">
        <v>43711</v>
      </c>
      <c r="B383" s="1330">
        <v>215</v>
      </c>
    </row>
    <row r="384" spans="1:2" ht="15.75" customHeight="1">
      <c r="A384" s="1329">
        <v>43710</v>
      </c>
      <c r="B384" s="1330">
        <v>215</v>
      </c>
    </row>
    <row r="385" spans="1:2" ht="15.75" customHeight="1">
      <c r="A385" s="1331">
        <v>43707</v>
      </c>
      <c r="B385" s="1330">
        <v>215</v>
      </c>
    </row>
    <row r="386" spans="1:2" ht="15.75" customHeight="1">
      <c r="A386" s="1329">
        <v>43706</v>
      </c>
      <c r="B386" s="1330">
        <v>216</v>
      </c>
    </row>
    <row r="387" spans="1:2" ht="15.75" customHeight="1">
      <c r="A387" s="1331">
        <v>43705</v>
      </c>
      <c r="B387" s="1330">
        <v>223</v>
      </c>
    </row>
    <row r="388" spans="1:2" ht="15.75" customHeight="1">
      <c r="A388" s="1329">
        <v>43704</v>
      </c>
      <c r="B388" s="1330">
        <v>226</v>
      </c>
    </row>
    <row r="389" spans="1:2" ht="15.75" customHeight="1">
      <c r="A389" s="1331">
        <v>43703</v>
      </c>
      <c r="B389" s="1330">
        <v>223</v>
      </c>
    </row>
    <row r="390" spans="1:2" ht="15.75" customHeight="1">
      <c r="A390" s="1329">
        <v>43700</v>
      </c>
      <c r="B390" s="1330">
        <v>224</v>
      </c>
    </row>
    <row r="391" spans="1:2" ht="15.75" customHeight="1">
      <c r="A391" s="1331">
        <v>43699</v>
      </c>
      <c r="B391" s="1330">
        <v>219</v>
      </c>
    </row>
    <row r="392" spans="1:2" ht="15.75" customHeight="1">
      <c r="A392" s="1329">
        <v>43698</v>
      </c>
      <c r="B392" s="1330">
        <v>222</v>
      </c>
    </row>
    <row r="393" spans="1:2" ht="15.75" customHeight="1">
      <c r="A393" s="1331">
        <v>43697</v>
      </c>
      <c r="B393" s="1330">
        <v>225</v>
      </c>
    </row>
    <row r="394" spans="1:2" ht="15.75" customHeight="1">
      <c r="A394" s="1329">
        <v>43696</v>
      </c>
      <c r="B394" s="1330">
        <v>221</v>
      </c>
    </row>
    <row r="395" spans="1:2" ht="15.75" customHeight="1">
      <c r="A395" s="1331">
        <v>43693</v>
      </c>
      <c r="B395" s="1330">
        <v>224</v>
      </c>
    </row>
    <row r="396" spans="1:2" ht="15.75" customHeight="1">
      <c r="A396" s="1329">
        <v>43692</v>
      </c>
      <c r="B396" s="1330">
        <v>229</v>
      </c>
    </row>
    <row r="397" spans="1:2" ht="15.75" customHeight="1">
      <c r="A397" s="1331">
        <v>43691</v>
      </c>
      <c r="B397" s="1330">
        <v>225</v>
      </c>
    </row>
    <row r="398" spans="1:2" ht="15.75" customHeight="1">
      <c r="A398" s="1329">
        <v>43690</v>
      </c>
      <c r="B398" s="1330">
        <v>219</v>
      </c>
    </row>
    <row r="399" spans="1:2" ht="15.75" customHeight="1">
      <c r="A399" s="1331">
        <v>43689</v>
      </c>
      <c r="B399" s="1330">
        <v>221</v>
      </c>
    </row>
    <row r="400" spans="1:2" ht="15.75" customHeight="1">
      <c r="A400" s="1329">
        <v>43686</v>
      </c>
      <c r="B400" s="1330">
        <v>210</v>
      </c>
    </row>
    <row r="401" spans="1:2" ht="15.75" customHeight="1">
      <c r="A401" s="1331">
        <v>43685</v>
      </c>
      <c r="B401" s="1330">
        <v>213</v>
      </c>
    </row>
    <row r="402" spans="1:2" ht="15.75" customHeight="1">
      <c r="A402" s="1329">
        <v>43684</v>
      </c>
      <c r="B402" s="1330">
        <v>220</v>
      </c>
    </row>
    <row r="403" spans="1:2" ht="15.75" customHeight="1">
      <c r="A403" s="1331">
        <v>43683</v>
      </c>
      <c r="B403" s="1330">
        <v>226</v>
      </c>
    </row>
    <row r="404" spans="1:2" ht="15.75" customHeight="1">
      <c r="A404" s="1329">
        <v>43682</v>
      </c>
      <c r="B404" s="1330">
        <v>226</v>
      </c>
    </row>
    <row r="405" spans="1:2" ht="15.75" customHeight="1">
      <c r="A405" s="1331">
        <v>43679</v>
      </c>
      <c r="B405" s="1330">
        <v>217</v>
      </c>
    </row>
    <row r="406" spans="1:2" ht="15.75" customHeight="1">
      <c r="A406" s="1329">
        <v>43678</v>
      </c>
      <c r="B406" s="1330">
        <v>216</v>
      </c>
    </row>
    <row r="407" spans="1:2" ht="15.75" customHeight="1">
      <c r="A407" s="1331">
        <v>43677</v>
      </c>
      <c r="B407" s="1330">
        <v>204</v>
      </c>
    </row>
    <row r="408" spans="1:2" ht="15.75" customHeight="1">
      <c r="A408" s="1329">
        <v>43676</v>
      </c>
      <c r="B408" s="1330">
        <v>202</v>
      </c>
    </row>
    <row r="409" spans="1:2" ht="15.75" customHeight="1">
      <c r="A409" s="1331">
        <v>43675</v>
      </c>
      <c r="B409" s="1330">
        <v>200</v>
      </c>
    </row>
    <row r="410" spans="1:2" ht="15.75" customHeight="1">
      <c r="A410" s="1329">
        <v>43672</v>
      </c>
      <c r="B410" s="1330">
        <v>199</v>
      </c>
    </row>
    <row r="411" spans="1:2" ht="15.75" customHeight="1">
      <c r="A411" s="1331">
        <v>43671</v>
      </c>
      <c r="B411" s="1330">
        <v>195</v>
      </c>
    </row>
    <row r="412" spans="1:2" ht="15.75" customHeight="1">
      <c r="A412" s="1329">
        <v>43670</v>
      </c>
      <c r="B412" s="1330">
        <v>197</v>
      </c>
    </row>
    <row r="413" spans="1:2" ht="15.75" customHeight="1">
      <c r="A413" s="1331">
        <v>43669</v>
      </c>
      <c r="B413" s="1330">
        <v>195</v>
      </c>
    </row>
    <row r="414" spans="1:2" ht="15.75" customHeight="1">
      <c r="A414" s="1329">
        <v>43668</v>
      </c>
      <c r="B414" s="1330">
        <v>197</v>
      </c>
    </row>
    <row r="415" spans="1:2" ht="15.75" customHeight="1">
      <c r="A415" s="1331">
        <v>43665</v>
      </c>
      <c r="B415" s="1330">
        <v>199</v>
      </c>
    </row>
    <row r="416" spans="1:2" ht="15.75" customHeight="1">
      <c r="A416" s="1329">
        <v>43664</v>
      </c>
      <c r="B416" s="1330">
        <v>201</v>
      </c>
    </row>
    <row r="417" spans="1:2" ht="15.75" customHeight="1">
      <c r="A417" s="1331">
        <v>43663</v>
      </c>
      <c r="B417" s="1330">
        <v>200</v>
      </c>
    </row>
    <row r="418" spans="1:2" ht="15.75" customHeight="1">
      <c r="A418" s="1329">
        <v>43662</v>
      </c>
      <c r="B418" s="1330">
        <v>194</v>
      </c>
    </row>
    <row r="419" spans="1:2" ht="15.75" customHeight="1">
      <c r="A419" s="1331">
        <v>43661</v>
      </c>
      <c r="B419" s="1330">
        <v>195</v>
      </c>
    </row>
    <row r="420" spans="1:2" ht="15.75" customHeight="1">
      <c r="A420" s="1329">
        <v>43658</v>
      </c>
      <c r="B420" s="1330">
        <v>196</v>
      </c>
    </row>
    <row r="421" spans="1:2" ht="15.75" customHeight="1">
      <c r="A421" s="1331">
        <v>43657</v>
      </c>
      <c r="B421" s="1330">
        <v>198</v>
      </c>
    </row>
    <row r="422" spans="1:2" ht="15.75" customHeight="1">
      <c r="A422" s="1329">
        <v>43656</v>
      </c>
      <c r="B422" s="1330">
        <v>199</v>
      </c>
    </row>
    <row r="423" spans="1:2" ht="15.75" customHeight="1">
      <c r="A423" s="1331">
        <v>43655</v>
      </c>
      <c r="B423" s="1330">
        <v>197</v>
      </c>
    </row>
    <row r="424" spans="1:2" ht="15.75" customHeight="1">
      <c r="A424" s="1329">
        <v>43654</v>
      </c>
      <c r="B424" s="1330">
        <v>194</v>
      </c>
    </row>
    <row r="425" spans="1:2" ht="15.75" customHeight="1">
      <c r="A425" s="1331">
        <v>43651</v>
      </c>
      <c r="B425" s="1330">
        <v>194</v>
      </c>
    </row>
    <row r="426" spans="1:2" ht="15.75" customHeight="1">
      <c r="A426" s="1329">
        <v>43650</v>
      </c>
      <c r="B426" s="1330">
        <v>201</v>
      </c>
    </row>
    <row r="427" spans="1:2" ht="15.75" customHeight="1">
      <c r="A427" s="1331">
        <v>43649</v>
      </c>
      <c r="B427" s="1330">
        <v>201</v>
      </c>
    </row>
    <row r="428" spans="1:2" ht="15.75" customHeight="1">
      <c r="A428" s="1329">
        <v>43648</v>
      </c>
      <c r="B428" s="1330">
        <v>200</v>
      </c>
    </row>
    <row r="429" spans="1:2" ht="15.75" customHeight="1">
      <c r="A429" s="1331">
        <v>43647</v>
      </c>
      <c r="B429" s="1330">
        <v>198</v>
      </c>
    </row>
    <row r="430" spans="1:2" ht="15.75" customHeight="1">
      <c r="A430" s="1329">
        <v>43644</v>
      </c>
      <c r="B430" s="1330">
        <v>202</v>
      </c>
    </row>
    <row r="431" spans="1:2" ht="15.75" customHeight="1">
      <c r="A431" s="1331">
        <v>43643</v>
      </c>
      <c r="B431" s="1330">
        <v>202</v>
      </c>
    </row>
    <row r="432" spans="1:2" ht="15.75" customHeight="1">
      <c r="A432" s="1329">
        <v>43642</v>
      </c>
      <c r="B432" s="1330">
        <v>202</v>
      </c>
    </row>
    <row r="433" spans="1:2" ht="15.75" customHeight="1">
      <c r="A433" s="1331">
        <v>43641</v>
      </c>
      <c r="B433" s="1330">
        <v>205</v>
      </c>
    </row>
    <row r="434" spans="1:2" ht="15.75" customHeight="1">
      <c r="A434" s="1329">
        <v>43640</v>
      </c>
      <c r="B434" s="1330">
        <v>201</v>
      </c>
    </row>
    <row r="435" spans="1:2" ht="15.75" customHeight="1">
      <c r="A435" s="1331">
        <v>43637</v>
      </c>
      <c r="B435" s="1330">
        <v>198</v>
      </c>
    </row>
    <row r="436" spans="1:2" ht="15.75" customHeight="1">
      <c r="A436" s="1329">
        <v>43636</v>
      </c>
      <c r="B436" s="1330">
        <v>201</v>
      </c>
    </row>
    <row r="437" spans="1:2" ht="15.75" customHeight="1">
      <c r="A437" s="1331">
        <v>43635</v>
      </c>
      <c r="B437" s="1330">
        <v>209</v>
      </c>
    </row>
    <row r="438" spans="1:2" ht="15.75" customHeight="1">
      <c r="A438" s="1329">
        <v>43634</v>
      </c>
      <c r="B438" s="1330">
        <v>210</v>
      </c>
    </row>
    <row r="439" spans="1:2" ht="15.75" customHeight="1">
      <c r="A439" s="1331">
        <v>43633</v>
      </c>
      <c r="B439" s="1330">
        <v>215</v>
      </c>
    </row>
    <row r="440" spans="1:2" ht="15.75" customHeight="1">
      <c r="A440" s="1329">
        <v>43630</v>
      </c>
      <c r="B440" s="1330">
        <v>215</v>
      </c>
    </row>
    <row r="441" spans="1:2" ht="15.75" customHeight="1">
      <c r="A441" s="1331">
        <v>43629</v>
      </c>
      <c r="B441" s="1330">
        <v>215</v>
      </c>
    </row>
    <row r="442" spans="1:2" ht="15.75" customHeight="1">
      <c r="A442" s="1329">
        <v>43628</v>
      </c>
      <c r="B442" s="1330">
        <v>214</v>
      </c>
    </row>
    <row r="443" spans="1:2" ht="15.75" customHeight="1">
      <c r="A443" s="1331">
        <v>43627</v>
      </c>
      <c r="B443" s="1330">
        <v>214</v>
      </c>
    </row>
    <row r="444" spans="1:2" ht="15.75" customHeight="1">
      <c r="A444" s="1329">
        <v>43626</v>
      </c>
      <c r="B444" s="1330">
        <v>215</v>
      </c>
    </row>
    <row r="445" spans="1:2" ht="15.75" customHeight="1">
      <c r="A445" s="1331">
        <v>43623</v>
      </c>
      <c r="B445" s="1330">
        <v>225</v>
      </c>
    </row>
    <row r="446" spans="1:2" ht="15.75" customHeight="1">
      <c r="A446" s="1329">
        <v>43622</v>
      </c>
      <c r="B446" s="1330">
        <v>220</v>
      </c>
    </row>
    <row r="447" spans="1:2" ht="15.75" customHeight="1">
      <c r="A447" s="1331">
        <v>43621</v>
      </c>
      <c r="B447" s="1330">
        <v>215</v>
      </c>
    </row>
    <row r="448" spans="1:2" ht="15.75" customHeight="1">
      <c r="A448" s="1329">
        <v>43620</v>
      </c>
      <c r="B448" s="1330">
        <v>219</v>
      </c>
    </row>
    <row r="449" spans="1:2" ht="15.75" customHeight="1">
      <c r="A449" s="1331">
        <v>43619</v>
      </c>
      <c r="B449" s="1330">
        <v>230</v>
      </c>
    </row>
    <row r="450" spans="1:2" ht="15.75" customHeight="1">
      <c r="A450" s="1329">
        <v>43616</v>
      </c>
      <c r="B450" s="1330">
        <v>227</v>
      </c>
    </row>
    <row r="451" spans="1:2" ht="15.75" customHeight="1">
      <c r="A451" s="1331">
        <v>43615</v>
      </c>
      <c r="B451" s="1330">
        <v>218</v>
      </c>
    </row>
    <row r="452" spans="1:2" ht="15.75" customHeight="1">
      <c r="A452" s="1329">
        <v>43614</v>
      </c>
      <c r="B452" s="1330">
        <v>215</v>
      </c>
    </row>
    <row r="453" spans="1:2" ht="15.75" customHeight="1">
      <c r="A453" s="1331">
        <v>43613</v>
      </c>
      <c r="B453" s="1330">
        <v>216</v>
      </c>
    </row>
    <row r="454" spans="1:2" ht="15.75" customHeight="1">
      <c r="A454" s="1329">
        <v>43612</v>
      </c>
      <c r="B454" s="1330">
        <v>212</v>
      </c>
    </row>
    <row r="455" spans="1:2" ht="15.75" customHeight="1">
      <c r="A455" s="1331">
        <v>43609</v>
      </c>
      <c r="B455" s="1330">
        <v>212</v>
      </c>
    </row>
    <row r="456" spans="1:2" ht="15.75" customHeight="1">
      <c r="A456" s="1329">
        <v>43608</v>
      </c>
      <c r="B456" s="1330">
        <v>215</v>
      </c>
    </row>
    <row r="457" spans="1:2" ht="15.75" customHeight="1">
      <c r="A457" s="1331">
        <v>43607</v>
      </c>
      <c r="B457" s="1330">
        <v>206</v>
      </c>
    </row>
    <row r="458" spans="1:2" ht="15.75" customHeight="1">
      <c r="A458" s="1329">
        <v>43606</v>
      </c>
      <c r="B458" s="1330">
        <v>203</v>
      </c>
    </row>
    <row r="459" spans="1:2" ht="15.75" customHeight="1">
      <c r="A459" s="1331">
        <v>43605</v>
      </c>
      <c r="B459" s="1330">
        <v>206</v>
      </c>
    </row>
    <row r="460" spans="1:2" ht="15.75" customHeight="1">
      <c r="A460" s="1329">
        <v>43602</v>
      </c>
      <c r="B460" s="1330">
        <v>208</v>
      </c>
    </row>
    <row r="461" spans="1:2" ht="15.75" customHeight="1">
      <c r="A461" s="1331">
        <v>43601</v>
      </c>
      <c r="B461" s="1330">
        <v>207</v>
      </c>
    </row>
    <row r="462" spans="1:2" ht="15.75" customHeight="1">
      <c r="A462" s="1329">
        <v>43600</v>
      </c>
      <c r="B462" s="1330">
        <v>208</v>
      </c>
    </row>
    <row r="463" spans="1:2" ht="15.75" customHeight="1">
      <c r="A463" s="1331">
        <v>43599</v>
      </c>
      <c r="B463" s="1330">
        <v>207</v>
      </c>
    </row>
    <row r="464" spans="1:2" ht="15.75" customHeight="1">
      <c r="A464" s="1329">
        <v>43598</v>
      </c>
      <c r="B464" s="1330">
        <v>211</v>
      </c>
    </row>
    <row r="465" spans="1:2" ht="15.75" customHeight="1">
      <c r="A465" s="1331">
        <v>43595</v>
      </c>
      <c r="B465" s="1330">
        <v>205</v>
      </c>
    </row>
    <row r="466" spans="1:2" ht="15.75" customHeight="1">
      <c r="A466" s="1329">
        <v>43594</v>
      </c>
      <c r="B466" s="1330">
        <v>205</v>
      </c>
    </row>
    <row r="467" spans="1:2" ht="15.75" customHeight="1">
      <c r="A467" s="1331">
        <v>43593</v>
      </c>
      <c r="B467" s="1330">
        <v>200</v>
      </c>
    </row>
    <row r="468" spans="1:2" ht="15.75" customHeight="1">
      <c r="A468" s="1329">
        <v>43592</v>
      </c>
      <c r="B468" s="1330">
        <v>203</v>
      </c>
    </row>
    <row r="469" spans="1:2" ht="15.75" customHeight="1">
      <c r="A469" s="1331">
        <v>43591</v>
      </c>
      <c r="B469" s="1330">
        <v>197</v>
      </c>
    </row>
    <row r="470" spans="1:2" ht="15.75" customHeight="1">
      <c r="A470" s="1329">
        <v>43588</v>
      </c>
      <c r="B470" s="1330">
        <v>195</v>
      </c>
    </row>
    <row r="471" spans="1:2" ht="15.75" customHeight="1">
      <c r="A471" s="1331">
        <v>43587</v>
      </c>
      <c r="B471" s="1330">
        <v>195</v>
      </c>
    </row>
    <row r="472" spans="1:2" ht="15.75" customHeight="1">
      <c r="A472" s="1329">
        <v>43586</v>
      </c>
      <c r="B472" s="1330">
        <v>194</v>
      </c>
    </row>
    <row r="473" spans="1:2" ht="15.75" customHeight="1">
      <c r="A473" s="1331">
        <v>43585</v>
      </c>
      <c r="B473" s="1330">
        <v>195</v>
      </c>
    </row>
    <row r="474" spans="1:2" ht="15.75" customHeight="1">
      <c r="A474" s="1329">
        <v>43584</v>
      </c>
      <c r="B474" s="1330">
        <v>192</v>
      </c>
    </row>
    <row r="475" spans="1:2" ht="15.75" customHeight="1">
      <c r="A475" s="1331">
        <v>43581</v>
      </c>
      <c r="B475" s="1330">
        <v>194</v>
      </c>
    </row>
    <row r="476" spans="1:2" ht="15.75" customHeight="1">
      <c r="A476" s="1329">
        <v>43580</v>
      </c>
      <c r="B476" s="1330">
        <v>195</v>
      </c>
    </row>
    <row r="477" spans="1:2" ht="15.75" customHeight="1">
      <c r="A477" s="1331">
        <v>43579</v>
      </c>
      <c r="B477" s="1330">
        <v>196</v>
      </c>
    </row>
    <row r="478" spans="1:2" ht="15.75" customHeight="1">
      <c r="A478" s="1329">
        <v>43578</v>
      </c>
      <c r="B478" s="1330">
        <v>193</v>
      </c>
    </row>
    <row r="479" spans="1:2" ht="15.75" customHeight="1">
      <c r="A479" s="1331">
        <v>43577</v>
      </c>
      <c r="B479" s="1330">
        <v>194</v>
      </c>
    </row>
    <row r="480" spans="1:2" ht="15.75" customHeight="1">
      <c r="A480" s="1329">
        <v>43573</v>
      </c>
      <c r="B480" s="1330">
        <v>196</v>
      </c>
    </row>
    <row r="481" spans="1:2" ht="15.75" customHeight="1">
      <c r="A481" s="1331">
        <v>43572</v>
      </c>
      <c r="B481" s="1330">
        <v>196</v>
      </c>
    </row>
    <row r="482" spans="1:2" ht="15.75" customHeight="1">
      <c r="A482" s="1329">
        <v>43571</v>
      </c>
      <c r="B482" s="1330">
        <v>196</v>
      </c>
    </row>
    <row r="483" spans="1:2" ht="15.75" customHeight="1">
      <c r="A483" s="1331">
        <v>43570</v>
      </c>
      <c r="B483" s="1330">
        <v>199</v>
      </c>
    </row>
    <row r="484" spans="1:2" ht="15.75" customHeight="1">
      <c r="A484" s="1329">
        <v>43567</v>
      </c>
      <c r="B484" s="1330">
        <v>196</v>
      </c>
    </row>
    <row r="485" spans="1:2" ht="15.75" customHeight="1">
      <c r="A485" s="1331">
        <v>43566</v>
      </c>
      <c r="B485" s="1330">
        <v>198</v>
      </c>
    </row>
    <row r="486" spans="1:2" ht="15.75" customHeight="1">
      <c r="A486" s="1329">
        <v>43565</v>
      </c>
      <c r="B486" s="1330">
        <v>201</v>
      </c>
    </row>
    <row r="487" spans="1:2" ht="15.75" customHeight="1">
      <c r="A487" s="1331">
        <v>43564</v>
      </c>
      <c r="B487" s="1330">
        <v>198</v>
      </c>
    </row>
    <row r="488" spans="1:2" ht="15.75" customHeight="1">
      <c r="A488" s="1329">
        <v>43563</v>
      </c>
      <c r="B488" s="1330">
        <v>200</v>
      </c>
    </row>
    <row r="489" spans="1:2" ht="15.75" customHeight="1">
      <c r="A489" s="1331">
        <v>43560</v>
      </c>
      <c r="B489" s="1330">
        <v>201</v>
      </c>
    </row>
    <row r="490" spans="1:2" ht="15.75" customHeight="1">
      <c r="A490" s="1329">
        <v>43559</v>
      </c>
      <c r="B490" s="1330">
        <v>201</v>
      </c>
    </row>
    <row r="491" spans="1:2" ht="15.75" customHeight="1">
      <c r="A491" s="1331">
        <v>43558</v>
      </c>
      <c r="B491" s="1330">
        <v>201</v>
      </c>
    </row>
    <row r="492" spans="1:2" ht="15.75" customHeight="1">
      <c r="A492" s="1329">
        <v>43557</v>
      </c>
      <c r="B492" s="1330">
        <v>206</v>
      </c>
    </row>
    <row r="493" spans="1:2" ht="15.75" customHeight="1">
      <c r="A493" s="1331">
        <v>43556</v>
      </c>
      <c r="B493" s="1330">
        <v>202</v>
      </c>
    </row>
    <row r="494" spans="1:2" ht="15.75" customHeight="1">
      <c r="A494" s="1329">
        <v>43553</v>
      </c>
      <c r="B494" s="1330">
        <v>206</v>
      </c>
    </row>
    <row r="495" spans="1:2" ht="15.75" customHeight="1">
      <c r="A495" s="1331">
        <v>43552</v>
      </c>
      <c r="B495" s="1330">
        <v>204</v>
      </c>
    </row>
    <row r="496" spans="1:2" ht="15.75" customHeight="1">
      <c r="A496" s="1329">
        <v>43551</v>
      </c>
      <c r="B496" s="1330">
        <v>204</v>
      </c>
    </row>
    <row r="497" spans="1:2" ht="15.75" customHeight="1">
      <c r="A497" s="1331">
        <v>43550</v>
      </c>
      <c r="B497" s="1330">
        <v>203</v>
      </c>
    </row>
    <row r="498" spans="1:2" ht="15.75" customHeight="1">
      <c r="A498" s="1329">
        <v>43549</v>
      </c>
      <c r="B498" s="1330">
        <v>204</v>
      </c>
    </row>
    <row r="499" spans="1:2" ht="15.75" customHeight="1">
      <c r="A499" s="1331">
        <v>43546</v>
      </c>
      <c r="B499" s="1330">
        <v>203</v>
      </c>
    </row>
    <row r="500" spans="1:2" ht="15.75" customHeight="1">
      <c r="A500" s="1329">
        <v>43545</v>
      </c>
      <c r="B500" s="1330">
        <v>197</v>
      </c>
    </row>
    <row r="501" spans="1:2" ht="15.75" customHeight="1">
      <c r="A501" s="1331">
        <v>43544</v>
      </c>
      <c r="B501" s="1330">
        <v>203</v>
      </c>
    </row>
    <row r="502" spans="1:2" ht="15.75" customHeight="1">
      <c r="A502" s="1329">
        <v>43543</v>
      </c>
      <c r="B502" s="1330">
        <v>204</v>
      </c>
    </row>
    <row r="503" spans="1:2" ht="15.75" customHeight="1">
      <c r="A503" s="1331">
        <v>43542</v>
      </c>
      <c r="B503" s="1330">
        <v>206</v>
      </c>
    </row>
    <row r="504" spans="1:2" ht="15.75" customHeight="1">
      <c r="A504" s="1329">
        <v>43539</v>
      </c>
      <c r="B504" s="1330">
        <v>208</v>
      </c>
    </row>
    <row r="505" spans="1:2" ht="15.75" customHeight="1">
      <c r="A505" s="1331">
        <v>43538</v>
      </c>
      <c r="B505" s="1330">
        <v>205</v>
      </c>
    </row>
    <row r="506" spans="1:2" ht="15.75" customHeight="1">
      <c r="A506" s="1329">
        <v>43537</v>
      </c>
      <c r="B506" s="1330">
        <v>208</v>
      </c>
    </row>
    <row r="507" spans="1:2" ht="15.75" customHeight="1">
      <c r="A507" s="1331">
        <v>43536</v>
      </c>
      <c r="B507" s="1330">
        <v>210</v>
      </c>
    </row>
    <row r="508" spans="1:2" ht="15.75" customHeight="1">
      <c r="A508" s="1329">
        <v>43535</v>
      </c>
      <c r="B508" s="1330">
        <v>212</v>
      </c>
    </row>
    <row r="509" spans="1:2" ht="15.75" customHeight="1">
      <c r="A509" s="1331">
        <v>43532</v>
      </c>
      <c r="B509" s="1330">
        <v>215</v>
      </c>
    </row>
    <row r="510" spans="1:2" ht="15.75" customHeight="1">
      <c r="A510" s="1329">
        <v>43531</v>
      </c>
      <c r="B510" s="1330">
        <v>216</v>
      </c>
    </row>
    <row r="511" spans="1:2" ht="15.75" customHeight="1">
      <c r="A511" s="1331">
        <v>43530</v>
      </c>
      <c r="B511" s="1330">
        <v>209</v>
      </c>
    </row>
    <row r="512" spans="1:2" ht="15.75" customHeight="1">
      <c r="A512" s="1329">
        <v>43529</v>
      </c>
      <c r="B512" s="1330">
        <v>208</v>
      </c>
    </row>
    <row r="513" spans="1:2" ht="15.75" customHeight="1">
      <c r="A513" s="1331">
        <v>43528</v>
      </c>
      <c r="B513" s="1330">
        <v>208</v>
      </c>
    </row>
    <row r="514" spans="1:2" ht="15.75" customHeight="1">
      <c r="A514" s="1329">
        <v>43525</v>
      </c>
      <c r="B514" s="1330">
        <v>203</v>
      </c>
    </row>
    <row r="515" spans="1:2" ht="15.75" customHeight="1">
      <c r="A515" s="1331">
        <v>43524</v>
      </c>
      <c r="B515" s="1330">
        <v>204</v>
      </c>
    </row>
    <row r="516" spans="1:2" ht="15.75" customHeight="1">
      <c r="A516" s="1329">
        <v>43523</v>
      </c>
      <c r="B516" s="1330">
        <v>205</v>
      </c>
    </row>
    <row r="517" spans="1:2" ht="15.75" customHeight="1">
      <c r="A517" s="1331">
        <v>43522</v>
      </c>
      <c r="B517" s="1330">
        <v>215</v>
      </c>
    </row>
    <row r="518" spans="1:2" ht="15.75" customHeight="1">
      <c r="A518" s="1329">
        <v>43521</v>
      </c>
      <c r="B518" s="1330">
        <v>217</v>
      </c>
    </row>
    <row r="519" spans="1:2" ht="15.75" customHeight="1">
      <c r="A519" s="1331">
        <v>43518</v>
      </c>
      <c r="B519" s="1330">
        <v>216</v>
      </c>
    </row>
    <row r="520" spans="1:2" ht="15.75" customHeight="1">
      <c r="A520" s="1329">
        <v>43517</v>
      </c>
      <c r="B520" s="1330">
        <v>216</v>
      </c>
    </row>
    <row r="521" spans="1:2" ht="15.75" customHeight="1">
      <c r="A521" s="1331">
        <v>43516</v>
      </c>
      <c r="B521" s="1330">
        <v>217</v>
      </c>
    </row>
    <row r="522" spans="1:2" ht="15.75" customHeight="1">
      <c r="A522" s="1329">
        <v>43515</v>
      </c>
      <c r="B522" s="1330">
        <v>217</v>
      </c>
    </row>
    <row r="523" spans="1:2" ht="15.75" customHeight="1">
      <c r="A523" s="1331">
        <v>43514</v>
      </c>
      <c r="B523" s="1330">
        <v>219</v>
      </c>
    </row>
    <row r="524" spans="1:2" ht="15.75" customHeight="1">
      <c r="A524" s="1329">
        <v>43511</v>
      </c>
      <c r="B524" s="1330">
        <v>219</v>
      </c>
    </row>
    <row r="525" spans="1:2" ht="15.75" customHeight="1">
      <c r="A525" s="1331">
        <v>43510</v>
      </c>
      <c r="B525" s="1330">
        <v>218</v>
      </c>
    </row>
    <row r="526" spans="1:2" ht="15.75" customHeight="1">
      <c r="A526" s="1329">
        <v>43509</v>
      </c>
      <c r="B526" s="1330">
        <v>218</v>
      </c>
    </row>
    <row r="527" spans="1:2" ht="15.75" customHeight="1">
      <c r="A527" s="1331">
        <v>43508</v>
      </c>
      <c r="B527" s="1330">
        <v>218</v>
      </c>
    </row>
    <row r="528" spans="1:2" ht="15.75" customHeight="1">
      <c r="A528" s="1329">
        <v>43507</v>
      </c>
      <c r="B528" s="1330">
        <v>224</v>
      </c>
    </row>
    <row r="529" spans="1:2" ht="15.75" customHeight="1">
      <c r="A529" s="1331">
        <v>43504</v>
      </c>
      <c r="B529" s="1330">
        <v>222</v>
      </c>
    </row>
    <row r="530" spans="1:2" ht="15.75" customHeight="1">
      <c r="A530" s="1329">
        <v>43503</v>
      </c>
      <c r="B530" s="1330">
        <v>217</v>
      </c>
    </row>
    <row r="531" spans="1:2" ht="15.75" customHeight="1">
      <c r="A531" s="1331">
        <v>43502</v>
      </c>
      <c r="B531" s="1330">
        <v>210</v>
      </c>
    </row>
    <row r="532" spans="1:2" ht="15.75" customHeight="1">
      <c r="A532" s="1329">
        <v>43501</v>
      </c>
      <c r="B532" s="1330">
        <v>209</v>
      </c>
    </row>
    <row r="533" spans="1:2" ht="15.75" customHeight="1">
      <c r="A533" s="1331">
        <v>43500</v>
      </c>
      <c r="B533" s="1330">
        <v>208</v>
      </c>
    </row>
    <row r="534" spans="1:2" ht="15.75" customHeight="1">
      <c r="A534" s="1329">
        <v>43497</v>
      </c>
      <c r="B534" s="1330">
        <v>211</v>
      </c>
    </row>
    <row r="535" spans="1:2" ht="15.75" customHeight="1">
      <c r="A535" s="1331">
        <v>43496</v>
      </c>
      <c r="B535" s="1330">
        <v>218</v>
      </c>
    </row>
    <row r="536" spans="1:2" ht="15.75" customHeight="1">
      <c r="A536" s="1329">
        <v>43495</v>
      </c>
      <c r="B536" s="1330">
        <v>216</v>
      </c>
    </row>
    <row r="537" spans="1:2" ht="15.75" customHeight="1">
      <c r="A537" s="1331">
        <v>43494</v>
      </c>
      <c r="B537" s="1330">
        <v>215</v>
      </c>
    </row>
    <row r="538" spans="1:2" ht="15.75" customHeight="1">
      <c r="A538" s="1329">
        <v>43493</v>
      </c>
      <c r="B538" s="1330">
        <v>213</v>
      </c>
    </row>
    <row r="539" spans="1:2" ht="15.75" customHeight="1">
      <c r="A539" s="1331">
        <v>43490</v>
      </c>
      <c r="B539" s="1330">
        <v>214</v>
      </c>
    </row>
    <row r="540" spans="1:2" ht="15.75" customHeight="1">
      <c r="A540" s="1329">
        <v>43489</v>
      </c>
      <c r="B540" s="1330">
        <v>219</v>
      </c>
    </row>
    <row r="541" spans="1:2" ht="15.75" customHeight="1">
      <c r="A541" s="1331">
        <v>43488</v>
      </c>
      <c r="B541" s="1330">
        <v>219</v>
      </c>
    </row>
    <row r="542" spans="1:2" ht="15.75" customHeight="1">
      <c r="A542" s="1329">
        <v>43487</v>
      </c>
      <c r="B542" s="1330">
        <v>221</v>
      </c>
    </row>
    <row r="543" spans="1:2" ht="15.75" customHeight="1">
      <c r="A543" s="1331">
        <v>43486</v>
      </c>
      <c r="B543" s="1330">
        <v>214</v>
      </c>
    </row>
    <row r="544" spans="1:2" ht="15.75" customHeight="1">
      <c r="A544" s="1329">
        <v>43483</v>
      </c>
      <c r="B544" s="1330">
        <v>214</v>
      </c>
    </row>
    <row r="545" spans="1:2" ht="15.75" customHeight="1">
      <c r="A545" s="1331">
        <v>43482</v>
      </c>
      <c r="B545" s="1330">
        <v>216</v>
      </c>
    </row>
    <row r="546" spans="1:2" ht="15.75" customHeight="1">
      <c r="A546" s="1329">
        <v>43481</v>
      </c>
      <c r="B546" s="1330">
        <v>215</v>
      </c>
    </row>
    <row r="547" spans="1:2" ht="15.75" customHeight="1">
      <c r="A547" s="1331">
        <v>43480</v>
      </c>
      <c r="B547" s="1330">
        <v>214</v>
      </c>
    </row>
    <row r="548" spans="1:2" ht="15.75" customHeight="1">
      <c r="A548" s="1329">
        <v>43479</v>
      </c>
      <c r="B548" s="1330">
        <v>215</v>
      </c>
    </row>
    <row r="549" spans="1:2" ht="15.75" customHeight="1">
      <c r="A549" s="1331">
        <v>43476</v>
      </c>
      <c r="B549" s="1330">
        <v>218</v>
      </c>
    </row>
    <row r="550" spans="1:2" ht="15.75" customHeight="1">
      <c r="A550" s="1329">
        <v>43475</v>
      </c>
      <c r="B550" s="1330">
        <v>218</v>
      </c>
    </row>
    <row r="551" spans="1:2" ht="15.75" customHeight="1">
      <c r="A551" s="1331">
        <v>43474</v>
      </c>
      <c r="B551" s="1330">
        <v>215</v>
      </c>
    </row>
    <row r="552" spans="1:2" ht="15.75" customHeight="1">
      <c r="A552" s="1329">
        <v>43473</v>
      </c>
      <c r="B552" s="1330">
        <v>217</v>
      </c>
    </row>
    <row r="553" spans="1:2" ht="15.75" customHeight="1">
      <c r="A553" s="1331">
        <v>43472</v>
      </c>
      <c r="B553" s="1330">
        <v>217</v>
      </c>
    </row>
    <row r="554" spans="1:2" ht="15.75" customHeight="1">
      <c r="A554" s="1329">
        <v>43469</v>
      </c>
      <c r="B554" s="1330">
        <v>226</v>
      </c>
    </row>
    <row r="555" spans="1:2" ht="15.75" customHeight="1">
      <c r="A555" s="1331">
        <v>43468</v>
      </c>
      <c r="B555" s="1330">
        <v>242</v>
      </c>
    </row>
    <row r="556" spans="1:2" ht="15.75" customHeight="1">
      <c r="A556" s="1329">
        <v>43467</v>
      </c>
      <c r="B556" s="1330">
        <v>241</v>
      </c>
    </row>
    <row r="557" spans="1:2" ht="15.75" customHeight="1">
      <c r="A557" s="1331">
        <v>43465</v>
      </c>
      <c r="B557" s="1330">
        <v>251</v>
      </c>
    </row>
    <row r="558" spans="1:2" ht="15.75" customHeight="1">
      <c r="A558" s="1329">
        <v>43462</v>
      </c>
      <c r="B558" s="1330">
        <v>236</v>
      </c>
    </row>
    <row r="559" spans="1:2" ht="15.75" customHeight="1">
      <c r="A559" s="1331">
        <v>43461</v>
      </c>
      <c r="B559" s="1330">
        <v>238</v>
      </c>
    </row>
    <row r="560" spans="1:2" ht="15.75" customHeight="1">
      <c r="A560" s="1329">
        <v>43460</v>
      </c>
      <c r="B560" s="1330">
        <v>235</v>
      </c>
    </row>
    <row r="561" spans="1:2" ht="15.75" customHeight="1">
      <c r="A561" s="1331">
        <v>43458</v>
      </c>
      <c r="B561" s="1330">
        <v>239</v>
      </c>
    </row>
    <row r="562" spans="1:2" ht="15.75" customHeight="1">
      <c r="A562" s="1329">
        <v>43455</v>
      </c>
      <c r="B562" s="1330">
        <v>235</v>
      </c>
    </row>
    <row r="563" spans="1:2" ht="15.75" customHeight="1">
      <c r="A563" s="1331">
        <v>43454</v>
      </c>
      <c r="B563" s="1330">
        <v>232</v>
      </c>
    </row>
    <row r="564" spans="1:2" ht="15.75" customHeight="1">
      <c r="A564" s="1329">
        <v>43453</v>
      </c>
      <c r="B564" s="1330">
        <v>233</v>
      </c>
    </row>
    <row r="565" spans="1:2" ht="15.75" customHeight="1">
      <c r="A565" s="1331">
        <v>43452</v>
      </c>
      <c r="B565" s="1330">
        <v>227</v>
      </c>
    </row>
    <row r="566" spans="1:2" ht="15.75" customHeight="1">
      <c r="A566" s="1329">
        <v>43451</v>
      </c>
      <c r="B566" s="1330">
        <v>224</v>
      </c>
    </row>
    <row r="567" spans="1:2" ht="15.75" customHeight="1">
      <c r="A567" s="1331">
        <v>43448</v>
      </c>
      <c r="B567" s="1330">
        <v>225</v>
      </c>
    </row>
    <row r="568" spans="1:2" ht="15.75" customHeight="1">
      <c r="A568" s="1329">
        <v>43447</v>
      </c>
      <c r="B568" s="1330">
        <v>223</v>
      </c>
    </row>
    <row r="569" spans="1:2" ht="15.75" customHeight="1">
      <c r="A569" s="1331">
        <v>43446</v>
      </c>
      <c r="B569" s="1330">
        <v>225</v>
      </c>
    </row>
    <row r="570" spans="1:2" ht="15.75" customHeight="1">
      <c r="A570" s="1329">
        <v>43445</v>
      </c>
      <c r="B570" s="1330">
        <v>230</v>
      </c>
    </row>
    <row r="571" spans="1:2" ht="15.75" customHeight="1">
      <c r="A571" s="1331">
        <v>43444</v>
      </c>
      <c r="B571" s="1330">
        <v>234</v>
      </c>
    </row>
    <row r="572" spans="1:2" ht="15.75" customHeight="1">
      <c r="A572" s="1329">
        <v>43441</v>
      </c>
      <c r="B572" s="1330">
        <v>233</v>
      </c>
    </row>
    <row r="573" spans="1:2" ht="15.75" customHeight="1">
      <c r="A573" s="1331">
        <v>43440</v>
      </c>
      <c r="B573" s="1330">
        <v>236</v>
      </c>
    </row>
    <row r="574" spans="1:2" ht="15.75" customHeight="1">
      <c r="A574" s="1329">
        <v>43439</v>
      </c>
      <c r="B574" s="1330">
        <v>239</v>
      </c>
    </row>
    <row r="575" spans="1:2" ht="15.75" customHeight="1">
      <c r="A575" s="1331">
        <v>43438</v>
      </c>
      <c r="B575" s="1330">
        <v>239</v>
      </c>
    </row>
    <row r="576" spans="1:2" ht="15.75" customHeight="1">
      <c r="A576" s="1329">
        <v>43437</v>
      </c>
      <c r="B576" s="1330">
        <v>225</v>
      </c>
    </row>
    <row r="577" spans="1:2" ht="15.75" customHeight="1">
      <c r="A577" s="1331">
        <v>43434</v>
      </c>
      <c r="B577" s="1330">
        <v>228</v>
      </c>
    </row>
    <row r="578" spans="1:2" ht="15.75" customHeight="1">
      <c r="A578" s="1329">
        <v>43433</v>
      </c>
      <c r="B578" s="1330">
        <v>224</v>
      </c>
    </row>
    <row r="579" spans="1:2" ht="15.75" customHeight="1">
      <c r="A579" s="1331">
        <v>43432</v>
      </c>
      <c r="B579" s="1330">
        <v>228</v>
      </c>
    </row>
    <row r="580" spans="1:2" ht="15.75" customHeight="1">
      <c r="A580" s="1329">
        <v>43431</v>
      </c>
      <c r="B580" s="1330">
        <v>237</v>
      </c>
    </row>
    <row r="581" spans="1:2" ht="15.75" customHeight="1">
      <c r="A581" s="1331">
        <v>43430</v>
      </c>
      <c r="B581" s="1330">
        <v>234</v>
      </c>
    </row>
    <row r="582" spans="1:2" ht="15.75" customHeight="1">
      <c r="A582" s="1329">
        <v>43427</v>
      </c>
      <c r="B582" s="1330">
        <v>233</v>
      </c>
    </row>
    <row r="583" spans="1:2" ht="15.75" customHeight="1">
      <c r="A583" s="1331">
        <v>43426</v>
      </c>
      <c r="B583" s="1330">
        <v>232</v>
      </c>
    </row>
    <row r="584" spans="1:2" ht="15.75" customHeight="1">
      <c r="A584" s="1329">
        <v>43425</v>
      </c>
      <c r="B584" s="1330">
        <v>232</v>
      </c>
    </row>
    <row r="585" spans="1:2" ht="15.75" customHeight="1">
      <c r="A585" s="1331">
        <v>43424</v>
      </c>
      <c r="B585" s="1330">
        <v>236</v>
      </c>
    </row>
    <row r="586" spans="1:2" ht="15.75" customHeight="1">
      <c r="A586" s="1329">
        <v>43423</v>
      </c>
      <c r="B586" s="1330">
        <v>229</v>
      </c>
    </row>
    <row r="587" spans="1:2" ht="15.75" customHeight="1">
      <c r="A587" s="1331">
        <v>43420</v>
      </c>
      <c r="B587" s="1330">
        <v>225</v>
      </c>
    </row>
    <row r="588" spans="1:2" ht="15.75" customHeight="1">
      <c r="A588" s="1329">
        <v>43419</v>
      </c>
      <c r="B588" s="1330">
        <v>231</v>
      </c>
    </row>
    <row r="589" spans="1:2" ht="15.75" customHeight="1">
      <c r="A589" s="1331">
        <v>43418</v>
      </c>
      <c r="B589" s="1330">
        <v>227</v>
      </c>
    </row>
    <row r="590" spans="1:2" ht="15.75" customHeight="1">
      <c r="A590" s="1329">
        <v>43417</v>
      </c>
      <c r="B590" s="1330">
        <v>223</v>
      </c>
    </row>
    <row r="591" spans="1:2" ht="15.75" customHeight="1">
      <c r="A591" s="1331">
        <v>43416</v>
      </c>
      <c r="B591" s="1330">
        <v>210</v>
      </c>
    </row>
    <row r="592" spans="1:2" ht="15.75" customHeight="1">
      <c r="A592" s="1329">
        <v>43413</v>
      </c>
      <c r="B592" s="1330">
        <v>210</v>
      </c>
    </row>
    <row r="593" spans="1:2" ht="15.75" customHeight="1">
      <c r="A593" s="1331">
        <v>43412</v>
      </c>
      <c r="B593" s="1330">
        <v>207</v>
      </c>
    </row>
    <row r="594" spans="1:2" ht="15.75" customHeight="1">
      <c r="A594" s="1329">
        <v>43411</v>
      </c>
      <c r="B594" s="1330">
        <v>201</v>
      </c>
    </row>
    <row r="595" spans="1:2" ht="15.75" customHeight="1">
      <c r="A595" s="1331">
        <v>43410</v>
      </c>
      <c r="B595" s="1330">
        <v>204</v>
      </c>
    </row>
    <row r="596" spans="1:2" ht="15.75" customHeight="1">
      <c r="A596" s="1329">
        <v>43409</v>
      </c>
      <c r="B596" s="1330">
        <v>205</v>
      </c>
    </row>
    <row r="597" spans="1:2" ht="15.75" customHeight="1">
      <c r="A597" s="1331">
        <v>43406</v>
      </c>
      <c r="B597" s="1330">
        <v>203</v>
      </c>
    </row>
    <row r="598" spans="1:2" ht="15.75" customHeight="1">
      <c r="A598" s="1329">
        <v>43405</v>
      </c>
      <c r="B598" s="1330">
        <v>210</v>
      </c>
    </row>
    <row r="599" spans="1:2" ht="15.75" customHeight="1">
      <c r="A599" s="1331">
        <v>43404</v>
      </c>
      <c r="B599" s="1330">
        <v>211</v>
      </c>
    </row>
    <row r="600" spans="1:2" ht="15.75" customHeight="1">
      <c r="A600" s="1329">
        <v>43403</v>
      </c>
      <c r="B600" s="1330">
        <v>213</v>
      </c>
    </row>
    <row r="601" spans="1:2" ht="15.75" customHeight="1">
      <c r="A601" s="1331">
        <v>43402</v>
      </c>
      <c r="B601" s="1330">
        <v>213</v>
      </c>
    </row>
    <row r="602" spans="1:2" ht="15.75" customHeight="1">
      <c r="A602" s="1329">
        <v>43399</v>
      </c>
      <c r="B602" s="1330">
        <v>204</v>
      </c>
    </row>
    <row r="603" spans="1:2" ht="15.75" customHeight="1">
      <c r="A603" s="1331">
        <v>43398</v>
      </c>
      <c r="B603" s="1330">
        <v>199</v>
      </c>
    </row>
    <row r="604" spans="1:2" ht="15.75" customHeight="1">
      <c r="A604" s="1329">
        <v>43397</v>
      </c>
      <c r="B604" s="1330">
        <v>201</v>
      </c>
    </row>
    <row r="605" spans="1:2" ht="15.75" customHeight="1">
      <c r="A605" s="1331">
        <v>43396</v>
      </c>
      <c r="B605" s="1330">
        <v>196</v>
      </c>
    </row>
    <row r="606" spans="1:2" ht="15.75" customHeight="1">
      <c r="A606" s="1329">
        <v>43395</v>
      </c>
      <c r="B606" s="1330">
        <v>197</v>
      </c>
    </row>
    <row r="607" spans="1:2" ht="15.75" customHeight="1">
      <c r="A607" s="1331">
        <v>43392</v>
      </c>
      <c r="B607" s="1330">
        <v>191</v>
      </c>
    </row>
    <row r="608" spans="1:2" ht="15.75" customHeight="1">
      <c r="A608" s="1329">
        <v>43391</v>
      </c>
      <c r="B608" s="1330">
        <v>190</v>
      </c>
    </row>
    <row r="609" spans="1:2" ht="15.75" customHeight="1">
      <c r="A609" s="1331">
        <v>43390</v>
      </c>
      <c r="B609" s="1330">
        <v>182</v>
      </c>
    </row>
    <row r="610" spans="1:2" ht="15.75" customHeight="1">
      <c r="A610" s="1329">
        <v>43389</v>
      </c>
      <c r="B610" s="1330">
        <v>184</v>
      </c>
    </row>
    <row r="611" spans="1:2" ht="15.75" customHeight="1">
      <c r="A611" s="1331">
        <v>43388</v>
      </c>
      <c r="B611" s="1330">
        <v>186</v>
      </c>
    </row>
    <row r="612" spans="1:2" ht="15.75" customHeight="1">
      <c r="A612" s="1329">
        <v>43385</v>
      </c>
      <c r="B612" s="1330">
        <v>186</v>
      </c>
    </row>
    <row r="613" spans="1:2" ht="15.75" customHeight="1">
      <c r="A613" s="1331">
        <v>43384</v>
      </c>
      <c r="B613" s="1330">
        <v>188</v>
      </c>
    </row>
    <row r="614" spans="1:2" ht="15.75" customHeight="1">
      <c r="A614" s="1329">
        <v>43383</v>
      </c>
      <c r="B614" s="1330">
        <v>179</v>
      </c>
    </row>
    <row r="615" spans="1:2" ht="15.75" customHeight="1">
      <c r="A615" s="1331">
        <v>43382</v>
      </c>
      <c r="B615" s="1330">
        <v>179</v>
      </c>
    </row>
    <row r="616" spans="1:2" ht="15.75" customHeight="1">
      <c r="A616" s="1329">
        <v>43381</v>
      </c>
      <c r="B616" s="1330">
        <v>175</v>
      </c>
    </row>
    <row r="617" spans="1:2" ht="15.75" customHeight="1">
      <c r="A617" s="1331">
        <v>43378</v>
      </c>
      <c r="B617" s="1330">
        <v>175</v>
      </c>
    </row>
    <row r="618" spans="1:2" ht="15.75" customHeight="1">
      <c r="A618" s="1329">
        <v>43377</v>
      </c>
      <c r="B618" s="1330">
        <v>175</v>
      </c>
    </row>
    <row r="619" spans="1:2" ht="15.75" customHeight="1">
      <c r="A619" s="1331">
        <v>43376</v>
      </c>
      <c r="B619" s="1330">
        <v>172</v>
      </c>
    </row>
    <row r="620" spans="1:2" ht="15.75" customHeight="1">
      <c r="A620" s="1329">
        <v>43375</v>
      </c>
      <c r="B620" s="1330">
        <v>177</v>
      </c>
    </row>
    <row r="621" spans="1:2" ht="15.75" customHeight="1">
      <c r="A621" s="1331">
        <v>43374</v>
      </c>
      <c r="B621" s="1330">
        <v>178</v>
      </c>
    </row>
    <row r="622" spans="1:2" ht="15.75" customHeight="1">
      <c r="A622" s="1329">
        <v>43371</v>
      </c>
      <c r="B622" s="1330">
        <v>180</v>
      </c>
    </row>
    <row r="623" spans="1:2" ht="15.75" customHeight="1">
      <c r="A623" s="1331">
        <v>43370</v>
      </c>
      <c r="B623" s="1330">
        <v>179</v>
      </c>
    </row>
    <row r="624" spans="1:2" ht="15.75" customHeight="1">
      <c r="A624" s="1329">
        <v>43369</v>
      </c>
      <c r="B624" s="1330">
        <v>180</v>
      </c>
    </row>
    <row r="625" spans="1:2" ht="15.75" customHeight="1">
      <c r="A625" s="1331">
        <v>43368</v>
      </c>
      <c r="B625" s="1330">
        <v>184</v>
      </c>
    </row>
    <row r="626" spans="1:2" ht="15.75" customHeight="1">
      <c r="A626" s="1329">
        <v>43367</v>
      </c>
      <c r="B626" s="1330">
        <v>183</v>
      </c>
    </row>
    <row r="627" spans="1:2" ht="15.75" customHeight="1">
      <c r="A627" s="1331">
        <v>43364</v>
      </c>
      <c r="B627" s="1330">
        <v>183</v>
      </c>
    </row>
    <row r="628" spans="1:2" ht="15.75" customHeight="1">
      <c r="A628" s="1329">
        <v>43363</v>
      </c>
      <c r="B628" s="1330">
        <v>184</v>
      </c>
    </row>
    <row r="629" spans="1:2" ht="15.75" customHeight="1">
      <c r="A629" s="1331">
        <v>43362</v>
      </c>
      <c r="B629" s="1330">
        <v>183</v>
      </c>
    </row>
    <row r="630" spans="1:2" ht="15.75" customHeight="1">
      <c r="A630" s="1329">
        <v>43361</v>
      </c>
      <c r="B630" s="1330">
        <v>184</v>
      </c>
    </row>
    <row r="631" spans="1:2" ht="15.75" customHeight="1">
      <c r="A631" s="1331">
        <v>43360</v>
      </c>
      <c r="B631" s="1330">
        <v>187</v>
      </c>
    </row>
    <row r="632" spans="1:2" ht="15.75" customHeight="1">
      <c r="A632" s="1329">
        <v>43357</v>
      </c>
      <c r="B632" s="1330">
        <v>185</v>
      </c>
    </row>
    <row r="633" spans="1:2" ht="15.75" customHeight="1">
      <c r="A633" s="1331">
        <v>43356</v>
      </c>
      <c r="B633" s="1330">
        <v>186</v>
      </c>
    </row>
    <row r="634" spans="1:2" ht="15.75" customHeight="1">
      <c r="A634" s="1329">
        <v>43355</v>
      </c>
      <c r="B634" s="1330">
        <v>194</v>
      </c>
    </row>
    <row r="635" spans="1:2" ht="15.75" customHeight="1">
      <c r="A635" s="1331">
        <v>43354</v>
      </c>
      <c r="B635" s="1330">
        <v>195</v>
      </c>
    </row>
    <row r="636" spans="1:2" ht="15.75" customHeight="1">
      <c r="A636" s="1329">
        <v>43353</v>
      </c>
      <c r="B636" s="1330">
        <v>197</v>
      </c>
    </row>
    <row r="637" spans="1:2" ht="15.75" customHeight="1">
      <c r="A637" s="1331">
        <v>43350</v>
      </c>
      <c r="B637" s="1330">
        <v>197</v>
      </c>
    </row>
    <row r="638" spans="1:2" ht="15.75" customHeight="1">
      <c r="A638" s="1329">
        <v>43349</v>
      </c>
      <c r="B638" s="1330">
        <v>198</v>
      </c>
    </row>
    <row r="639" spans="1:2" ht="15.75" customHeight="1">
      <c r="A639" s="1331">
        <v>43348</v>
      </c>
      <c r="B639" s="1330">
        <v>198</v>
      </c>
    </row>
    <row r="640" spans="1:2" ht="15.75" customHeight="1">
      <c r="A640" s="1329">
        <v>43347</v>
      </c>
      <c r="B640" s="1330">
        <v>201</v>
      </c>
    </row>
    <row r="641" spans="1:2" ht="15.75" customHeight="1">
      <c r="A641" s="1331">
        <v>43346</v>
      </c>
      <c r="B641" s="1330">
        <v>197</v>
      </c>
    </row>
    <row r="642" spans="1:2" ht="15.75" customHeight="1">
      <c r="A642" s="1329">
        <v>43343</v>
      </c>
      <c r="B642" s="1330">
        <v>197</v>
      </c>
    </row>
    <row r="643" spans="1:2" ht="15.75" customHeight="1">
      <c r="A643" s="1331">
        <v>43342</v>
      </c>
      <c r="B643" s="1330">
        <v>195</v>
      </c>
    </row>
    <row r="644" spans="1:2" ht="15.75" customHeight="1">
      <c r="A644" s="1329">
        <v>43341</v>
      </c>
      <c r="B644" s="1330">
        <v>190</v>
      </c>
    </row>
    <row r="645" spans="1:2" ht="15.75" customHeight="1">
      <c r="A645" s="1331">
        <v>43340</v>
      </c>
      <c r="B645" s="1330">
        <v>189</v>
      </c>
    </row>
    <row r="646" spans="1:2" ht="15.75" customHeight="1">
      <c r="A646" s="1329">
        <v>43339</v>
      </c>
      <c r="B646" s="1330">
        <v>194</v>
      </c>
    </row>
    <row r="647" spans="1:2" ht="15.75" customHeight="1">
      <c r="A647" s="1331">
        <v>43336</v>
      </c>
      <c r="B647" s="1330">
        <v>200</v>
      </c>
    </row>
    <row r="648" spans="1:2" ht="15.75" customHeight="1">
      <c r="A648" s="1329">
        <v>43335</v>
      </c>
      <c r="B648" s="1330">
        <v>199</v>
      </c>
    </row>
    <row r="649" spans="1:2" ht="15.75" customHeight="1">
      <c r="A649" s="1331">
        <v>43334</v>
      </c>
      <c r="B649" s="1330">
        <v>195</v>
      </c>
    </row>
    <row r="650" spans="1:2" ht="15.75" customHeight="1">
      <c r="A650" s="1329">
        <v>43333</v>
      </c>
      <c r="B650" s="1330">
        <v>195</v>
      </c>
    </row>
    <row r="651" spans="1:2" ht="15.75" customHeight="1">
      <c r="A651" s="1331">
        <v>43332</v>
      </c>
      <c r="B651" s="1330">
        <v>198</v>
      </c>
    </row>
    <row r="652" spans="1:2" ht="15.75" customHeight="1">
      <c r="A652" s="1329">
        <v>43329</v>
      </c>
      <c r="B652" s="1330">
        <v>197</v>
      </c>
    </row>
    <row r="653" spans="1:2" ht="15.75" customHeight="1">
      <c r="A653" s="1331">
        <v>43328</v>
      </c>
      <c r="B653" s="1330">
        <v>200</v>
      </c>
    </row>
    <row r="654" spans="1:2" ht="15.75" customHeight="1">
      <c r="A654" s="1329">
        <v>43327</v>
      </c>
      <c r="B654" s="1330">
        <v>205</v>
      </c>
    </row>
    <row r="655" spans="1:2" ht="15.75" customHeight="1">
      <c r="A655" s="1331">
        <v>43326</v>
      </c>
      <c r="B655" s="1330">
        <v>201</v>
      </c>
    </row>
    <row r="656" spans="1:2" ht="15.75" customHeight="1">
      <c r="A656" s="1329">
        <v>43325</v>
      </c>
      <c r="B656" s="1330">
        <v>205</v>
      </c>
    </row>
    <row r="657" spans="1:2" ht="15.75" customHeight="1">
      <c r="A657" s="1331">
        <v>43322</v>
      </c>
      <c r="B657" s="1330">
        <v>206</v>
      </c>
    </row>
    <row r="658" spans="1:2" ht="15.75" customHeight="1">
      <c r="A658" s="1329">
        <v>43321</v>
      </c>
      <c r="B658" s="1330">
        <v>196</v>
      </c>
    </row>
    <row r="659" spans="1:2" ht="15.75" customHeight="1">
      <c r="A659" s="1331">
        <v>43320</v>
      </c>
      <c r="B659" s="1330">
        <v>193</v>
      </c>
    </row>
    <row r="660" spans="1:2" ht="15.75" customHeight="1">
      <c r="A660" s="1329">
        <v>43319</v>
      </c>
      <c r="B660" s="1330">
        <v>193</v>
      </c>
    </row>
    <row r="661" spans="1:2" ht="15.75" customHeight="1">
      <c r="A661" s="1331">
        <v>43318</v>
      </c>
      <c r="B661" s="1330">
        <v>196</v>
      </c>
    </row>
    <row r="662" spans="1:2" ht="15.75" customHeight="1">
      <c r="A662" s="1329">
        <v>43315</v>
      </c>
      <c r="B662" s="1330">
        <v>195</v>
      </c>
    </row>
    <row r="663" spans="1:2" ht="15.75" customHeight="1">
      <c r="A663" s="1331">
        <v>43314</v>
      </c>
      <c r="B663" s="1330">
        <v>193</v>
      </c>
    </row>
    <row r="664" spans="1:2" ht="15.75" customHeight="1">
      <c r="A664" s="1329">
        <v>43313</v>
      </c>
      <c r="B664" s="1330">
        <v>197</v>
      </c>
    </row>
    <row r="665" spans="1:2" ht="15.75" customHeight="1">
      <c r="A665" s="1331">
        <v>43312</v>
      </c>
      <c r="B665" s="1330">
        <v>197</v>
      </c>
    </row>
    <row r="666" spans="1:2" ht="15.75" customHeight="1">
      <c r="A666" s="1329">
        <v>43311</v>
      </c>
      <c r="B666" s="1330">
        <v>194</v>
      </c>
    </row>
    <row r="667" spans="1:2" ht="15.75" customHeight="1">
      <c r="A667" s="1331">
        <v>43308</v>
      </c>
      <c r="B667" s="1330">
        <v>188</v>
      </c>
    </row>
    <row r="668" spans="1:2" ht="15.75" customHeight="1">
      <c r="A668" s="1329">
        <v>43307</v>
      </c>
      <c r="B668" s="1330">
        <v>187</v>
      </c>
    </row>
    <row r="669" spans="1:2" ht="15.75" customHeight="1">
      <c r="A669" s="1331">
        <v>43306</v>
      </c>
      <c r="B669" s="1330">
        <v>193</v>
      </c>
    </row>
    <row r="670" spans="1:2" ht="15.75" customHeight="1">
      <c r="A670" s="1329">
        <v>43305</v>
      </c>
      <c r="B670" s="1330">
        <v>193</v>
      </c>
    </row>
    <row r="671" spans="1:2" ht="15.75" customHeight="1">
      <c r="A671" s="1331">
        <v>43304</v>
      </c>
      <c r="B671" s="1330">
        <v>193</v>
      </c>
    </row>
    <row r="672" spans="1:2" ht="15.75" customHeight="1">
      <c r="A672" s="1329">
        <v>43301</v>
      </c>
      <c r="B672" s="1330">
        <v>196</v>
      </c>
    </row>
    <row r="673" spans="1:2" ht="15.75" customHeight="1">
      <c r="A673" s="1331">
        <v>43300</v>
      </c>
      <c r="B673" s="1330">
        <v>198</v>
      </c>
    </row>
    <row r="674" spans="1:2" ht="15.75" customHeight="1">
      <c r="A674" s="1329">
        <v>43299</v>
      </c>
      <c r="B674" s="1330">
        <v>193</v>
      </c>
    </row>
    <row r="675" spans="1:2" ht="15.75" customHeight="1">
      <c r="A675" s="1331">
        <v>43298</v>
      </c>
      <c r="B675" s="1330">
        <v>196</v>
      </c>
    </row>
    <row r="676" spans="1:2" ht="15.75" customHeight="1">
      <c r="A676" s="1329">
        <v>43297</v>
      </c>
      <c r="B676" s="1330">
        <v>195</v>
      </c>
    </row>
    <row r="677" spans="1:2" ht="15.75" customHeight="1">
      <c r="A677" s="1331">
        <v>43294</v>
      </c>
      <c r="B677" s="1330">
        <v>196</v>
      </c>
    </row>
    <row r="678" spans="1:2" ht="15.75" customHeight="1">
      <c r="A678" s="1329">
        <v>43293</v>
      </c>
      <c r="B678" s="1330">
        <v>198</v>
      </c>
    </row>
    <row r="679" spans="1:2" ht="15.75" customHeight="1">
      <c r="A679" s="1331">
        <v>43292</v>
      </c>
      <c r="B679" s="1330">
        <v>202</v>
      </c>
    </row>
    <row r="680" spans="1:2" ht="15.75" customHeight="1">
      <c r="A680" s="1329">
        <v>43291</v>
      </c>
      <c r="B680" s="1330">
        <v>195</v>
      </c>
    </row>
    <row r="681" spans="1:2" ht="15.75" customHeight="1">
      <c r="A681" s="1331">
        <v>43290</v>
      </c>
      <c r="B681" s="1330">
        <v>195</v>
      </c>
    </row>
    <row r="682" spans="1:2" ht="15.75" customHeight="1">
      <c r="A682" s="1329">
        <v>43287</v>
      </c>
      <c r="B682" s="1330">
        <v>198</v>
      </c>
    </row>
    <row r="683" spans="1:2" ht="15.75" customHeight="1">
      <c r="A683" s="1331">
        <v>43286</v>
      </c>
      <c r="B683" s="1330">
        <v>202</v>
      </c>
    </row>
    <row r="684" spans="1:2" ht="15.75" customHeight="1">
      <c r="A684" s="1329">
        <v>43285</v>
      </c>
      <c r="B684" s="1330">
        <v>207</v>
      </c>
    </row>
    <row r="685" spans="1:2" ht="15.75" customHeight="1">
      <c r="A685" s="1331">
        <v>43284</v>
      </c>
      <c r="B685" s="1330">
        <v>207</v>
      </c>
    </row>
    <row r="686" spans="1:2" ht="15.75" customHeight="1">
      <c r="A686" s="1329">
        <v>43283</v>
      </c>
      <c r="B686" s="1330">
        <v>214</v>
      </c>
    </row>
    <row r="687" spans="1:2" ht="15.75" customHeight="1">
      <c r="A687" s="1331">
        <v>43280</v>
      </c>
      <c r="B687" s="1330">
        <v>211</v>
      </c>
    </row>
    <row r="688" spans="1:2" ht="15.75" customHeight="1">
      <c r="A688" s="1329">
        <v>43279</v>
      </c>
      <c r="B688" s="1330">
        <v>209</v>
      </c>
    </row>
    <row r="689" spans="1:2" ht="15.75" customHeight="1">
      <c r="A689" s="1331">
        <v>43278</v>
      </c>
      <c r="B689" s="1330">
        <v>216</v>
      </c>
    </row>
    <row r="690" spans="1:2" ht="15.75" customHeight="1">
      <c r="A690" s="1329">
        <v>43277</v>
      </c>
      <c r="B690" s="1330">
        <v>212</v>
      </c>
    </row>
    <row r="691" spans="1:2" ht="15.75" customHeight="1">
      <c r="A691" s="1331">
        <v>43276</v>
      </c>
      <c r="B691" s="1330">
        <v>212</v>
      </c>
    </row>
    <row r="692" spans="1:2" ht="15.75" customHeight="1">
      <c r="A692" s="1329">
        <v>43273</v>
      </c>
      <c r="B692" s="1330">
        <v>208</v>
      </c>
    </row>
    <row r="693" spans="1:2" ht="15.75" customHeight="1">
      <c r="A693" s="1331">
        <v>43272</v>
      </c>
      <c r="B693" s="1330">
        <v>212</v>
      </c>
    </row>
    <row r="694" spans="1:2" ht="15.75" customHeight="1">
      <c r="A694" s="1329">
        <v>43271</v>
      </c>
      <c r="B694" s="1330">
        <v>217</v>
      </c>
    </row>
    <row r="695" spans="1:2" ht="15.75" customHeight="1">
      <c r="A695" s="1331">
        <v>43270</v>
      </c>
      <c r="B695" s="1330">
        <v>224</v>
      </c>
    </row>
    <row r="696" spans="1:2" ht="15.75" customHeight="1">
      <c r="A696" s="1329">
        <v>43269</v>
      </c>
      <c r="B696" s="1330">
        <v>225</v>
      </c>
    </row>
    <row r="697" spans="1:2" ht="15.75" customHeight="1">
      <c r="A697" s="1331">
        <v>43266</v>
      </c>
      <c r="B697" s="1330">
        <v>224</v>
      </c>
    </row>
    <row r="698" spans="1:2" ht="15.75" customHeight="1">
      <c r="A698" s="1329">
        <v>43265</v>
      </c>
      <c r="B698" s="1330">
        <v>231</v>
      </c>
    </row>
    <row r="699" spans="1:2" ht="15.75" customHeight="1">
      <c r="A699" s="1331">
        <v>43264</v>
      </c>
      <c r="B699" s="1330">
        <v>228</v>
      </c>
    </row>
    <row r="700" spans="1:2" ht="15.75" customHeight="1">
      <c r="A700" s="1329">
        <v>43263</v>
      </c>
      <c r="B700" s="1330">
        <v>228</v>
      </c>
    </row>
    <row r="701" spans="1:2" ht="15.75" customHeight="1">
      <c r="A701" s="1331">
        <v>43262</v>
      </c>
      <c r="B701" s="1330">
        <v>228</v>
      </c>
    </row>
    <row r="702" spans="1:2" ht="15.75" customHeight="1">
      <c r="A702" s="1329">
        <v>43259</v>
      </c>
      <c r="B702" s="1330">
        <v>226</v>
      </c>
    </row>
    <row r="703" spans="1:2" ht="15.75" customHeight="1">
      <c r="A703" s="1331">
        <v>43258</v>
      </c>
      <c r="B703" s="1330">
        <v>225</v>
      </c>
    </row>
    <row r="704" spans="1:2" ht="15.75" customHeight="1">
      <c r="A704" s="1329">
        <v>43257</v>
      </c>
      <c r="B704" s="1330">
        <v>215</v>
      </c>
    </row>
    <row r="705" spans="1:2" ht="15.75" customHeight="1">
      <c r="A705" s="1331">
        <v>43256</v>
      </c>
      <c r="B705" s="1330">
        <v>221</v>
      </c>
    </row>
    <row r="706" spans="1:2" ht="15.75" customHeight="1">
      <c r="A706" s="1329">
        <v>43255</v>
      </c>
      <c r="B706" s="1330">
        <v>212</v>
      </c>
    </row>
    <row r="707" spans="1:2" ht="15.75" customHeight="1">
      <c r="A707" s="1331">
        <v>43252</v>
      </c>
      <c r="B707" s="1330">
        <v>214</v>
      </c>
    </row>
    <row r="708" spans="1:2" ht="15.75" customHeight="1">
      <c r="A708" s="1329">
        <v>43251</v>
      </c>
      <c r="B708" s="1330">
        <v>218</v>
      </c>
    </row>
    <row r="709" spans="1:2" ht="15.75" customHeight="1">
      <c r="A709" s="1331">
        <v>43250</v>
      </c>
      <c r="B709" s="1330">
        <v>211</v>
      </c>
    </row>
    <row r="710" spans="1:2" ht="15.75" customHeight="1">
      <c r="A710" s="1329">
        <v>43249</v>
      </c>
      <c r="B710" s="1330">
        <v>214</v>
      </c>
    </row>
    <row r="711" spans="1:2" ht="15.75" customHeight="1">
      <c r="A711" s="1331">
        <v>43248</v>
      </c>
      <c r="B711" s="1330">
        <v>199</v>
      </c>
    </row>
    <row r="712" spans="1:2" ht="15.75" customHeight="1">
      <c r="A712" s="1329">
        <v>43245</v>
      </c>
      <c r="B712" s="1330">
        <v>199</v>
      </c>
    </row>
    <row r="713" spans="1:2" ht="15.75" customHeight="1">
      <c r="A713" s="1331">
        <v>43244</v>
      </c>
      <c r="B713" s="1330">
        <v>201</v>
      </c>
    </row>
    <row r="714" spans="1:2" ht="15.75" customHeight="1">
      <c r="A714" s="1329">
        <v>43243</v>
      </c>
      <c r="B714" s="1330">
        <v>201</v>
      </c>
    </row>
    <row r="715" spans="1:2" ht="15.75" customHeight="1">
      <c r="A715" s="1331">
        <v>43242</v>
      </c>
      <c r="B715" s="1330">
        <v>202</v>
      </c>
    </row>
    <row r="716" spans="1:2" ht="15.75" customHeight="1">
      <c r="A716" s="1329">
        <v>43241</v>
      </c>
      <c r="B716" s="1330">
        <v>206</v>
      </c>
    </row>
    <row r="717" spans="1:2" ht="15.75" customHeight="1">
      <c r="A717" s="1331">
        <v>43238</v>
      </c>
      <c r="B717" s="1330">
        <v>204</v>
      </c>
    </row>
    <row r="718" spans="1:2" ht="15.75" customHeight="1">
      <c r="A718" s="1329">
        <v>43237</v>
      </c>
      <c r="B718" s="1330">
        <v>198</v>
      </c>
    </row>
    <row r="719" spans="1:2" ht="15.75" customHeight="1">
      <c r="A719" s="1331">
        <v>43236</v>
      </c>
      <c r="B719" s="1330">
        <v>195</v>
      </c>
    </row>
    <row r="720" spans="1:2" ht="15.75" customHeight="1">
      <c r="A720" s="1329">
        <v>43235</v>
      </c>
      <c r="B720" s="1330">
        <v>197</v>
      </c>
    </row>
    <row r="721" spans="1:2" ht="15.75" customHeight="1">
      <c r="A721" s="1331">
        <v>43234</v>
      </c>
      <c r="B721" s="1330">
        <v>195</v>
      </c>
    </row>
    <row r="722" spans="1:2" ht="15.75" customHeight="1">
      <c r="A722" s="1329">
        <v>43231</v>
      </c>
      <c r="B722" s="1330">
        <v>197</v>
      </c>
    </row>
    <row r="723" spans="1:2" ht="15.75" customHeight="1">
      <c r="A723" s="1331">
        <v>43230</v>
      </c>
      <c r="B723" s="1330">
        <v>196</v>
      </c>
    </row>
    <row r="724" spans="1:2" ht="15.75" customHeight="1">
      <c r="A724" s="1329">
        <v>43229</v>
      </c>
      <c r="B724" s="1330">
        <v>203</v>
      </c>
    </row>
    <row r="725" spans="1:2" ht="15.75" customHeight="1">
      <c r="A725" s="1331">
        <v>43228</v>
      </c>
      <c r="B725" s="1330">
        <v>207</v>
      </c>
    </row>
    <row r="726" spans="1:2" ht="15.75" customHeight="1">
      <c r="A726" s="1329">
        <v>43227</v>
      </c>
      <c r="B726" s="1330">
        <v>205</v>
      </c>
    </row>
    <row r="727" spans="1:2" ht="15.75" customHeight="1">
      <c r="A727" s="1331">
        <v>43224</v>
      </c>
      <c r="B727" s="1330">
        <v>206</v>
      </c>
    </row>
    <row r="728" spans="1:2" ht="15.75" customHeight="1">
      <c r="A728" s="1329">
        <v>43223</v>
      </c>
      <c r="B728" s="1330">
        <v>209</v>
      </c>
    </row>
    <row r="729" spans="1:2" ht="15.75" customHeight="1">
      <c r="A729" s="1331">
        <v>43222</v>
      </c>
      <c r="B729" s="1330">
        <v>203</v>
      </c>
    </row>
    <row r="730" spans="1:2" ht="15.75" customHeight="1">
      <c r="A730" s="1329">
        <v>43221</v>
      </c>
      <c r="B730" s="1330">
        <v>198</v>
      </c>
    </row>
    <row r="731" spans="1:2" ht="15.75" customHeight="1">
      <c r="A731" s="1331">
        <v>43220</v>
      </c>
      <c r="B731" s="1330">
        <v>199</v>
      </c>
    </row>
    <row r="732" spans="1:2" ht="15.75" customHeight="1">
      <c r="A732" s="1329">
        <v>43217</v>
      </c>
      <c r="B732" s="1330">
        <v>194</v>
      </c>
    </row>
    <row r="733" spans="1:2" ht="15.75" customHeight="1">
      <c r="A733" s="1331">
        <v>43216</v>
      </c>
      <c r="B733" s="1330">
        <v>190</v>
      </c>
    </row>
    <row r="734" spans="1:2" ht="15.75" customHeight="1">
      <c r="A734" s="1329">
        <v>43215</v>
      </c>
      <c r="B734" s="1330">
        <v>187</v>
      </c>
    </row>
    <row r="735" spans="1:2" ht="15.75" customHeight="1">
      <c r="A735" s="1331">
        <v>43214</v>
      </c>
      <c r="B735" s="1330">
        <v>184</v>
      </c>
    </row>
    <row r="736" spans="1:2" ht="15.75" customHeight="1">
      <c r="A736" s="1329">
        <v>43213</v>
      </c>
      <c r="B736" s="1330">
        <v>185</v>
      </c>
    </row>
    <row r="737" spans="1:2" ht="15.75" customHeight="1">
      <c r="A737" s="1331">
        <v>43210</v>
      </c>
      <c r="B737" s="1330">
        <v>183</v>
      </c>
    </row>
    <row r="738" spans="1:2" ht="15.75" customHeight="1">
      <c r="A738" s="1329">
        <v>43209</v>
      </c>
      <c r="B738" s="1330">
        <v>182</v>
      </c>
    </row>
    <row r="739" spans="1:2" ht="15.75" customHeight="1">
      <c r="A739" s="1331">
        <v>43208</v>
      </c>
      <c r="B739" s="1330">
        <v>180</v>
      </c>
    </row>
    <row r="740" spans="1:2" ht="15.75" customHeight="1">
      <c r="A740" s="1329">
        <v>43207</v>
      </c>
      <c r="B740" s="1330">
        <v>183</v>
      </c>
    </row>
    <row r="741" spans="1:2" ht="15.75" customHeight="1">
      <c r="A741" s="1331">
        <v>43206</v>
      </c>
      <c r="B741" s="1330">
        <v>179</v>
      </c>
    </row>
    <row r="742" spans="1:2" ht="15.75" customHeight="1">
      <c r="A742" s="1329">
        <v>43203</v>
      </c>
      <c r="B742" s="1330">
        <v>179</v>
      </c>
    </row>
    <row r="743" spans="1:2" ht="15.75" customHeight="1">
      <c r="A743" s="1331">
        <v>43202</v>
      </c>
      <c r="B743" s="1330">
        <v>178</v>
      </c>
    </row>
    <row r="744" spans="1:2" ht="15.75" customHeight="1">
      <c r="A744" s="1329">
        <v>43201</v>
      </c>
      <c r="B744" s="1330">
        <v>181</v>
      </c>
    </row>
    <row r="745" spans="1:2" ht="15.75" customHeight="1">
      <c r="A745" s="1331">
        <v>43200</v>
      </c>
      <c r="B745" s="1330">
        <v>181</v>
      </c>
    </row>
    <row r="746" spans="1:2" ht="15.75" customHeight="1">
      <c r="A746" s="1329">
        <v>43199</v>
      </c>
      <c r="B746" s="1330">
        <v>183</v>
      </c>
    </row>
    <row r="747" spans="1:2" ht="15.75" customHeight="1">
      <c r="A747" s="1331">
        <v>43196</v>
      </c>
      <c r="B747" s="1330">
        <v>184</v>
      </c>
    </row>
    <row r="748" spans="1:2" ht="15.75" customHeight="1">
      <c r="A748" s="1329">
        <v>43195</v>
      </c>
      <c r="B748" s="1330">
        <v>179</v>
      </c>
    </row>
    <row r="749" spans="1:2" ht="15.75" customHeight="1">
      <c r="A749" s="1331">
        <v>43194</v>
      </c>
      <c r="B749" s="1330">
        <v>185</v>
      </c>
    </row>
    <row r="750" spans="1:2" ht="15.75" customHeight="1">
      <c r="A750" s="1329">
        <v>43193</v>
      </c>
      <c r="B750" s="1330">
        <v>186</v>
      </c>
    </row>
    <row r="751" spans="1:2" ht="15.75" customHeight="1">
      <c r="A751" s="1331">
        <v>43192</v>
      </c>
      <c r="B751" s="1330">
        <v>194</v>
      </c>
    </row>
    <row r="752" spans="1:2" ht="15.75" customHeight="1">
      <c r="A752" s="1329">
        <v>43188</v>
      </c>
      <c r="B752" s="1330">
        <v>191</v>
      </c>
    </row>
    <row r="753" spans="1:2" ht="15.75" customHeight="1">
      <c r="A753" s="1331">
        <v>43187</v>
      </c>
      <c r="B753" s="1330">
        <v>192</v>
      </c>
    </row>
    <row r="754" spans="1:2" ht="15.75" customHeight="1">
      <c r="A754" s="1329">
        <v>43186</v>
      </c>
      <c r="B754" s="1330">
        <v>193</v>
      </c>
    </row>
    <row r="755" spans="1:2" ht="15.75" customHeight="1">
      <c r="A755" s="1331">
        <v>43185</v>
      </c>
      <c r="B755" s="1330">
        <v>190</v>
      </c>
    </row>
    <row r="756" spans="1:2" ht="15.75" customHeight="1">
      <c r="A756" s="1329">
        <v>43182</v>
      </c>
      <c r="B756" s="1330">
        <v>195</v>
      </c>
    </row>
    <row r="757" spans="1:2" ht="15.75" customHeight="1">
      <c r="A757" s="1331">
        <v>43181</v>
      </c>
      <c r="B757" s="1330">
        <v>191</v>
      </c>
    </row>
    <row r="758" spans="1:2" ht="15.75" customHeight="1">
      <c r="A758" s="1329">
        <v>43180</v>
      </c>
      <c r="B758" s="1330">
        <v>186</v>
      </c>
    </row>
    <row r="759" spans="1:2" ht="15.75" customHeight="1">
      <c r="A759" s="1331">
        <v>43179</v>
      </c>
      <c r="B759" s="1330">
        <v>189</v>
      </c>
    </row>
    <row r="760" spans="1:2" ht="15.75" customHeight="1">
      <c r="A760" s="1329">
        <v>43178</v>
      </c>
      <c r="B760" s="1330">
        <v>192</v>
      </c>
    </row>
    <row r="761" spans="1:2" ht="15.75" customHeight="1">
      <c r="A761" s="1331">
        <v>43175</v>
      </c>
      <c r="B761" s="1330">
        <v>188</v>
      </c>
    </row>
    <row r="762" spans="1:2" ht="15.75" customHeight="1">
      <c r="A762" s="1329">
        <v>43174</v>
      </c>
      <c r="B762" s="1330">
        <v>189</v>
      </c>
    </row>
    <row r="763" spans="1:2" ht="15.75" customHeight="1">
      <c r="A763" s="1331">
        <v>43173</v>
      </c>
      <c r="B763" s="1330">
        <v>188</v>
      </c>
    </row>
    <row r="764" spans="1:2" ht="15.75" customHeight="1">
      <c r="A764" s="1329">
        <v>43172</v>
      </c>
      <c r="B764" s="1330">
        <v>187</v>
      </c>
    </row>
    <row r="765" spans="1:2" ht="15.75" customHeight="1">
      <c r="A765" s="1331">
        <v>43171</v>
      </c>
      <c r="B765" s="1330">
        <v>184</v>
      </c>
    </row>
    <row r="766" spans="1:2" ht="15.75" customHeight="1">
      <c r="A766" s="1329">
        <v>43168</v>
      </c>
      <c r="B766" s="1330">
        <v>181</v>
      </c>
    </row>
    <row r="767" spans="1:2" ht="15.75" customHeight="1">
      <c r="A767" s="1331">
        <v>43167</v>
      </c>
      <c r="B767" s="1330">
        <v>184</v>
      </c>
    </row>
    <row r="768" spans="1:2" ht="15.75" customHeight="1">
      <c r="A768" s="1329">
        <v>43166</v>
      </c>
      <c r="B768" s="1330">
        <v>184</v>
      </c>
    </row>
    <row r="769" spans="1:2" ht="15.75" customHeight="1">
      <c r="A769" s="1331">
        <v>43165</v>
      </c>
      <c r="B769" s="1330">
        <v>181</v>
      </c>
    </row>
    <row r="770" spans="1:2" ht="15.75" customHeight="1">
      <c r="A770" s="1329">
        <v>43164</v>
      </c>
      <c r="B770" s="1330">
        <v>181</v>
      </c>
    </row>
    <row r="771" spans="1:2" ht="15.75" customHeight="1">
      <c r="A771" s="1331">
        <v>43161</v>
      </c>
      <c r="B771" s="1330">
        <v>184</v>
      </c>
    </row>
    <row r="772" spans="1:2" ht="15.75" customHeight="1">
      <c r="A772" s="1329">
        <v>43160</v>
      </c>
      <c r="B772" s="1330">
        <v>189</v>
      </c>
    </row>
    <row r="773" spans="1:2" ht="15.75" customHeight="1">
      <c r="A773" s="1331">
        <v>43159</v>
      </c>
      <c r="B773" s="1330">
        <v>184</v>
      </c>
    </row>
    <row r="774" spans="1:2" ht="15.75" customHeight="1">
      <c r="A774" s="1329">
        <v>43158</v>
      </c>
      <c r="B774" s="1330">
        <v>176</v>
      </c>
    </row>
    <row r="775" spans="1:2" ht="15.75" customHeight="1">
      <c r="A775" s="1331">
        <v>43157</v>
      </c>
      <c r="B775" s="1330">
        <v>179</v>
      </c>
    </row>
    <row r="776" spans="1:2" ht="15.75" customHeight="1">
      <c r="A776" s="1329">
        <v>43154</v>
      </c>
      <c r="B776" s="1330">
        <v>183</v>
      </c>
    </row>
    <row r="777" spans="1:2" ht="15.75" customHeight="1">
      <c r="A777" s="1331">
        <v>43153</v>
      </c>
      <c r="B777" s="1330">
        <v>182</v>
      </c>
    </row>
    <row r="778" spans="1:2" ht="15.75" customHeight="1">
      <c r="A778" s="1329">
        <v>43152</v>
      </c>
      <c r="B778" s="1330">
        <v>178</v>
      </c>
    </row>
    <row r="779" spans="1:2" ht="15.75" customHeight="1">
      <c r="A779" s="1331">
        <v>43151</v>
      </c>
      <c r="B779" s="1330">
        <v>180</v>
      </c>
    </row>
    <row r="780" spans="1:2" ht="15.75" customHeight="1">
      <c r="A780" s="1329">
        <v>43147</v>
      </c>
      <c r="B780" s="1330">
        <v>178</v>
      </c>
    </row>
    <row r="781" spans="1:2" ht="15.75" customHeight="1">
      <c r="A781" s="1331">
        <v>43146</v>
      </c>
      <c r="B781" s="1330">
        <v>180</v>
      </c>
    </row>
    <row r="782" spans="1:2" ht="15.75" customHeight="1">
      <c r="A782" s="1329">
        <v>43145</v>
      </c>
      <c r="B782" s="1330">
        <v>188</v>
      </c>
    </row>
    <row r="783" spans="1:2" ht="15.75" customHeight="1">
      <c r="A783" s="1331">
        <v>43144</v>
      </c>
      <c r="B783" s="1330">
        <v>192</v>
      </c>
    </row>
    <row r="784" spans="1:2" ht="15.75" customHeight="1">
      <c r="A784" s="1329">
        <v>43143</v>
      </c>
      <c r="B784" s="1330">
        <v>188</v>
      </c>
    </row>
    <row r="785" spans="1:2" ht="15.75" customHeight="1">
      <c r="A785" s="1331">
        <v>43140</v>
      </c>
      <c r="B785" s="1330">
        <v>194</v>
      </c>
    </row>
    <row r="786" spans="1:2" ht="15.75" customHeight="1">
      <c r="A786" s="1329">
        <v>43139</v>
      </c>
      <c r="B786" s="1330">
        <v>185</v>
      </c>
    </row>
    <row r="787" spans="1:2" ht="15.75" customHeight="1">
      <c r="A787" s="1331">
        <v>43138</v>
      </c>
      <c r="B787" s="1330">
        <v>173</v>
      </c>
    </row>
    <row r="788" spans="1:2" ht="15.75" customHeight="1">
      <c r="A788" s="1329">
        <v>43137</v>
      </c>
      <c r="B788" s="1330">
        <v>179</v>
      </c>
    </row>
    <row r="789" spans="1:2" ht="15.75" customHeight="1">
      <c r="A789" s="1331">
        <v>43136</v>
      </c>
      <c r="B789" s="1330">
        <v>184</v>
      </c>
    </row>
    <row r="790" spans="1:2" ht="15.75" customHeight="1">
      <c r="A790" s="1329">
        <v>43133</v>
      </c>
      <c r="B790" s="1330">
        <v>172</v>
      </c>
    </row>
    <row r="791" spans="1:2" ht="15.75" customHeight="1">
      <c r="A791" s="1331">
        <v>43132</v>
      </c>
      <c r="B791" s="1330">
        <v>170</v>
      </c>
    </row>
    <row r="792" spans="1:2" ht="15.75" customHeight="1">
      <c r="A792" s="1329">
        <v>43131</v>
      </c>
      <c r="B792" s="1330">
        <v>171</v>
      </c>
    </row>
    <row r="793" spans="1:2" ht="15.75" customHeight="1">
      <c r="A793" s="1331">
        <v>43130</v>
      </c>
      <c r="B793" s="1330">
        <v>173</v>
      </c>
    </row>
    <row r="794" spans="1:2" ht="15.75" customHeight="1">
      <c r="A794" s="1329">
        <v>43129</v>
      </c>
      <c r="B794" s="1330">
        <v>175</v>
      </c>
    </row>
    <row r="795" spans="1:2" ht="15.75" customHeight="1">
      <c r="A795" s="1331">
        <v>43126</v>
      </c>
      <c r="B795" s="1330">
        <v>175</v>
      </c>
    </row>
    <row r="796" spans="1:2" ht="15.75" customHeight="1">
      <c r="A796" s="1329">
        <v>43125</v>
      </c>
      <c r="B796" s="1330">
        <v>179</v>
      </c>
    </row>
    <row r="797" spans="1:2" ht="15.75" customHeight="1">
      <c r="A797" s="1331">
        <v>43124</v>
      </c>
      <c r="B797" s="1330">
        <v>177</v>
      </c>
    </row>
    <row r="798" spans="1:2" ht="15.75" customHeight="1">
      <c r="A798" s="1329">
        <v>43123</v>
      </c>
      <c r="B798" s="1330">
        <v>180</v>
      </c>
    </row>
    <row r="799" spans="1:2" ht="15.75" customHeight="1">
      <c r="A799" s="1331">
        <v>43122</v>
      </c>
      <c r="B799" s="1330">
        <v>180</v>
      </c>
    </row>
    <row r="800" spans="1:2" ht="15.75" customHeight="1">
      <c r="A800" s="1329">
        <v>43119</v>
      </c>
      <c r="B800" s="1330">
        <v>182</v>
      </c>
    </row>
    <row r="801" spans="1:2" ht="15.75" customHeight="1">
      <c r="A801" s="1331">
        <v>43118</v>
      </c>
      <c r="B801" s="1330">
        <v>182</v>
      </c>
    </row>
    <row r="802" spans="1:2" ht="15.75" customHeight="1">
      <c r="A802" s="1329">
        <v>43117</v>
      </c>
      <c r="B802" s="1330">
        <v>183</v>
      </c>
    </row>
    <row r="803" spans="1:2" ht="15.75" customHeight="1">
      <c r="A803" s="1331">
        <v>43116</v>
      </c>
      <c r="B803" s="1330">
        <v>184</v>
      </c>
    </row>
    <row r="804" spans="1:2" ht="15.75" customHeight="1">
      <c r="A804" s="1329">
        <v>43115</v>
      </c>
      <c r="B804" s="1330">
        <v>185</v>
      </c>
    </row>
    <row r="805" spans="1:2" ht="15.75" customHeight="1">
      <c r="A805" s="1331">
        <v>43112</v>
      </c>
      <c r="B805" s="1330">
        <v>185</v>
      </c>
    </row>
    <row r="806" spans="1:2" ht="15.75" customHeight="1">
      <c r="A806" s="1329">
        <v>43111</v>
      </c>
      <c r="B806" s="1330">
        <v>185</v>
      </c>
    </row>
    <row r="807" spans="1:2" ht="15.75" customHeight="1">
      <c r="A807" s="1331">
        <v>43110</v>
      </c>
      <c r="B807" s="1330">
        <v>182</v>
      </c>
    </row>
    <row r="808" spans="1:2" ht="15.75" customHeight="1">
      <c r="A808" s="1329">
        <v>43109</v>
      </c>
      <c r="B808" s="1330">
        <v>178</v>
      </c>
    </row>
    <row r="809" spans="1:2" ht="15.75" customHeight="1">
      <c r="A809" s="1331">
        <v>43108</v>
      </c>
      <c r="B809" s="1330">
        <v>181</v>
      </c>
    </row>
    <row r="810" spans="1:2" ht="15.75" customHeight="1">
      <c r="A810" s="1329">
        <v>43105</v>
      </c>
      <c r="B810" s="1330">
        <v>181</v>
      </c>
    </row>
    <row r="811" spans="1:2" ht="15.75" customHeight="1">
      <c r="A811" s="1331">
        <v>43104</v>
      </c>
      <c r="B811" s="1330">
        <v>183</v>
      </c>
    </row>
    <row r="812" spans="1:2" ht="15.75" customHeight="1">
      <c r="A812" s="1329">
        <v>43103</v>
      </c>
      <c r="B812" s="1330">
        <v>182</v>
      </c>
    </row>
    <row r="813" spans="1:2" ht="15.75" customHeight="1">
      <c r="A813" s="1331">
        <v>43102</v>
      </c>
      <c r="B813" s="1330">
        <v>182</v>
      </c>
    </row>
    <row r="814" spans="1:2" ht="15.75" customHeight="1">
      <c r="A814" s="1329">
        <v>43098</v>
      </c>
      <c r="B814" s="1330">
        <v>189</v>
      </c>
    </row>
    <row r="815" spans="1:2" ht="15.75" customHeight="1">
      <c r="A815" s="1331">
        <v>43097</v>
      </c>
      <c r="B815" s="1330">
        <v>186</v>
      </c>
    </row>
    <row r="816" spans="1:2" ht="15.75" customHeight="1">
      <c r="A816" s="1329">
        <v>43096</v>
      </c>
      <c r="B816" s="1330">
        <v>189</v>
      </c>
    </row>
    <row r="817" spans="1:2" ht="15.75" customHeight="1">
      <c r="A817" s="1331">
        <v>43095</v>
      </c>
      <c r="B817" s="1330">
        <v>183</v>
      </c>
    </row>
    <row r="818" spans="1:2" ht="15.75" customHeight="1">
      <c r="A818" s="1329">
        <v>43091</v>
      </c>
      <c r="B818" s="1330">
        <v>183</v>
      </c>
    </row>
    <row r="819" spans="1:2" ht="15.75" customHeight="1">
      <c r="A819" s="1331">
        <v>43090</v>
      </c>
      <c r="B819" s="1330">
        <v>182</v>
      </c>
    </row>
    <row r="820" spans="1:2" ht="15.75" customHeight="1">
      <c r="A820" s="1329">
        <v>43089</v>
      </c>
      <c r="B820" s="1330">
        <v>177</v>
      </c>
    </row>
    <row r="821" spans="1:2" ht="15.75" customHeight="1">
      <c r="A821" s="1331">
        <v>43088</v>
      </c>
      <c r="B821" s="1330">
        <v>180</v>
      </c>
    </row>
    <row r="822" spans="1:2" ht="15.75" customHeight="1">
      <c r="A822" s="1329">
        <v>43087</v>
      </c>
      <c r="B822" s="1330">
        <v>184</v>
      </c>
    </row>
    <row r="823" spans="1:2" ht="15.75" customHeight="1">
      <c r="A823" s="1331">
        <v>43084</v>
      </c>
      <c r="B823" s="1330">
        <v>190</v>
      </c>
    </row>
    <row r="824" spans="1:2" ht="15.75" customHeight="1">
      <c r="A824" s="1329">
        <v>43083</v>
      </c>
      <c r="B824" s="1330">
        <v>190</v>
      </c>
    </row>
    <row r="825" spans="1:2" ht="15.75" customHeight="1">
      <c r="A825" s="1331">
        <v>43082</v>
      </c>
      <c r="B825" s="1330">
        <v>189</v>
      </c>
    </row>
    <row r="826" spans="1:2" ht="15.75" customHeight="1">
      <c r="A826" s="1329">
        <v>43081</v>
      </c>
      <c r="B826" s="1330">
        <v>189</v>
      </c>
    </row>
    <row r="827" spans="1:2" ht="15.75" customHeight="1">
      <c r="A827" s="1331">
        <v>43080</v>
      </c>
      <c r="B827" s="1330">
        <v>189</v>
      </c>
    </row>
    <row r="828" spans="1:2" ht="15.75" customHeight="1">
      <c r="A828" s="1329">
        <v>43077</v>
      </c>
      <c r="B828" s="1330">
        <v>185</v>
      </c>
    </row>
    <row r="829" spans="1:2" ht="15.75" customHeight="1">
      <c r="A829" s="1331">
        <v>43076</v>
      </c>
      <c r="B829" s="1330">
        <v>184</v>
      </c>
    </row>
    <row r="830" spans="1:2" ht="15.75" customHeight="1">
      <c r="A830" s="1329">
        <v>43075</v>
      </c>
      <c r="B830" s="1330">
        <v>186</v>
      </c>
    </row>
    <row r="831" spans="1:2" ht="15.75" customHeight="1">
      <c r="A831" s="1331">
        <v>43074</v>
      </c>
      <c r="B831" s="1330">
        <v>179</v>
      </c>
    </row>
    <row r="832" spans="1:2" ht="15.75" customHeight="1">
      <c r="A832" s="1329">
        <v>43073</v>
      </c>
      <c r="B832" s="1330">
        <v>178</v>
      </c>
    </row>
    <row r="833" spans="1:2" ht="15.75" customHeight="1">
      <c r="A833" s="1331">
        <v>43070</v>
      </c>
      <c r="B833" s="1330">
        <v>180</v>
      </c>
    </row>
    <row r="834" spans="1:2" ht="15.75" customHeight="1">
      <c r="A834" s="1329">
        <v>43069</v>
      </c>
      <c r="B834" s="1330">
        <v>175</v>
      </c>
    </row>
    <row r="835" spans="1:2" ht="15.75" customHeight="1">
      <c r="A835" s="1331">
        <v>43068</v>
      </c>
      <c r="B835" s="1330">
        <v>174</v>
      </c>
    </row>
    <row r="836" spans="1:2" ht="15.75" customHeight="1">
      <c r="A836" s="1329">
        <v>43067</v>
      </c>
      <c r="B836" s="1330">
        <v>174</v>
      </c>
    </row>
    <row r="837" spans="1:2" ht="15.75" customHeight="1">
      <c r="A837" s="1331">
        <v>43066</v>
      </c>
      <c r="B837" s="1330">
        <v>176</v>
      </c>
    </row>
    <row r="838" spans="1:2" ht="15.75" customHeight="1">
      <c r="A838" s="1329">
        <v>43063</v>
      </c>
      <c r="B838" s="1330">
        <v>181</v>
      </c>
    </row>
    <row r="839" spans="1:2" ht="15.75" customHeight="1">
      <c r="A839" s="1331">
        <v>43062</v>
      </c>
      <c r="B839" s="1330">
        <v>180</v>
      </c>
    </row>
    <row r="840" spans="1:2" ht="15.75" customHeight="1">
      <c r="A840" s="1329">
        <v>43061</v>
      </c>
      <c r="B840" s="1330">
        <v>180</v>
      </c>
    </row>
    <row r="841" spans="1:2" ht="15.75" customHeight="1">
      <c r="A841" s="1331">
        <v>43060</v>
      </c>
      <c r="B841" s="1330">
        <v>184</v>
      </c>
    </row>
    <row r="842" spans="1:2" ht="15.75" customHeight="1">
      <c r="A842" s="1329">
        <v>43059</v>
      </c>
      <c r="B842" s="1330">
        <v>187</v>
      </c>
    </row>
    <row r="843" spans="1:2" ht="15.75" customHeight="1">
      <c r="A843" s="1331">
        <v>43056</v>
      </c>
      <c r="B843" s="1330">
        <v>187</v>
      </c>
    </row>
    <row r="844" spans="1:2" ht="15.75" customHeight="1">
      <c r="A844" s="1329">
        <v>43055</v>
      </c>
      <c r="B844" s="1330">
        <v>189</v>
      </c>
    </row>
    <row r="845" spans="1:2" ht="15.75" customHeight="1">
      <c r="A845" s="1331">
        <v>43054</v>
      </c>
      <c r="B845" s="1330">
        <v>196</v>
      </c>
    </row>
    <row r="846" spans="1:2" ht="15.75" customHeight="1">
      <c r="A846" s="1329">
        <v>43053</v>
      </c>
      <c r="B846" s="1330">
        <v>190</v>
      </c>
    </row>
    <row r="847" spans="1:2" ht="15.75" customHeight="1">
      <c r="A847" s="1331">
        <v>43052</v>
      </c>
      <c r="B847" s="1330">
        <v>188</v>
      </c>
    </row>
    <row r="848" spans="1:2" ht="15.75" customHeight="1">
      <c r="A848" s="1329">
        <v>43049</v>
      </c>
      <c r="B848" s="1330">
        <v>188</v>
      </c>
    </row>
    <row r="849" spans="1:2" ht="15.75" customHeight="1">
      <c r="A849" s="1331">
        <v>43048</v>
      </c>
      <c r="B849" s="1330">
        <v>193</v>
      </c>
    </row>
    <row r="850" spans="1:2" ht="15.75" customHeight="1">
      <c r="A850" s="1329">
        <v>43047</v>
      </c>
      <c r="B850" s="1330">
        <v>192</v>
      </c>
    </row>
    <row r="851" spans="1:2" ht="15.75" customHeight="1">
      <c r="A851" s="1331">
        <v>43046</v>
      </c>
      <c r="B851" s="1330">
        <v>192</v>
      </c>
    </row>
    <row r="852" spans="1:2" ht="15.75" customHeight="1">
      <c r="A852" s="1329">
        <v>43045</v>
      </c>
      <c r="B852" s="1330">
        <v>188</v>
      </c>
    </row>
    <row r="853" spans="1:2" ht="15.75" customHeight="1">
      <c r="A853" s="1331">
        <v>43042</v>
      </c>
      <c r="B853" s="1330">
        <v>187</v>
      </c>
    </row>
    <row r="854" spans="1:2" ht="15.75" customHeight="1">
      <c r="A854" s="1329">
        <v>43041</v>
      </c>
      <c r="B854" s="1330">
        <v>186</v>
      </c>
    </row>
    <row r="855" spans="1:2" ht="15.75" customHeight="1">
      <c r="A855" s="1331">
        <v>43040</v>
      </c>
      <c r="B855" s="1330">
        <v>187</v>
      </c>
    </row>
    <row r="856" spans="1:2" ht="15.75" customHeight="1">
      <c r="A856" s="1329">
        <v>43039</v>
      </c>
      <c r="B856" s="1330">
        <v>186</v>
      </c>
    </row>
    <row r="857" spans="1:2" ht="15.75" customHeight="1">
      <c r="A857" s="1331">
        <v>43038</v>
      </c>
      <c r="B857" s="1330">
        <v>183</v>
      </c>
    </row>
    <row r="858" spans="1:2" ht="15.75" customHeight="1">
      <c r="A858" s="1329">
        <v>43035</v>
      </c>
      <c r="B858" s="1330">
        <v>181</v>
      </c>
    </row>
    <row r="859" spans="1:2" ht="15.75" customHeight="1">
      <c r="A859" s="1331">
        <v>43034</v>
      </c>
      <c r="B859" s="1330">
        <v>181</v>
      </c>
    </row>
    <row r="860" spans="1:2" ht="15.75" customHeight="1">
      <c r="A860" s="1329">
        <v>43033</v>
      </c>
      <c r="B860" s="1330">
        <v>178</v>
      </c>
    </row>
    <row r="861" spans="1:2" ht="15.75" customHeight="1">
      <c r="A861" s="1331">
        <v>43032</v>
      </c>
      <c r="B861" s="1330">
        <v>179</v>
      </c>
    </row>
    <row r="862" spans="1:2" ht="15.75" customHeight="1">
      <c r="A862" s="1329">
        <v>43031</v>
      </c>
      <c r="B862" s="1330">
        <v>177</v>
      </c>
    </row>
    <row r="863" spans="1:2" ht="15.75" customHeight="1">
      <c r="A863" s="1331">
        <v>43028</v>
      </c>
      <c r="B863" s="1330">
        <v>177</v>
      </c>
    </row>
    <row r="864" spans="1:2" ht="15.75" customHeight="1">
      <c r="A864" s="1329">
        <v>43027</v>
      </c>
      <c r="B864" s="1330">
        <v>179</v>
      </c>
    </row>
    <row r="865" spans="1:2" ht="15.75" customHeight="1">
      <c r="A865" s="1331">
        <v>43026</v>
      </c>
      <c r="B865" s="1330">
        <v>179</v>
      </c>
    </row>
    <row r="866" spans="1:2" ht="15.75" customHeight="1">
      <c r="A866" s="1329">
        <v>43025</v>
      </c>
      <c r="B866" s="1330">
        <v>182</v>
      </c>
    </row>
    <row r="867" spans="1:2" ht="15.75" customHeight="1">
      <c r="A867" s="1331">
        <v>43024</v>
      </c>
      <c r="B867" s="1330">
        <v>186</v>
      </c>
    </row>
    <row r="868" spans="1:2" ht="15.75" customHeight="1">
      <c r="A868" s="1329">
        <v>43021</v>
      </c>
      <c r="B868" s="1330">
        <v>189</v>
      </c>
    </row>
    <row r="869" spans="1:2" ht="15.75" customHeight="1">
      <c r="A869" s="1331">
        <v>43020</v>
      </c>
      <c r="B869" s="1330">
        <v>184</v>
      </c>
    </row>
    <row r="870" spans="1:2" ht="15.75" customHeight="1">
      <c r="A870" s="1329">
        <v>43019</v>
      </c>
      <c r="B870" s="1330">
        <v>181</v>
      </c>
    </row>
    <row r="871" spans="1:2" ht="15.75" customHeight="1">
      <c r="A871" s="1331">
        <v>43018</v>
      </c>
      <c r="B871" s="1330">
        <v>180</v>
      </c>
    </row>
    <row r="872" spans="1:2" ht="15.75" customHeight="1">
      <c r="A872" s="1329">
        <v>43017</v>
      </c>
      <c r="B872" s="1330">
        <v>175</v>
      </c>
    </row>
    <row r="873" spans="1:2" ht="15.75" customHeight="1">
      <c r="A873" s="1331">
        <v>43014</v>
      </c>
      <c r="B873" s="1330">
        <v>176</v>
      </c>
    </row>
    <row r="874" spans="1:2" ht="15.75" customHeight="1">
      <c r="A874" s="1329">
        <v>43013</v>
      </c>
      <c r="B874" s="1330">
        <v>173</v>
      </c>
    </row>
    <row r="875" spans="1:2" ht="15.75" customHeight="1">
      <c r="A875" s="1331">
        <v>43012</v>
      </c>
      <c r="B875" s="1330">
        <v>171</v>
      </c>
    </row>
    <row r="876" spans="1:2" ht="15.75" customHeight="1">
      <c r="A876" s="1329">
        <v>43011</v>
      </c>
      <c r="B876" s="1330">
        <v>171</v>
      </c>
    </row>
    <row r="877" spans="1:2" ht="15.75" customHeight="1">
      <c r="A877" s="1331">
        <v>43010</v>
      </c>
      <c r="B877" s="1330">
        <v>170</v>
      </c>
    </row>
    <row r="878" spans="1:2" ht="15.75" customHeight="1">
      <c r="A878" s="1329">
        <v>43007</v>
      </c>
      <c r="B878" s="1330">
        <v>170</v>
      </c>
    </row>
    <row r="879" spans="1:2" ht="15.75" customHeight="1">
      <c r="A879" s="1331">
        <v>43006</v>
      </c>
      <c r="B879" s="1330">
        <v>175</v>
      </c>
    </row>
    <row r="880" spans="1:2" ht="15.75" customHeight="1">
      <c r="A880" s="1329">
        <v>43005</v>
      </c>
      <c r="B880" s="1330">
        <v>178</v>
      </c>
    </row>
    <row r="881" spans="1:2" ht="15.75" customHeight="1">
      <c r="A881" s="1331">
        <v>43004</v>
      </c>
      <c r="B881" s="1330">
        <v>181</v>
      </c>
    </row>
    <row r="882" spans="1:2" ht="15.75" customHeight="1">
      <c r="A882" s="1329">
        <v>43003</v>
      </c>
      <c r="B882" s="1330">
        <v>184</v>
      </c>
    </row>
    <row r="883" spans="1:2" ht="15.75" customHeight="1">
      <c r="A883" s="1331">
        <v>43000</v>
      </c>
      <c r="B883" s="1330">
        <v>181</v>
      </c>
    </row>
    <row r="884" spans="1:2" ht="15.75" customHeight="1">
      <c r="A884" s="1329">
        <v>42999</v>
      </c>
      <c r="B884" s="1330">
        <v>182</v>
      </c>
    </row>
    <row r="885" spans="1:2" ht="15.75" customHeight="1">
      <c r="A885" s="1331">
        <v>42998</v>
      </c>
      <c r="B885" s="1330">
        <v>181</v>
      </c>
    </row>
    <row r="886" spans="1:2" ht="15.75" customHeight="1">
      <c r="A886" s="1329">
        <v>42997</v>
      </c>
      <c r="B886" s="1330">
        <v>180</v>
      </c>
    </row>
    <row r="887" spans="1:2" ht="15.75" customHeight="1">
      <c r="A887" s="1331">
        <v>42996</v>
      </c>
      <c r="B887" s="1330">
        <v>178</v>
      </c>
    </row>
    <row r="888" spans="1:2" ht="15.75" customHeight="1">
      <c r="A888" s="1329">
        <v>42993</v>
      </c>
      <c r="B888" s="1330">
        <v>180</v>
      </c>
    </row>
    <row r="889" spans="1:2" ht="15.75" customHeight="1">
      <c r="A889" s="1331">
        <v>42992</v>
      </c>
      <c r="B889" s="1330">
        <v>179</v>
      </c>
    </row>
    <row r="890" spans="1:2" ht="15.75" customHeight="1">
      <c r="A890" s="1329">
        <v>42991</v>
      </c>
      <c r="B890" s="1330">
        <v>176</v>
      </c>
    </row>
    <row r="891" spans="1:2" ht="15.75" customHeight="1">
      <c r="A891" s="1331">
        <v>42990</v>
      </c>
      <c r="B891" s="1330">
        <v>180</v>
      </c>
    </row>
    <row r="892" spans="1:2" ht="15.75" customHeight="1">
      <c r="A892" s="1329">
        <v>42989</v>
      </c>
      <c r="B892" s="1330">
        <v>181</v>
      </c>
    </row>
    <row r="893" spans="1:2" ht="15.75" customHeight="1">
      <c r="A893" s="1331">
        <v>42986</v>
      </c>
      <c r="B893" s="1330">
        <v>186</v>
      </c>
    </row>
    <row r="894" spans="1:2" ht="15.75" customHeight="1">
      <c r="A894" s="1329">
        <v>42985</v>
      </c>
      <c r="B894" s="1330">
        <v>185</v>
      </c>
    </row>
    <row r="895" spans="1:2" ht="15.75" customHeight="1">
      <c r="A895" s="1331">
        <v>42984</v>
      </c>
      <c r="B895" s="1330">
        <v>185</v>
      </c>
    </row>
    <row r="896" spans="1:2" ht="15.75" customHeight="1">
      <c r="A896" s="1329">
        <v>42983</v>
      </c>
      <c r="B896" s="1330">
        <v>186</v>
      </c>
    </row>
    <row r="897" spans="1:2" ht="15.75" customHeight="1">
      <c r="A897" s="1331">
        <v>42982</v>
      </c>
      <c r="B897" s="1330">
        <v>181</v>
      </c>
    </row>
    <row r="898" spans="1:2" ht="15.75" customHeight="1">
      <c r="A898" s="1329">
        <v>42979</v>
      </c>
      <c r="B898" s="1330">
        <v>181</v>
      </c>
    </row>
    <row r="899" spans="1:2" ht="15.75" customHeight="1">
      <c r="A899" s="1331">
        <v>42978</v>
      </c>
      <c r="B899" s="1330">
        <v>184</v>
      </c>
    </row>
    <row r="900" spans="1:2" ht="15.75" customHeight="1">
      <c r="A900" s="1329">
        <v>42977</v>
      </c>
      <c r="B900" s="1330">
        <v>185</v>
      </c>
    </row>
    <row r="901" spans="1:2" ht="15.75" customHeight="1">
      <c r="A901" s="1331">
        <v>42976</v>
      </c>
      <c r="B901" s="1330">
        <v>187</v>
      </c>
    </row>
    <row r="902" spans="1:2" ht="15.75" customHeight="1">
      <c r="A902" s="1329">
        <v>42975</v>
      </c>
      <c r="B902" s="1330">
        <v>187</v>
      </c>
    </row>
    <row r="903" spans="1:2" ht="15.75" customHeight="1">
      <c r="A903" s="1331">
        <v>42972</v>
      </c>
      <c r="B903" s="1330">
        <v>185</v>
      </c>
    </row>
    <row r="904" spans="1:2" ht="15.75" customHeight="1">
      <c r="A904" s="1329">
        <v>42971</v>
      </c>
      <c r="B904" s="1330">
        <v>186</v>
      </c>
    </row>
    <row r="905" spans="1:2" ht="15.75" customHeight="1">
      <c r="A905" s="1331">
        <v>42970</v>
      </c>
      <c r="B905" s="1330">
        <v>191</v>
      </c>
    </row>
    <row r="906" spans="1:2" ht="15.75" customHeight="1">
      <c r="A906" s="1329">
        <v>42969</v>
      </c>
      <c r="B906" s="1330">
        <v>189</v>
      </c>
    </row>
    <row r="907" spans="1:2" ht="15.75" customHeight="1">
      <c r="A907" s="1331">
        <v>42968</v>
      </c>
      <c r="B907" s="1330">
        <v>192</v>
      </c>
    </row>
    <row r="908" spans="1:2" ht="15.75" customHeight="1">
      <c r="A908" s="1329">
        <v>42965</v>
      </c>
      <c r="B908" s="1330">
        <v>192</v>
      </c>
    </row>
    <row r="909" spans="1:2" ht="15.75" customHeight="1">
      <c r="A909" s="1331">
        <v>42964</v>
      </c>
      <c r="B909" s="1330">
        <v>195</v>
      </c>
    </row>
    <row r="910" spans="1:2" ht="15.75" customHeight="1">
      <c r="A910" s="1329">
        <v>42963</v>
      </c>
      <c r="B910" s="1330">
        <v>190</v>
      </c>
    </row>
    <row r="911" spans="1:2" ht="15.75" customHeight="1">
      <c r="A911" s="1331">
        <v>42962</v>
      </c>
      <c r="B911" s="1330">
        <v>189</v>
      </c>
    </row>
    <row r="912" spans="1:2" ht="15.75" customHeight="1">
      <c r="A912" s="1329">
        <v>42961</v>
      </c>
      <c r="B912" s="1330">
        <v>193</v>
      </c>
    </row>
    <row r="913" spans="1:2" ht="15.75" customHeight="1">
      <c r="A913" s="1331">
        <v>42958</v>
      </c>
      <c r="B913" s="1330">
        <v>198</v>
      </c>
    </row>
    <row r="914" spans="1:2" ht="15.75" customHeight="1">
      <c r="A914" s="1329">
        <v>42957</v>
      </c>
      <c r="B914" s="1330">
        <v>198</v>
      </c>
    </row>
    <row r="915" spans="1:2" ht="15.75" customHeight="1">
      <c r="A915" s="1331">
        <v>42956</v>
      </c>
      <c r="B915" s="1330">
        <v>191</v>
      </c>
    </row>
    <row r="916" spans="1:2" ht="15.75" customHeight="1">
      <c r="A916" s="1329">
        <v>42955</v>
      </c>
      <c r="B916" s="1330">
        <v>183</v>
      </c>
    </row>
    <row r="917" spans="1:2" ht="15.75" customHeight="1">
      <c r="A917" s="1331">
        <v>42954</v>
      </c>
      <c r="B917" s="1330">
        <v>185</v>
      </c>
    </row>
    <row r="918" spans="1:2" ht="15.75" customHeight="1">
      <c r="A918" s="1329">
        <v>42951</v>
      </c>
      <c r="B918" s="1330">
        <v>184</v>
      </c>
    </row>
    <row r="919" spans="1:2" ht="15.75" customHeight="1">
      <c r="A919" s="1331">
        <v>42950</v>
      </c>
      <c r="B919" s="1330">
        <v>184</v>
      </c>
    </row>
    <row r="920" spans="1:2" ht="15.75" customHeight="1">
      <c r="A920" s="1329">
        <v>42949</v>
      </c>
      <c r="B920" s="1330">
        <v>182</v>
      </c>
    </row>
    <row r="921" spans="1:2" ht="15.75" customHeight="1">
      <c r="A921" s="1331">
        <v>42948</v>
      </c>
      <c r="B921" s="1330">
        <v>181</v>
      </c>
    </row>
    <row r="922" spans="1:2" ht="15.75" customHeight="1">
      <c r="A922" s="1329">
        <v>42947</v>
      </c>
      <c r="B922" s="1330">
        <v>182</v>
      </c>
    </row>
    <row r="923" spans="1:2" ht="15.75" customHeight="1">
      <c r="A923" s="1331">
        <v>42944</v>
      </c>
      <c r="B923" s="1330">
        <v>185</v>
      </c>
    </row>
    <row r="924" spans="1:2" ht="15.75" customHeight="1">
      <c r="A924" s="1329">
        <v>42943</v>
      </c>
      <c r="B924" s="1330">
        <v>182</v>
      </c>
    </row>
    <row r="925" spans="1:2" ht="15.75" customHeight="1">
      <c r="A925" s="1331">
        <v>42942</v>
      </c>
      <c r="B925" s="1330">
        <v>185</v>
      </c>
    </row>
    <row r="926" spans="1:2" ht="15.75" customHeight="1">
      <c r="A926" s="1329">
        <v>42941</v>
      </c>
      <c r="B926" s="1330">
        <v>187</v>
      </c>
    </row>
    <row r="927" spans="1:2" ht="15.75" customHeight="1">
      <c r="A927" s="1331">
        <v>42940</v>
      </c>
      <c r="B927" s="1330">
        <v>187</v>
      </c>
    </row>
    <row r="928" spans="1:2" ht="15.75" customHeight="1">
      <c r="A928" s="1329">
        <v>42937</v>
      </c>
      <c r="B928" s="1330">
        <v>186</v>
      </c>
    </row>
    <row r="929" spans="1:2" ht="15.75" customHeight="1">
      <c r="A929" s="1331">
        <v>42936</v>
      </c>
      <c r="B929" s="1330">
        <v>185</v>
      </c>
    </row>
    <row r="930" spans="1:2" ht="15.75" customHeight="1">
      <c r="A930" s="1329">
        <v>42935</v>
      </c>
      <c r="B930" s="1330">
        <v>187</v>
      </c>
    </row>
    <row r="931" spans="1:2" ht="15.75" customHeight="1">
      <c r="A931" s="1331">
        <v>42934</v>
      </c>
      <c r="B931" s="1330">
        <v>190</v>
      </c>
    </row>
    <row r="932" spans="1:2" ht="15.75" customHeight="1">
      <c r="A932" s="1329">
        <v>42933</v>
      </c>
      <c r="B932" s="1330">
        <v>190</v>
      </c>
    </row>
    <row r="933" spans="1:2" ht="15.75" customHeight="1">
      <c r="A933" s="1331">
        <v>42930</v>
      </c>
      <c r="B933" s="1330">
        <v>191</v>
      </c>
    </row>
    <row r="934" spans="1:2" ht="15.75" customHeight="1">
      <c r="A934" s="1329">
        <v>42929</v>
      </c>
      <c r="B934" s="1330">
        <v>191</v>
      </c>
    </row>
    <row r="935" spans="1:2" ht="15.75" customHeight="1">
      <c r="A935" s="1331">
        <v>42928</v>
      </c>
      <c r="B935" s="1330">
        <v>192</v>
      </c>
    </row>
    <row r="936" spans="1:2" ht="15.75" customHeight="1">
      <c r="A936" s="1329">
        <v>42927</v>
      </c>
      <c r="B936" s="1330">
        <v>193</v>
      </c>
    </row>
    <row r="937" spans="1:2" ht="15.75" customHeight="1">
      <c r="A937" s="1331">
        <v>42926</v>
      </c>
      <c r="B937" s="1330">
        <v>192</v>
      </c>
    </row>
    <row r="938" spans="1:2" ht="15.75" customHeight="1">
      <c r="A938" s="1329">
        <v>42923</v>
      </c>
      <c r="B938" s="1330">
        <v>194</v>
      </c>
    </row>
    <row r="939" spans="1:2" ht="15.75" customHeight="1">
      <c r="A939" s="1331">
        <v>42922</v>
      </c>
      <c r="B939" s="1330">
        <v>198</v>
      </c>
    </row>
    <row r="940" spans="1:2" ht="15.75" customHeight="1">
      <c r="A940" s="1329">
        <v>42921</v>
      </c>
      <c r="B940" s="1330">
        <v>195</v>
      </c>
    </row>
    <row r="941" spans="1:2" ht="15.75" customHeight="1">
      <c r="A941" s="1331">
        <v>42919</v>
      </c>
      <c r="B941" s="1330">
        <v>190</v>
      </c>
    </row>
    <row r="942" spans="1:2" ht="15.75" customHeight="1">
      <c r="A942" s="1329">
        <v>42916</v>
      </c>
      <c r="B942" s="1330">
        <v>193</v>
      </c>
    </row>
    <row r="943" spans="1:2" ht="15.75" customHeight="1">
      <c r="A943" s="1331">
        <v>42915</v>
      </c>
      <c r="B943" s="1330">
        <v>197</v>
      </c>
    </row>
    <row r="944" spans="1:2" ht="15.75" customHeight="1">
      <c r="A944" s="1329">
        <v>42914</v>
      </c>
      <c r="B944" s="1330">
        <v>193</v>
      </c>
    </row>
    <row r="945" spans="1:2" ht="15.75" customHeight="1">
      <c r="A945" s="1331">
        <v>42913</v>
      </c>
      <c r="B945" s="1330">
        <v>196</v>
      </c>
    </row>
    <row r="946" spans="1:2" ht="15.75" customHeight="1">
      <c r="A946" s="1329">
        <v>42912</v>
      </c>
      <c r="B946" s="1330">
        <v>199</v>
      </c>
    </row>
    <row r="947" spans="1:2" ht="15.75" customHeight="1">
      <c r="A947" s="1331">
        <v>42909</v>
      </c>
      <c r="B947" s="1330">
        <v>202</v>
      </c>
    </row>
    <row r="948" spans="1:2" ht="15.75" customHeight="1">
      <c r="A948" s="1329">
        <v>42908</v>
      </c>
      <c r="B948" s="1330">
        <v>203</v>
      </c>
    </row>
    <row r="949" spans="1:2" ht="15.75" customHeight="1">
      <c r="A949" s="1331">
        <v>42907</v>
      </c>
      <c r="B949" s="1330">
        <v>204</v>
      </c>
    </row>
    <row r="950" spans="1:2" ht="15.75" customHeight="1">
      <c r="A950" s="1329">
        <v>42906</v>
      </c>
      <c r="B950" s="1330">
        <v>200</v>
      </c>
    </row>
    <row r="951" spans="1:2" ht="15.75" customHeight="1">
      <c r="A951" s="1331">
        <v>42905</v>
      </c>
      <c r="B951" s="1330">
        <v>193</v>
      </c>
    </row>
    <row r="952" spans="1:2" ht="15.75" customHeight="1">
      <c r="A952" s="1329">
        <v>42902</v>
      </c>
      <c r="B952" s="1330">
        <v>193</v>
      </c>
    </row>
    <row r="953" spans="1:2" ht="15.75" customHeight="1">
      <c r="A953" s="1331">
        <v>42901</v>
      </c>
      <c r="B953" s="1330">
        <v>192</v>
      </c>
    </row>
    <row r="954" spans="1:2" ht="15.75" customHeight="1">
      <c r="A954" s="1329">
        <v>42900</v>
      </c>
      <c r="B954" s="1330">
        <v>191</v>
      </c>
    </row>
    <row r="955" spans="1:2" ht="15.75" customHeight="1">
      <c r="A955" s="1331">
        <v>42899</v>
      </c>
      <c r="B955" s="1330">
        <v>187</v>
      </c>
    </row>
    <row r="956" spans="1:2" ht="15.75" customHeight="1">
      <c r="A956" s="1329">
        <v>42898</v>
      </c>
      <c r="B956" s="1330">
        <v>188</v>
      </c>
    </row>
    <row r="957" spans="1:2" ht="15.75" customHeight="1">
      <c r="A957" s="1331">
        <v>42895</v>
      </c>
      <c r="B957" s="1330">
        <v>187</v>
      </c>
    </row>
    <row r="958" spans="1:2" ht="15.75" customHeight="1">
      <c r="A958" s="1329">
        <v>42894</v>
      </c>
      <c r="B958" s="1330">
        <v>187</v>
      </c>
    </row>
    <row r="959" spans="1:2" ht="15.75" customHeight="1">
      <c r="A959" s="1331">
        <v>42893</v>
      </c>
      <c r="B959" s="1330">
        <v>189</v>
      </c>
    </row>
    <row r="960" spans="1:2" ht="15.75" customHeight="1">
      <c r="A960" s="1329">
        <v>42892</v>
      </c>
      <c r="B960" s="1330">
        <v>192</v>
      </c>
    </row>
    <row r="961" spans="1:2" ht="15.75" customHeight="1">
      <c r="A961" s="1331">
        <v>42891</v>
      </c>
      <c r="B961" s="1330">
        <v>195</v>
      </c>
    </row>
    <row r="962" spans="1:2" ht="15.75" customHeight="1">
      <c r="A962" s="1329">
        <v>42888</v>
      </c>
      <c r="B962" s="1330">
        <v>204</v>
      </c>
    </row>
    <row r="963" spans="1:2" ht="15.75" customHeight="1">
      <c r="A963" s="1331">
        <v>42887</v>
      </c>
      <c r="B963" s="1330">
        <v>201</v>
      </c>
    </row>
    <row r="964" spans="1:2" ht="15.75" customHeight="1">
      <c r="A964" s="1329">
        <v>42886</v>
      </c>
      <c r="B964" s="1330">
        <v>201</v>
      </c>
    </row>
    <row r="965" spans="1:2" ht="15.75" customHeight="1">
      <c r="A965" s="1331">
        <v>42885</v>
      </c>
      <c r="B965" s="1330">
        <v>197</v>
      </c>
    </row>
    <row r="966" spans="1:2" ht="15.75" customHeight="1">
      <c r="A966" s="1329">
        <v>42884</v>
      </c>
      <c r="B966" s="1330">
        <v>195</v>
      </c>
    </row>
    <row r="967" spans="1:2" ht="15.75" customHeight="1">
      <c r="A967" s="1331">
        <v>42881</v>
      </c>
      <c r="B967" s="1330">
        <v>193</v>
      </c>
    </row>
    <row r="968" spans="1:2" ht="15.75" customHeight="1">
      <c r="A968" s="1329">
        <v>42880</v>
      </c>
      <c r="B968" s="1330">
        <v>195</v>
      </c>
    </row>
    <row r="969" spans="1:2" ht="15.75" customHeight="1">
      <c r="A969" s="1331">
        <v>42879</v>
      </c>
      <c r="B969" s="1330">
        <v>192</v>
      </c>
    </row>
    <row r="970" spans="1:2" ht="15.75" customHeight="1">
      <c r="A970" s="1329">
        <v>42878</v>
      </c>
      <c r="B970" s="1330">
        <v>194</v>
      </c>
    </row>
    <row r="971" spans="1:2" ht="15.75" customHeight="1">
      <c r="A971" s="1331">
        <v>42877</v>
      </c>
      <c r="B971" s="1330">
        <v>196</v>
      </c>
    </row>
    <row r="972" spans="1:2" ht="15.75" customHeight="1">
      <c r="A972" s="1329">
        <v>42874</v>
      </c>
      <c r="B972" s="1330">
        <v>196</v>
      </c>
    </row>
    <row r="973" spans="1:2" ht="15.75" customHeight="1">
      <c r="A973" s="1331">
        <v>42873</v>
      </c>
      <c r="B973" s="1330">
        <v>197</v>
      </c>
    </row>
    <row r="974" spans="1:2" ht="15.75" customHeight="1">
      <c r="A974" s="1329">
        <v>42872</v>
      </c>
      <c r="B974" s="1330">
        <v>197</v>
      </c>
    </row>
    <row r="975" spans="1:2" ht="15.75" customHeight="1">
      <c r="A975" s="1331">
        <v>42871</v>
      </c>
      <c r="B975" s="1330">
        <v>188</v>
      </c>
    </row>
    <row r="976" spans="1:2" ht="15.75" customHeight="1">
      <c r="A976" s="1329">
        <v>42870</v>
      </c>
      <c r="B976" s="1330">
        <v>187</v>
      </c>
    </row>
    <row r="977" spans="1:2" ht="15.75" customHeight="1">
      <c r="A977" s="1331">
        <v>42867</v>
      </c>
      <c r="B977" s="1330">
        <v>188</v>
      </c>
    </row>
    <row r="978" spans="1:2" ht="15.75" customHeight="1">
      <c r="A978" s="1329">
        <v>42866</v>
      </c>
      <c r="B978" s="1330">
        <v>187</v>
      </c>
    </row>
    <row r="979" spans="1:2" ht="15.75" customHeight="1">
      <c r="A979" s="1331">
        <v>42865</v>
      </c>
      <c r="B979" s="1330">
        <v>187</v>
      </c>
    </row>
    <row r="980" spans="1:2" ht="15.75" customHeight="1">
      <c r="A980" s="1329">
        <v>42864</v>
      </c>
      <c r="B980" s="1330">
        <v>192</v>
      </c>
    </row>
    <row r="981" spans="1:2" ht="15.75" customHeight="1">
      <c r="A981" s="1331">
        <v>42863</v>
      </c>
      <c r="B981" s="1330">
        <v>192</v>
      </c>
    </row>
    <row r="982" spans="1:2" ht="15.75" customHeight="1">
      <c r="A982" s="1329">
        <v>42860</v>
      </c>
      <c r="B982" s="1330">
        <v>194</v>
      </c>
    </row>
    <row r="983" spans="1:2" ht="15.75" customHeight="1">
      <c r="A983" s="1331">
        <v>42859</v>
      </c>
      <c r="B983" s="1330">
        <v>194</v>
      </c>
    </row>
    <row r="984" spans="1:2" ht="15.75" customHeight="1">
      <c r="A984" s="1329">
        <v>42858</v>
      </c>
      <c r="B984" s="1330">
        <v>191</v>
      </c>
    </row>
    <row r="985" spans="1:2" ht="15.75" customHeight="1">
      <c r="A985" s="1331">
        <v>42857</v>
      </c>
      <c r="B985" s="1330">
        <v>193</v>
      </c>
    </row>
    <row r="986" spans="1:2" ht="15.75" customHeight="1">
      <c r="A986" s="1329">
        <v>42856</v>
      </c>
      <c r="B986" s="1330">
        <v>192</v>
      </c>
    </row>
    <row r="987" spans="1:2" ht="15.75" customHeight="1">
      <c r="A987" s="1331">
        <v>42853</v>
      </c>
      <c r="B987" s="1330">
        <v>195</v>
      </c>
    </row>
    <row r="988" spans="1:2" ht="15.75" customHeight="1">
      <c r="A988" s="1329">
        <v>42852</v>
      </c>
      <c r="B988" s="1330">
        <v>199</v>
      </c>
    </row>
    <row r="989" spans="1:2" ht="15.75" customHeight="1">
      <c r="A989" s="1331">
        <v>42851</v>
      </c>
      <c r="B989" s="1330">
        <v>201</v>
      </c>
    </row>
    <row r="990" spans="1:2" ht="15.75" customHeight="1">
      <c r="A990" s="1329">
        <v>42850</v>
      </c>
      <c r="B990" s="1330">
        <v>195</v>
      </c>
    </row>
    <row r="991" spans="1:2" ht="15.75" customHeight="1">
      <c r="A991" s="1331">
        <v>42849</v>
      </c>
      <c r="B991" s="1330">
        <v>197</v>
      </c>
    </row>
    <row r="992" spans="1:2" ht="15.75" customHeight="1">
      <c r="A992" s="1329">
        <v>42846</v>
      </c>
      <c r="B992" s="1330">
        <v>202</v>
      </c>
    </row>
    <row r="993" spans="1:2" ht="15.75" customHeight="1">
      <c r="A993" s="1331">
        <v>42845</v>
      </c>
      <c r="B993" s="1330">
        <v>203</v>
      </c>
    </row>
    <row r="994" spans="1:2" ht="15.75" customHeight="1">
      <c r="A994" s="1329">
        <v>42844</v>
      </c>
      <c r="B994" s="1330">
        <v>203</v>
      </c>
    </row>
    <row r="995" spans="1:2" ht="15.75" customHeight="1">
      <c r="A995" s="1331">
        <v>42843</v>
      </c>
      <c r="B995" s="1330">
        <v>206</v>
      </c>
    </row>
    <row r="996" spans="1:2" ht="15.75" customHeight="1">
      <c r="A996" s="1329">
        <v>42842</v>
      </c>
      <c r="B996" s="1330">
        <v>199</v>
      </c>
    </row>
    <row r="997" spans="1:2" ht="15.75" customHeight="1">
      <c r="A997" s="1331">
        <v>42838</v>
      </c>
      <c r="B997" s="1330">
        <v>199</v>
      </c>
    </row>
    <row r="998" spans="1:2" ht="15.75" customHeight="1">
      <c r="A998" s="1329">
        <v>42837</v>
      </c>
      <c r="B998" s="1330">
        <v>200</v>
      </c>
    </row>
    <row r="999" spans="1:2" ht="15.75" customHeight="1">
      <c r="A999" s="1331">
        <v>42836</v>
      </c>
      <c r="B999" s="1330">
        <v>203</v>
      </c>
    </row>
    <row r="1000" spans="1:2" ht="15.75" customHeight="1">
      <c r="A1000" s="1329">
        <v>42835</v>
      </c>
      <c r="B1000" s="1330">
        <v>199</v>
      </c>
    </row>
    <row r="1001" spans="1:2" ht="15.75" customHeight="1">
      <c r="A1001" s="1331">
        <v>42832</v>
      </c>
      <c r="B1001" s="1330">
        <v>199</v>
      </c>
    </row>
    <row r="1002" spans="1:2" ht="15.75" customHeight="1">
      <c r="A1002" s="1329">
        <v>42831</v>
      </c>
      <c r="B1002" s="1330">
        <v>202</v>
      </c>
    </row>
    <row r="1003" spans="1:2" ht="15.75" customHeight="1">
      <c r="A1003" s="1331">
        <v>42830</v>
      </c>
      <c r="B1003" s="1330">
        <v>200</v>
      </c>
    </row>
    <row r="1004" spans="1:2" ht="15.75" customHeight="1">
      <c r="A1004" s="1329">
        <v>42829</v>
      </c>
      <c r="B1004" s="1330">
        <v>201</v>
      </c>
    </row>
    <row r="1005" spans="1:2" ht="15.75" customHeight="1">
      <c r="A1005" s="1331">
        <v>42828</v>
      </c>
      <c r="B1005" s="1330">
        <v>200</v>
      </c>
    </row>
    <row r="1006" spans="1:2" ht="15.75" customHeight="1">
      <c r="A1006" s="1329">
        <v>42825</v>
      </c>
      <c r="B1006" s="1330">
        <v>196</v>
      </c>
    </row>
    <row r="1007" spans="1:2" ht="15.75" customHeight="1">
      <c r="A1007" s="1331">
        <v>42824</v>
      </c>
      <c r="B1007" s="1330">
        <v>193</v>
      </c>
    </row>
    <row r="1008" spans="1:2" ht="15.75" customHeight="1">
      <c r="A1008" s="1329">
        <v>42823</v>
      </c>
      <c r="B1008" s="1330">
        <v>191</v>
      </c>
    </row>
    <row r="1009" spans="1:2" ht="15.75" customHeight="1">
      <c r="A1009" s="1331">
        <v>42822</v>
      </c>
      <c r="B1009" s="1330">
        <v>190</v>
      </c>
    </row>
    <row r="1010" spans="1:2" ht="15.75" customHeight="1">
      <c r="A1010" s="1329">
        <v>42821</v>
      </c>
      <c r="B1010" s="1330">
        <v>196</v>
      </c>
    </row>
    <row r="1011" spans="1:2" ht="15.75" customHeight="1">
      <c r="A1011" s="1331">
        <v>42818</v>
      </c>
      <c r="B1011" s="1330">
        <v>196</v>
      </c>
    </row>
    <row r="1012" spans="1:2" ht="15.75" customHeight="1">
      <c r="A1012" s="1329">
        <v>42817</v>
      </c>
      <c r="B1012" s="1330">
        <v>201</v>
      </c>
    </row>
    <row r="1013" spans="1:2" ht="15.75" customHeight="1">
      <c r="A1013" s="1331">
        <v>42816</v>
      </c>
      <c r="B1013" s="1330">
        <v>206</v>
      </c>
    </row>
    <row r="1014" spans="1:2" ht="15.75" customHeight="1">
      <c r="A1014" s="1329">
        <v>42815</v>
      </c>
      <c r="B1014" s="1330">
        <v>204</v>
      </c>
    </row>
    <row r="1015" spans="1:2" ht="15.75" customHeight="1">
      <c r="A1015" s="1331">
        <v>42814</v>
      </c>
      <c r="B1015" s="1330">
        <v>203</v>
      </c>
    </row>
    <row r="1016" spans="1:2" ht="15.75" customHeight="1">
      <c r="A1016" s="1329">
        <v>42811</v>
      </c>
      <c r="B1016" s="1330">
        <v>204</v>
      </c>
    </row>
    <row r="1017" spans="1:2" ht="15.75" customHeight="1">
      <c r="A1017" s="1331">
        <v>42810</v>
      </c>
      <c r="B1017" s="1330">
        <v>202</v>
      </c>
    </row>
    <row r="1018" spans="1:2" ht="15.75" customHeight="1">
      <c r="A1018" s="1329">
        <v>42809</v>
      </c>
      <c r="B1018" s="1330">
        <v>205</v>
      </c>
    </row>
    <row r="1019" spans="1:2" ht="15.75" customHeight="1">
      <c r="A1019" s="1331">
        <v>42808</v>
      </c>
      <c r="B1019" s="1330">
        <v>212</v>
      </c>
    </row>
    <row r="1020" spans="1:2" ht="15.75" customHeight="1">
      <c r="A1020" s="1329">
        <v>42807</v>
      </c>
      <c r="B1020" s="1330">
        <v>207</v>
      </c>
    </row>
    <row r="1021" spans="1:2" ht="15.75" customHeight="1">
      <c r="A1021" s="1331">
        <v>42804</v>
      </c>
      <c r="B1021" s="1330">
        <v>204</v>
      </c>
    </row>
    <row r="1022" spans="1:2" ht="15.75" customHeight="1">
      <c r="A1022" s="1329">
        <v>42803</v>
      </c>
      <c r="B1022" s="1330">
        <v>208</v>
      </c>
    </row>
    <row r="1023" spans="1:2" ht="15.75" customHeight="1">
      <c r="A1023" s="1331">
        <v>42802</v>
      </c>
      <c r="B1023" s="1330">
        <v>203</v>
      </c>
    </row>
    <row r="1024" spans="1:2" ht="15.75" customHeight="1">
      <c r="A1024" s="1329">
        <v>42801</v>
      </c>
      <c r="B1024" s="1330">
        <v>198</v>
      </c>
    </row>
    <row r="1025" spans="1:2" ht="15.75" customHeight="1">
      <c r="A1025" s="1331">
        <v>42800</v>
      </c>
      <c r="B1025" s="1330">
        <v>198</v>
      </c>
    </row>
    <row r="1026" spans="1:2" ht="15.75" customHeight="1">
      <c r="A1026" s="1329">
        <v>42797</v>
      </c>
      <c r="B1026" s="1330">
        <v>199</v>
      </c>
    </row>
    <row r="1027" spans="1:2" ht="15.75" customHeight="1">
      <c r="A1027" s="1331">
        <v>42796</v>
      </c>
      <c r="B1027" s="1330">
        <v>205</v>
      </c>
    </row>
    <row r="1028" spans="1:2" ht="15.75" customHeight="1">
      <c r="A1028" s="1329">
        <v>42795</v>
      </c>
      <c r="B1028" s="1330">
        <v>205</v>
      </c>
    </row>
    <row r="1029" spans="1:2" ht="15.75" customHeight="1">
      <c r="A1029" s="1331">
        <v>42794</v>
      </c>
      <c r="B1029" s="1330">
        <v>213</v>
      </c>
    </row>
    <row r="1030" spans="1:2" ht="15.75" customHeight="1">
      <c r="A1030" s="1329">
        <v>42793</v>
      </c>
      <c r="B1030" s="1330">
        <v>213</v>
      </c>
    </row>
    <row r="1031" spans="1:2" ht="15.75" customHeight="1">
      <c r="A1031" s="1331">
        <v>42790</v>
      </c>
      <c r="B1031" s="1330">
        <v>213</v>
      </c>
    </row>
    <row r="1032" spans="1:2" ht="15.75" customHeight="1">
      <c r="A1032" s="1329">
        <v>42789</v>
      </c>
      <c r="B1032" s="1330">
        <v>210</v>
      </c>
    </row>
    <row r="1033" spans="1:2" ht="15.75" customHeight="1">
      <c r="A1033" s="1331">
        <v>42788</v>
      </c>
      <c r="B1033" s="1330">
        <v>216</v>
      </c>
    </row>
    <row r="1034" spans="1:2" ht="15.75" customHeight="1">
      <c r="A1034" s="1329">
        <v>42787</v>
      </c>
      <c r="B1034" s="1330">
        <v>217</v>
      </c>
    </row>
    <row r="1035" spans="1:2" ht="15.75" customHeight="1">
      <c r="A1035" s="1331">
        <v>42786</v>
      </c>
      <c r="B1035" s="1330">
        <v>226</v>
      </c>
    </row>
    <row r="1036" spans="1:2" ht="15.75" customHeight="1">
      <c r="A1036" s="1329">
        <v>42783</v>
      </c>
      <c r="B1036" s="1330">
        <v>226</v>
      </c>
    </row>
    <row r="1037" spans="1:2" ht="15.75" customHeight="1">
      <c r="A1037" s="1331">
        <v>42782</v>
      </c>
      <c r="B1037" s="1330">
        <v>225</v>
      </c>
    </row>
    <row r="1038" spans="1:2" ht="15.75" customHeight="1">
      <c r="A1038" s="1329">
        <v>42781</v>
      </c>
      <c r="B1038" s="1330">
        <v>219</v>
      </c>
    </row>
    <row r="1039" spans="1:2" ht="15.75" customHeight="1">
      <c r="A1039" s="1331">
        <v>42780</v>
      </c>
      <c r="B1039" s="1330">
        <v>212</v>
      </c>
    </row>
    <row r="1040" spans="1:2" ht="15.75" customHeight="1">
      <c r="A1040" s="1329">
        <v>42779</v>
      </c>
      <c r="B1040" s="1330">
        <v>213</v>
      </c>
    </row>
    <row r="1041" spans="1:2" ht="15.75" customHeight="1">
      <c r="A1041" s="1331">
        <v>42776</v>
      </c>
      <c r="B1041" s="1330">
        <v>216</v>
      </c>
    </row>
    <row r="1042" spans="1:2" ht="15.75" customHeight="1">
      <c r="A1042" s="1329">
        <v>42775</v>
      </c>
      <c r="B1042" s="1330">
        <v>221</v>
      </c>
    </row>
    <row r="1043" spans="1:2" ht="15.75" customHeight="1">
      <c r="A1043" s="1331">
        <v>42774</v>
      </c>
      <c r="B1043" s="1330">
        <v>224</v>
      </c>
    </row>
    <row r="1044" spans="1:2" ht="15.75" customHeight="1">
      <c r="A1044" s="1329">
        <v>42773</v>
      </c>
      <c r="B1044" s="1330">
        <v>228</v>
      </c>
    </row>
    <row r="1045" spans="1:2" ht="15.75" customHeight="1">
      <c r="A1045" s="1331">
        <v>42772</v>
      </c>
      <c r="B1045" s="1330">
        <v>219</v>
      </c>
    </row>
    <row r="1046" spans="1:2" ht="15.75" customHeight="1">
      <c r="A1046" s="1329">
        <v>42769</v>
      </c>
      <c r="B1046" s="1330">
        <v>214</v>
      </c>
    </row>
    <row r="1047" spans="1:2" ht="15.75" customHeight="1">
      <c r="A1047" s="1331">
        <v>42768</v>
      </c>
      <c r="B1047" s="1330">
        <v>218</v>
      </c>
    </row>
    <row r="1048" spans="1:2" ht="15.75" customHeight="1">
      <c r="A1048" s="1329">
        <v>42767</v>
      </c>
      <c r="B1048" s="1330">
        <v>225</v>
      </c>
    </row>
    <row r="1049" spans="1:2" ht="15.75" customHeight="1">
      <c r="A1049" s="1331">
        <v>42766</v>
      </c>
      <c r="B1049" s="1330">
        <v>228</v>
      </c>
    </row>
    <row r="1050" spans="1:2" ht="15.75" customHeight="1">
      <c r="A1050" s="1329">
        <v>42765</v>
      </c>
      <c r="B1050" s="1330">
        <v>229</v>
      </c>
    </row>
    <row r="1051" spans="1:2" ht="15.75" customHeight="1">
      <c r="A1051" s="1331">
        <v>42762</v>
      </c>
      <c r="B1051" s="1330">
        <v>226</v>
      </c>
    </row>
    <row r="1052" spans="1:2" ht="15.75" customHeight="1">
      <c r="A1052" s="1329">
        <v>42761</v>
      </c>
      <c r="B1052" s="1330">
        <v>230</v>
      </c>
    </row>
    <row r="1053" spans="1:2" ht="15.75" customHeight="1">
      <c r="A1053" s="1331">
        <v>42760</v>
      </c>
      <c r="B1053" s="1330">
        <v>228</v>
      </c>
    </row>
    <row r="1054" spans="1:2" ht="15.75" customHeight="1">
      <c r="A1054" s="1329">
        <v>42759</v>
      </c>
      <c r="B1054" s="1330">
        <v>239</v>
      </c>
    </row>
    <row r="1055" spans="1:2" ht="15.75" customHeight="1">
      <c r="A1055" s="1331">
        <v>42758</v>
      </c>
      <c r="B1055" s="1330">
        <v>243</v>
      </c>
    </row>
    <row r="1056" spans="1:2" ht="15.75" customHeight="1">
      <c r="A1056" s="1329">
        <v>42755</v>
      </c>
      <c r="B1056" s="1330">
        <v>240</v>
      </c>
    </row>
    <row r="1057" spans="1:2" ht="15.75" customHeight="1">
      <c r="A1057" s="1331">
        <v>42754</v>
      </c>
      <c r="B1057" s="1330">
        <v>244</v>
      </c>
    </row>
    <row r="1058" spans="1:2" ht="15.75" customHeight="1">
      <c r="A1058" s="1329">
        <v>42753</v>
      </c>
      <c r="B1058" s="1330">
        <v>235</v>
      </c>
    </row>
    <row r="1059" spans="1:2" ht="15.75" customHeight="1">
      <c r="A1059" s="1331">
        <v>42752</v>
      </c>
      <c r="B1059" s="1330">
        <v>233</v>
      </c>
    </row>
    <row r="1060" spans="1:2" ht="15.75" customHeight="1">
      <c r="A1060" s="1329">
        <v>42751</v>
      </c>
      <c r="B1060" s="1330">
        <v>234</v>
      </c>
    </row>
    <row r="1061" spans="1:2" ht="15.75" customHeight="1">
      <c r="A1061" s="1331">
        <v>42748</v>
      </c>
      <c r="B1061" s="1330">
        <v>234</v>
      </c>
    </row>
    <row r="1062" spans="1:2" ht="15.75" customHeight="1">
      <c r="A1062" s="1329">
        <v>42747</v>
      </c>
      <c r="B1062" s="1330">
        <v>240</v>
      </c>
    </row>
    <row r="1063" spans="1:2" ht="15.75" customHeight="1">
      <c r="A1063" s="1331">
        <v>42746</v>
      </c>
      <c r="B1063" s="1330">
        <v>245</v>
      </c>
    </row>
    <row r="1064" spans="1:2" ht="15.75" customHeight="1">
      <c r="A1064" s="1329">
        <v>42745</v>
      </c>
      <c r="B1064" s="1330">
        <v>243</v>
      </c>
    </row>
    <row r="1065" spans="1:2" ht="15.75" customHeight="1">
      <c r="A1065" s="1331">
        <v>42744</v>
      </c>
      <c r="B1065" s="1330">
        <v>235</v>
      </c>
    </row>
    <row r="1066" spans="1:2" ht="15.75" customHeight="1">
      <c r="A1066" s="1329">
        <v>42741</v>
      </c>
      <c r="B1066" s="1330">
        <v>234</v>
      </c>
    </row>
    <row r="1067" spans="1:2" ht="15.75" customHeight="1">
      <c r="A1067" s="1331">
        <v>42740</v>
      </c>
      <c r="B1067" s="1330">
        <v>241</v>
      </c>
    </row>
    <row r="1068" spans="1:2" ht="15.75" customHeight="1">
      <c r="A1068" s="1329">
        <v>42739</v>
      </c>
      <c r="B1068" s="1330">
        <v>239</v>
      </c>
    </row>
    <row r="1069" spans="1:2" ht="15.75" customHeight="1">
      <c r="A1069" s="1331">
        <v>42738</v>
      </c>
      <c r="B1069" s="1330">
        <v>234</v>
      </c>
    </row>
    <row r="1070" spans="1:2" ht="15.75" customHeight="1">
      <c r="A1070" s="1329">
        <v>42737</v>
      </c>
      <c r="B1070" s="1330">
        <v>232</v>
      </c>
    </row>
    <row r="1071" spans="1:2" ht="15.75" customHeight="1">
      <c r="A1071" s="1332" t="s">
        <v>218</v>
      </c>
      <c r="B1071" s="997">
        <f>AVERAGE(B6:B1070)</f>
        <v>219.4657276995305</v>
      </c>
    </row>
    <row r="1072" spans="1:2" ht="15.75" customHeight="1">
      <c r="A1072" s="1" t="s">
        <v>359</v>
      </c>
      <c r="B1072" s="39">
        <f>+B1071/10000</f>
        <v>2.194657276995305E-2</v>
      </c>
    </row>
  </sheetData>
  <hyperlinks>
    <hyperlink ref="A1" r:id="rId1" xr:uid="{00000000-0004-0000-1F00-000000000000}"/>
    <hyperlink ref="C3" r:id="rId2" xr:uid="{00000000-0004-0000-1F00-000001000000}"/>
    <hyperlink ref="C4" r:id="rId3" location=":~:text=El%20%C3%ADndice%20riesgo%20pa%C3%ADs%20se,nivel%20desde%20finales%20de%20febrero.&amp;text=A%20la%20par%20que%20se,inversionistas%20extranjeros%20por%20valores%20gubernamentales." xr:uid="{00000000-0004-0000-1F00-000002000000}"/>
    <hyperlink ref="C42" r:id="rId4" location=":~:text=El%20%C3%ADndice%20riesgo%20pa%C3%ADs%20se,nivel%20desde%20finales%20de%20febrero.&amp;text=A%20la%20par%20que%20se,inversionistas%20extranjeros%20por%20valores%20gubernamentales." xr:uid="{00000000-0004-0000-1F00-000003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3</vt:i4>
      </vt:variant>
    </vt:vector>
  </HeadingPairs>
  <TitlesOfParts>
    <vt:vector size="35" baseType="lpstr">
      <vt:lpstr>WACC_SECTOR GREEN ENERGY (2)</vt:lpstr>
      <vt:lpstr>RESUMEN</vt:lpstr>
      <vt:lpstr>WACC</vt:lpstr>
      <vt:lpstr>Betas 2025</vt:lpstr>
      <vt:lpstr>MARCA (2)</vt:lpstr>
      <vt:lpstr>Expected Growth25</vt:lpstr>
      <vt:lpstr>MEDICION DE INGRESOS  (2)</vt:lpstr>
      <vt:lpstr>VALOR NETO CONTABLE</vt:lpstr>
      <vt:lpstr>1. Datos</vt:lpstr>
      <vt:lpstr>2.Cálculos (2)</vt:lpstr>
      <vt:lpstr>MARCA</vt:lpstr>
      <vt:lpstr>4.Resumen-Escenario1</vt:lpstr>
      <vt:lpstr>4.Resumen-Escenario</vt:lpstr>
      <vt:lpstr>Industry Averages (3)</vt:lpstr>
      <vt:lpstr>Proyeccion ngresos</vt:lpstr>
      <vt:lpstr>4.Resumen-Escenario CONSERVADOR</vt:lpstr>
      <vt:lpstr>Multiplos damodaran</vt:lpstr>
      <vt:lpstr>reinvestment us</vt:lpstr>
      <vt:lpstr>Razones financieras</vt:lpstr>
      <vt:lpstr>Estructura de deuda</vt:lpstr>
      <vt:lpstr>BENEFICIO FISCAL</vt:lpstr>
      <vt:lpstr>EV SALES</vt:lpstr>
      <vt:lpstr>operating margin</vt:lpstr>
      <vt:lpstr>Reinvestment Rate 25</vt:lpstr>
      <vt:lpstr>Historical Impl Premiums</vt:lpstr>
      <vt:lpstr>MEDICION DE INGRESOS </vt:lpstr>
      <vt:lpstr>EXPECTED GROWTH</vt:lpstr>
      <vt:lpstr>Industry Averages_REINVESTMENT</vt:lpstr>
      <vt:lpstr>Dupont</vt:lpstr>
      <vt:lpstr>ERPs 2021</vt:lpstr>
      <vt:lpstr>ERPs by country 25</vt:lpstr>
      <vt:lpstr>Riesgo Pais</vt:lpstr>
      <vt:lpstr>'4.Resumen-Escenario'!agresivo</vt:lpstr>
      <vt:lpstr>'4.Resumen-Escenario CONSERVADOR'!agresivo</vt:lpstr>
      <vt:lpstr>'4.Resumen-Escenario1'!agresivo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manu amaro</cp:lastModifiedBy>
  <dcterms:created xsi:type="dcterms:W3CDTF">2026-02-19T20:24:04Z</dcterms:created>
  <dcterms:modified xsi:type="dcterms:W3CDTF">2026-02-19T20:40:24Z</dcterms:modified>
</cp:coreProperties>
</file>