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thomas/Documents/MSc TIL/Afstuderen/VENSIM models/[TvT] Final model phase/"/>
    </mc:Choice>
  </mc:AlternateContent>
  <xr:revisionPtr revIDLastSave="0" documentId="8_{78683DAE-2308-EC4F-933D-0E1815015A19}" xr6:coauthVersionLast="47" xr6:coauthVersionMax="47" xr10:uidLastSave="{00000000-0000-0000-0000-000000000000}"/>
  <bookViews>
    <workbookView xWindow="0" yWindow="500" windowWidth="40960" windowHeight="24020" xr2:uid="{00000000-000D-0000-FFFF-FFFF00000000}"/>
  </bookViews>
  <sheets>
    <sheet name="input TT STED" sheetId="27" r:id="rId1"/>
    <sheet name="input TT (OLD)" sheetId="20" r:id="rId2"/>
    <sheet name="verplaatsingen" sheetId="1" r:id="rId3"/>
    <sheet name="initial trips short" sheetId="5" r:id="rId4"/>
    <sheet name="initial trips middleshort" sheetId="7" r:id="rId5"/>
    <sheet name="initial trips middlelong" sheetId="8" r:id="rId6"/>
    <sheet name="initial trips long" sheetId="9" r:id="rId7"/>
    <sheet name="input B" sheetId="10" r:id="rId8"/>
    <sheet name="input B (Octavius)" sheetId="25" r:id="rId9"/>
    <sheet name="Beta berekening (LMS)" sheetId="24" r:id="rId10"/>
    <sheet name="ASC" sheetId="14" r:id="rId11"/>
    <sheet name="input TT" sheetId="13" r:id="rId12"/>
    <sheet name="draaiknoppen" sheetId="15" r:id="rId13"/>
    <sheet name="Calc_var_car" sheetId="22" r:id="rId14"/>
    <sheet name="var_car" sheetId="23" r:id="rId15"/>
    <sheet name="distribution" sheetId="3" r:id="rId16"/>
    <sheet name="Movements" sheetId="11" r:id="rId17"/>
    <sheet name="Clac_tele_inital" sheetId="26" r:id="rId18"/>
    <sheet name="Congestion" sheetId="28" r:id="rId19"/>
    <sheet name="Thomas ASC berekenig voorbereid" sheetId="16" r:id="rId20"/>
    <sheet name="OD" sheetId="17" r:id="rId21"/>
    <sheet name="OD2" sheetId="18" r:id="rId22"/>
    <sheet name="Blad2" sheetId="19" r:id="rId23"/>
    <sheet name="attractiveness zone" sheetId="21" r:id="rId24"/>
    <sheet name="Movements with area type" sheetId="12" r:id="rId25"/>
    <sheet name="HB matrix per subscript" sheetId="2" r:id="rId26"/>
    <sheet name="Model in excel " sheetId="6"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W39" i="24" l="1"/>
  <c r="AW37" i="24"/>
  <c r="AW35" i="24"/>
  <c r="BA35" i="24"/>
  <c r="AU35" i="24"/>
  <c r="C20" i="21"/>
  <c r="D29" i="26"/>
  <c r="L15" i="28"/>
  <c r="L20" i="28" s="1"/>
  <c r="L13" i="28"/>
  <c r="H8" i="28"/>
  <c r="B16" i="26"/>
  <c r="L16" i="28" l="1"/>
  <c r="L21" i="28" s="1"/>
  <c r="J6" i="27"/>
  <c r="J7" i="27"/>
  <c r="J8" i="27"/>
  <c r="J9" i="27"/>
  <c r="J10" i="27"/>
  <c r="J11" i="27"/>
  <c r="J12" i="27"/>
  <c r="J13" i="27"/>
  <c r="J14" i="27"/>
  <c r="J15" i="27"/>
  <c r="J16" i="27"/>
  <c r="J17" i="27"/>
  <c r="J18" i="27"/>
  <c r="J19" i="27"/>
  <c r="J20" i="27"/>
  <c r="J21" i="27"/>
  <c r="J22" i="27"/>
  <c r="J23" i="27"/>
  <c r="J24" i="27"/>
  <c r="J25" i="27"/>
  <c r="G99" i="26" l="1"/>
  <c r="AJ6" i="27" l="1"/>
  <c r="AJ7" i="27"/>
  <c r="AJ8" i="27"/>
  <c r="AJ9" i="27"/>
  <c r="AJ10" i="27"/>
  <c r="AJ11" i="27"/>
  <c r="AJ12" i="27"/>
  <c r="AJ13" i="27"/>
  <c r="AJ14" i="27"/>
  <c r="AJ15" i="27"/>
  <c r="AJ16" i="27"/>
  <c r="AJ17" i="27"/>
  <c r="AJ18" i="27"/>
  <c r="AJ19" i="27"/>
  <c r="AJ20" i="27"/>
  <c r="AJ21" i="27"/>
  <c r="AJ22" i="27"/>
  <c r="AJ23" i="27"/>
  <c r="AJ24" i="27"/>
  <c r="AJ25" i="27"/>
  <c r="AI6" i="27"/>
  <c r="AI7" i="27"/>
  <c r="AI8" i="27"/>
  <c r="AI9" i="27"/>
  <c r="AI10" i="27"/>
  <c r="AI11" i="27"/>
  <c r="AI12" i="27"/>
  <c r="AI13" i="27"/>
  <c r="AI14" i="27"/>
  <c r="AI15" i="27"/>
  <c r="AI16" i="27"/>
  <c r="AI17" i="27"/>
  <c r="AI18" i="27"/>
  <c r="AI19" i="27"/>
  <c r="AI20" i="27"/>
  <c r="AI21" i="27"/>
  <c r="AI22" i="27"/>
  <c r="AI23" i="27"/>
  <c r="AI24" i="27"/>
  <c r="AI25" i="27"/>
  <c r="AD7" i="27"/>
  <c r="AD8" i="27"/>
  <c r="AD9" i="27"/>
  <c r="AD10" i="27"/>
  <c r="AD11" i="27"/>
  <c r="AD12" i="27"/>
  <c r="AD13" i="27"/>
  <c r="AD14" i="27"/>
  <c r="AD15" i="27"/>
  <c r="AD16" i="27"/>
  <c r="AD17" i="27"/>
  <c r="AD18" i="27"/>
  <c r="AD19" i="27"/>
  <c r="AD20" i="27"/>
  <c r="AD21" i="27"/>
  <c r="AD22" i="27"/>
  <c r="AD23" i="27"/>
  <c r="AD24" i="27"/>
  <c r="AD25" i="27"/>
  <c r="AD6" i="27"/>
  <c r="AD5" i="27"/>
  <c r="AC6" i="27"/>
  <c r="AC7" i="27"/>
  <c r="AC8" i="27"/>
  <c r="AC9" i="27"/>
  <c r="AC10" i="27"/>
  <c r="AC11" i="27"/>
  <c r="AC12" i="27"/>
  <c r="AC13" i="27"/>
  <c r="AC14" i="27"/>
  <c r="AC15" i="27"/>
  <c r="AC16" i="27"/>
  <c r="AC17" i="27"/>
  <c r="AC18" i="27"/>
  <c r="AC19" i="27"/>
  <c r="AC20" i="27"/>
  <c r="AC21" i="27"/>
  <c r="AC22" i="27"/>
  <c r="AC23" i="27"/>
  <c r="AC24" i="27"/>
  <c r="AC25" i="27"/>
  <c r="AC5" i="27"/>
  <c r="V6" i="27"/>
  <c r="V7" i="27"/>
  <c r="V8" i="27"/>
  <c r="V9" i="27"/>
  <c r="V10" i="27"/>
  <c r="V11" i="27"/>
  <c r="V12" i="27"/>
  <c r="V13" i="27"/>
  <c r="V14" i="27"/>
  <c r="V15" i="27"/>
  <c r="V16" i="27"/>
  <c r="V17" i="27"/>
  <c r="V18" i="27"/>
  <c r="V19" i="27"/>
  <c r="V20" i="27"/>
  <c r="V21" i="27"/>
  <c r="V22" i="27"/>
  <c r="V23" i="27"/>
  <c r="V24" i="27"/>
  <c r="V25" i="27"/>
  <c r="U6" i="27"/>
  <c r="U7" i="27"/>
  <c r="U8" i="27"/>
  <c r="U9" i="27"/>
  <c r="U10" i="27"/>
  <c r="U11" i="27"/>
  <c r="U12" i="27"/>
  <c r="U13" i="27"/>
  <c r="U14" i="27"/>
  <c r="U15" i="27"/>
  <c r="U16" i="27"/>
  <c r="U17" i="27"/>
  <c r="U18" i="27"/>
  <c r="U19" i="27"/>
  <c r="U20" i="27"/>
  <c r="U21" i="27"/>
  <c r="U22" i="27"/>
  <c r="U23" i="27"/>
  <c r="U24" i="27"/>
  <c r="U25" i="27"/>
  <c r="S6" i="27"/>
  <c r="S7" i="27"/>
  <c r="S8" i="27"/>
  <c r="S9" i="27"/>
  <c r="S10" i="27"/>
  <c r="S11" i="27"/>
  <c r="S12" i="27"/>
  <c r="S13" i="27"/>
  <c r="S14" i="27"/>
  <c r="S15" i="27"/>
  <c r="S16" i="27"/>
  <c r="S17" i="27"/>
  <c r="S18" i="27"/>
  <c r="S19" i="27"/>
  <c r="S20" i="27"/>
  <c r="S21" i="27"/>
  <c r="S22" i="27"/>
  <c r="S23" i="27"/>
  <c r="S24" i="27"/>
  <c r="S25" i="27"/>
  <c r="Q6" i="27"/>
  <c r="Q7" i="27"/>
  <c r="Q8" i="27"/>
  <c r="Q9" i="27"/>
  <c r="Q10" i="27"/>
  <c r="Q11" i="27"/>
  <c r="Q12" i="27"/>
  <c r="Q13" i="27"/>
  <c r="Q14" i="27"/>
  <c r="Q15" i="27"/>
  <c r="Q16" i="27"/>
  <c r="Q17" i="27"/>
  <c r="Q18" i="27"/>
  <c r="Q19" i="27"/>
  <c r="Q20" i="27"/>
  <c r="Q21" i="27"/>
  <c r="Q22" i="27"/>
  <c r="Q23" i="27"/>
  <c r="Q24" i="27"/>
  <c r="Q25" i="27"/>
  <c r="P6" i="27"/>
  <c r="P7" i="27"/>
  <c r="P8" i="27"/>
  <c r="P9" i="27"/>
  <c r="P10" i="27"/>
  <c r="P11" i="27"/>
  <c r="P12" i="27"/>
  <c r="P13" i="27"/>
  <c r="P14" i="27"/>
  <c r="P15" i="27"/>
  <c r="P16" i="27"/>
  <c r="P17" i="27"/>
  <c r="P18" i="27"/>
  <c r="P19" i="27"/>
  <c r="P20" i="27"/>
  <c r="P21" i="27"/>
  <c r="P22" i="27"/>
  <c r="P23" i="27"/>
  <c r="P24" i="27"/>
  <c r="P25" i="27"/>
  <c r="P5" i="27"/>
  <c r="I10" i="27"/>
  <c r="I12" i="27"/>
  <c r="I13" i="27"/>
  <c r="I8" i="27"/>
  <c r="I9" i="27"/>
  <c r="I6" i="27"/>
  <c r="G100" i="26"/>
  <c r="G101" i="26"/>
  <c r="G102" i="26"/>
  <c r="G103" i="26"/>
  <c r="E104" i="26"/>
  <c r="E103" i="26"/>
  <c r="E102" i="26"/>
  <c r="E100" i="26"/>
  <c r="E99" i="26"/>
  <c r="E101" i="26"/>
  <c r="J66" i="26"/>
  <c r="J46" i="26"/>
  <c r="B34" i="1"/>
  <c r="B35" i="1"/>
  <c r="B36" i="1"/>
  <c r="B37" i="1"/>
  <c r="B33" i="1"/>
  <c r="B26" i="1"/>
  <c r="B27" i="1"/>
  <c r="B28" i="1"/>
  <c r="B29" i="1"/>
  <c r="B25" i="1"/>
  <c r="B18" i="1"/>
  <c r="B19" i="1"/>
  <c r="B20" i="1"/>
  <c r="B21" i="1"/>
  <c r="B17" i="1"/>
  <c r="B10" i="1"/>
  <c r="B11" i="1"/>
  <c r="B12" i="1"/>
  <c r="B13" i="1"/>
  <c r="B9" i="1"/>
  <c r="B2" i="5"/>
  <c r="B3" i="5"/>
  <c r="B4" i="5"/>
  <c r="B5" i="5"/>
  <c r="B6" i="5"/>
  <c r="B20" i="5"/>
  <c r="AH22" i="27" a="1"/>
  <c r="AH22" i="27"/>
  <c r="AH18" i="27" a="1"/>
  <c r="AH18" i="27"/>
  <c r="AH14" i="27" a="1"/>
  <c r="AH14" i="27"/>
  <c r="AH10" i="27" a="1"/>
  <c r="AH10" i="27" s="1"/>
  <c r="AH6" i="27" a="1"/>
  <c r="AH6" i="27" s="1"/>
  <c r="F10" i="27" a="1"/>
  <c r="F10" i="27" s="1"/>
  <c r="F14" i="27" s="1" a="1"/>
  <c r="F14" i="27" s="1"/>
  <c r="F18" i="27" s="1" a="1"/>
  <c r="F18" i="27" s="1"/>
  <c r="F22" i="27" s="1" a="1"/>
  <c r="F22" i="27" s="1"/>
  <c r="F6" i="27" a="1"/>
  <c r="F6" i="27" s="1"/>
  <c r="E14" i="27" a="1"/>
  <c r="E14" i="27" s="1"/>
  <c r="E10" i="27" a="1"/>
  <c r="E10" i="27"/>
  <c r="E6" i="27" a="1"/>
  <c r="E6" i="27" s="1"/>
  <c r="AJ3" i="27"/>
  <c r="AJ4" i="27"/>
  <c r="AJ5" i="27"/>
  <c r="AJ2" i="27"/>
  <c r="AI3" i="27"/>
  <c r="AI4" i="27"/>
  <c r="AI5" i="27"/>
  <c r="AI2" i="27"/>
  <c r="AD3" i="27"/>
  <c r="AD4" i="27"/>
  <c r="AD2" i="27"/>
  <c r="AC3" i="27"/>
  <c r="AC4" i="27"/>
  <c r="AC2" i="27"/>
  <c r="V3" i="27"/>
  <c r="V5" i="27"/>
  <c r="V2" i="27"/>
  <c r="U3" i="27"/>
  <c r="U4" i="27"/>
  <c r="U5" i="27"/>
  <c r="U2" i="27"/>
  <c r="S3" i="27"/>
  <c r="S4" i="27"/>
  <c r="S5" i="27"/>
  <c r="S2" i="27"/>
  <c r="O5" i="27"/>
  <c r="J5" i="27"/>
  <c r="K5" i="27" s="1"/>
  <c r="F3" i="27"/>
  <c r="J3" i="27" s="1"/>
  <c r="K3" i="27" s="1"/>
  <c r="F4" i="27"/>
  <c r="J4" i="27" s="1"/>
  <c r="K4" i="27" s="1"/>
  <c r="F5" i="27"/>
  <c r="Q5" i="27" s="1"/>
  <c r="F2" i="27"/>
  <c r="J2" i="27" s="1"/>
  <c r="K2" i="27" s="1"/>
  <c r="E3" i="27"/>
  <c r="E4" i="27"/>
  <c r="E5" i="27"/>
  <c r="E2" i="27"/>
  <c r="D3" i="27"/>
  <c r="D4" i="27"/>
  <c r="D5" i="27"/>
  <c r="D2" i="27"/>
  <c r="D116" i="27"/>
  <c r="U57" i="27"/>
  <c r="O4" i="27" s="1"/>
  <c r="U56" i="27"/>
  <c r="T54" i="27"/>
  <c r="T53" i="27"/>
  <c r="T52" i="27"/>
  <c r="U51" i="27"/>
  <c r="T51" i="27"/>
  <c r="G89" i="22"/>
  <c r="G90" i="22"/>
  <c r="G91" i="22" s="1"/>
  <c r="G92" i="22" s="1"/>
  <c r="G93" i="22" s="1"/>
  <c r="G94" i="22" s="1"/>
  <c r="G95" i="22" s="1"/>
  <c r="G96" i="22" s="1"/>
  <c r="G88" i="22"/>
  <c r="AS89" i="22"/>
  <c r="J90" i="22"/>
  <c r="G81" i="22"/>
  <c r="G82" i="22"/>
  <c r="G83" i="22" s="1"/>
  <c r="G84" i="22" s="1"/>
  <c r="G85" i="22" s="1"/>
  <c r="G86" i="22" s="1"/>
  <c r="G80" i="22"/>
  <c r="H82" i="22"/>
  <c r="J82" i="22"/>
  <c r="AS79" i="22"/>
  <c r="G87" i="22"/>
  <c r="G97" i="22"/>
  <c r="J112" i="22"/>
  <c r="K112" i="22"/>
  <c r="K111" i="22"/>
  <c r="J111" i="22"/>
  <c r="AX94" i="22"/>
  <c r="R101" i="22"/>
  <c r="R102" i="22"/>
  <c r="R103" i="22"/>
  <c r="R100" i="22"/>
  <c r="P101" i="22"/>
  <c r="P102" i="22"/>
  <c r="P103" i="22"/>
  <c r="P100" i="22"/>
  <c r="N101" i="22"/>
  <c r="N102" i="22"/>
  <c r="N103" i="22"/>
  <c r="N100" i="22"/>
  <c r="H81" i="22"/>
  <c r="D80" i="22"/>
  <c r="B5" i="13"/>
  <c r="E18" i="27" l="1" a="1"/>
  <c r="E18" i="27" s="1"/>
  <c r="E22" i="27" s="1" a="1"/>
  <c r="E22" i="27" s="1"/>
  <c r="V4" i="27"/>
  <c r="O2" i="27"/>
  <c r="P2" i="27" s="1"/>
  <c r="Q2" i="27" s="1"/>
  <c r="P4" i="27"/>
  <c r="Q4" i="27" s="1"/>
  <c r="O3" i="27"/>
  <c r="P3" i="27" s="1"/>
  <c r="Q3" i="27" s="1"/>
  <c r="H83" i="22"/>
  <c r="H84" i="22" l="1"/>
  <c r="H85" i="22" l="1"/>
  <c r="O46" i="26"/>
  <c r="H86" i="22" l="1"/>
  <c r="O48" i="26"/>
  <c r="O49" i="26"/>
  <c r="O50" i="26"/>
  <c r="O53" i="26"/>
  <c r="O54" i="26"/>
  <c r="O55" i="26"/>
  <c r="O58" i="26"/>
  <c r="O59" i="26"/>
  <c r="O60" i="26"/>
  <c r="O63" i="26"/>
  <c r="O64" i="26"/>
  <c r="O65" i="26"/>
  <c r="E36" i="9"/>
  <c r="E37" i="9"/>
  <c r="E38" i="9"/>
  <c r="D35" i="9"/>
  <c r="E35" i="9" s="1"/>
  <c r="D36" i="9"/>
  <c r="D37" i="9"/>
  <c r="D38" i="9"/>
  <c r="B20" i="9"/>
  <c r="B20" i="8"/>
  <c r="B20" i="7"/>
  <c r="L32" i="26"/>
  <c r="K32" i="26"/>
  <c r="O26" i="11"/>
  <c r="N26" i="11"/>
  <c r="D39" i="9" l="1"/>
  <c r="E39" i="9" s="1"/>
  <c r="H87" i="22"/>
  <c r="N5" i="11"/>
  <c r="B15" i="5" s="1"/>
  <c r="B17" i="10" a="1"/>
  <c r="B17" i="10" s="1"/>
  <c r="BA38" i="24"/>
  <c r="BA36" i="24"/>
  <c r="BA37" i="24"/>
  <c r="BA39" i="24"/>
  <c r="AY38" i="24"/>
  <c r="AY37" i="24"/>
  <c r="AY36" i="24"/>
  <c r="AY39" i="24"/>
  <c r="AY35" i="24"/>
  <c r="AU36" i="24"/>
  <c r="AU38" i="24"/>
  <c r="AU37" i="24"/>
  <c r="AU39" i="24"/>
  <c r="AW38" i="24"/>
  <c r="AW36" i="24"/>
  <c r="AT35" i="24" a="1"/>
  <c r="AT35" i="24" s="1"/>
  <c r="AW24" i="24"/>
  <c r="AW25" i="24"/>
  <c r="AW26" i="24"/>
  <c r="AW27" i="24"/>
  <c r="AW28" i="24"/>
  <c r="AW29" i="24"/>
  <c r="AW23" i="24"/>
  <c r="AW14" i="24"/>
  <c r="AW15" i="24"/>
  <c r="AW16" i="24"/>
  <c r="AW17" i="24"/>
  <c r="AW18" i="24"/>
  <c r="AW13" i="24"/>
  <c r="AW6" i="24"/>
  <c r="AW7" i="24"/>
  <c r="AW8" i="24"/>
  <c r="AW9" i="24"/>
  <c r="AW10" i="24"/>
  <c r="AW5" i="24"/>
  <c r="AT21" i="24" a="1"/>
  <c r="AT21" i="24" s="1"/>
  <c r="AT12" i="24" a="1"/>
  <c r="AT12" i="24" s="1"/>
  <c r="AT4" i="24" a="1"/>
  <c r="AT4" i="24" s="1"/>
  <c r="AK5" i="24"/>
  <c r="AK6" i="24"/>
  <c r="AK7" i="24"/>
  <c r="AK8" i="24"/>
  <c r="AK4" i="24"/>
  <c r="AK44" i="24"/>
  <c r="AK45" i="24"/>
  <c r="AK46" i="24"/>
  <c r="AK47" i="24"/>
  <c r="AK43" i="24"/>
  <c r="AK40" i="24"/>
  <c r="AK39" i="24"/>
  <c r="AK38" i="24"/>
  <c r="AK37" i="24"/>
  <c r="AK36" i="24"/>
  <c r="AK33" i="24"/>
  <c r="AK32" i="24"/>
  <c r="AK31" i="24"/>
  <c r="AK30" i="24"/>
  <c r="AK29" i="24"/>
  <c r="AK28" i="24"/>
  <c r="AK26" i="24"/>
  <c r="AK25" i="24"/>
  <c r="AK24" i="24"/>
  <c r="AK20" i="24"/>
  <c r="AK19" i="24"/>
  <c r="AK18" i="24"/>
  <c r="AK17" i="24"/>
  <c r="AK16" i="24"/>
  <c r="AK14" i="24"/>
  <c r="AK13" i="24"/>
  <c r="AK12" i="24"/>
  <c r="AK11" i="24"/>
  <c r="AK10" i="24"/>
  <c r="AJ46" i="24"/>
  <c r="AJ47" i="24"/>
  <c r="AJ45" i="24"/>
  <c r="AJ44" i="24"/>
  <c r="AJ43" i="24"/>
  <c r="AJ40" i="24"/>
  <c r="AJ39" i="24"/>
  <c r="AJ38" i="24"/>
  <c r="AJ37" i="24"/>
  <c r="AJ36" i="24"/>
  <c r="AJ33" i="24"/>
  <c r="AJ32" i="24"/>
  <c r="AJ30" i="24"/>
  <c r="AJ29" i="24"/>
  <c r="AJ31" i="24"/>
  <c r="AJ28" i="24"/>
  <c r="AJ26" i="24"/>
  <c r="AJ25" i="24"/>
  <c r="AJ24" i="24"/>
  <c r="AJ16" i="24" a="1"/>
  <c r="AJ16" i="24" s="1"/>
  <c r="AJ10" i="24" a="1"/>
  <c r="AJ10" i="24" s="1"/>
  <c r="AJ8" i="24"/>
  <c r="AJ7" i="24"/>
  <c r="AJ6" i="24"/>
  <c r="AJ5" i="24"/>
  <c r="AJ4" i="24"/>
  <c r="AI88" i="24"/>
  <c r="AI63" i="24"/>
  <c r="AI105" i="24"/>
  <c r="AI104" i="24"/>
  <c r="AI103" i="24"/>
  <c r="AI102" i="24"/>
  <c r="AI101" i="24"/>
  <c r="AI98" i="24"/>
  <c r="AI97" i="24"/>
  <c r="AI96" i="24"/>
  <c r="AI95" i="24"/>
  <c r="AI94" i="24"/>
  <c r="AI91" i="24"/>
  <c r="AI90" i="24"/>
  <c r="AI89" i="24"/>
  <c r="AI87" i="24"/>
  <c r="AI86" i="24"/>
  <c r="AI84" i="24"/>
  <c r="AI83" i="24"/>
  <c r="AI82" i="24"/>
  <c r="AI78" i="24"/>
  <c r="AI77" i="24"/>
  <c r="AI76" i="24"/>
  <c r="AI75" i="24"/>
  <c r="AI74" i="24"/>
  <c r="AI72" i="24"/>
  <c r="AI71" i="24"/>
  <c r="AI70" i="24"/>
  <c r="AI69" i="24"/>
  <c r="AI68" i="24"/>
  <c r="AI66" i="24"/>
  <c r="AI65" i="24"/>
  <c r="AI64" i="24"/>
  <c r="AI62" i="24"/>
  <c r="AE85" i="24"/>
  <c r="X85" i="24"/>
  <c r="AE84" i="24"/>
  <c r="X84" i="24"/>
  <c r="AE83" i="24"/>
  <c r="X83" i="24"/>
  <c r="AE82" i="24"/>
  <c r="AE80" i="24" s="1"/>
  <c r="X82" i="24"/>
  <c r="X80" i="24" s="1"/>
  <c r="AE81" i="24"/>
  <c r="X81" i="24"/>
  <c r="AD80" i="24"/>
  <c r="AC80" i="24"/>
  <c r="AB80" i="24"/>
  <c r="AA80" i="24"/>
  <c r="Z80" i="24"/>
  <c r="Y80" i="24"/>
  <c r="W80" i="24"/>
  <c r="AE74" i="24"/>
  <c r="X74" i="24"/>
  <c r="AE73" i="24"/>
  <c r="X73" i="24"/>
  <c r="AE72" i="24"/>
  <c r="AE69" i="24" s="1"/>
  <c r="X72" i="24"/>
  <c r="AE71" i="24"/>
  <c r="X71" i="24"/>
  <c r="X69" i="24" s="1"/>
  <c r="AE70" i="24"/>
  <c r="X70" i="24"/>
  <c r="AD69" i="24"/>
  <c r="AC69" i="24"/>
  <c r="AB69" i="24"/>
  <c r="AA69" i="24"/>
  <c r="Z69" i="24"/>
  <c r="Y69" i="24"/>
  <c r="W69" i="24"/>
  <c r="AI4" i="24"/>
  <c r="AI47" i="24"/>
  <c r="AI46" i="24"/>
  <c r="AI45" i="24"/>
  <c r="AI44" i="24"/>
  <c r="AI43" i="24"/>
  <c r="AI40" i="24"/>
  <c r="AI39" i="24"/>
  <c r="AI38" i="24"/>
  <c r="AI37" i="24"/>
  <c r="AI36" i="24"/>
  <c r="AI33" i="24"/>
  <c r="AI32" i="24"/>
  <c r="AI31" i="24"/>
  <c r="AI30" i="24"/>
  <c r="AI29" i="24"/>
  <c r="AI28" i="24"/>
  <c r="AI26" i="24"/>
  <c r="AI25" i="24"/>
  <c r="AI24" i="24"/>
  <c r="AI20" i="24"/>
  <c r="AI19" i="24"/>
  <c r="AI18" i="24"/>
  <c r="AI17" i="24"/>
  <c r="AI16" i="24"/>
  <c r="AI14" i="24"/>
  <c r="AE12" i="24"/>
  <c r="AI13" i="24"/>
  <c r="AI12" i="24"/>
  <c r="AI11" i="24"/>
  <c r="AI10" i="24"/>
  <c r="AI8" i="24"/>
  <c r="AI7" i="24"/>
  <c r="AI6" i="24"/>
  <c r="AI5" i="24"/>
  <c r="X45" i="24"/>
  <c r="Y45" i="24"/>
  <c r="Z45" i="24"/>
  <c r="AA45" i="24"/>
  <c r="AB45" i="24"/>
  <c r="AC45" i="24"/>
  <c r="AD45" i="24"/>
  <c r="AE45" i="24"/>
  <c r="W45" i="24"/>
  <c r="X34" i="24"/>
  <c r="Y34" i="24"/>
  <c r="Z34" i="24"/>
  <c r="AA34" i="24"/>
  <c r="AB34" i="24"/>
  <c r="AC34" i="24"/>
  <c r="AD34" i="24"/>
  <c r="AE34" i="24"/>
  <c r="W34" i="24"/>
  <c r="W22" i="24"/>
  <c r="X22" i="24"/>
  <c r="Y22" i="24"/>
  <c r="Z22" i="24"/>
  <c r="AA22" i="24"/>
  <c r="AB22" i="24"/>
  <c r="AC22" i="24"/>
  <c r="AD22" i="24"/>
  <c r="AE22" i="24"/>
  <c r="W11" i="24"/>
  <c r="AB138" i="25"/>
  <c r="AA138" i="25"/>
  <c r="Z138" i="25"/>
  <c r="Y138" i="25"/>
  <c r="X138" i="25"/>
  <c r="AA135" i="25"/>
  <c r="Z135" i="25"/>
  <c r="Y135" i="25"/>
  <c r="X135" i="25"/>
  <c r="W135" i="25"/>
  <c r="AA134" i="25"/>
  <c r="Z134" i="25"/>
  <c r="Y134" i="25"/>
  <c r="X134" i="25"/>
  <c r="W134" i="25"/>
  <c r="AA133" i="25"/>
  <c r="Z133" i="25"/>
  <c r="Y133" i="25"/>
  <c r="X133" i="25"/>
  <c r="W133" i="25"/>
  <c r="AA132" i="25"/>
  <c r="Z132" i="25"/>
  <c r="Y132" i="25"/>
  <c r="X132" i="25"/>
  <c r="W132" i="25"/>
  <c r="AA131" i="25"/>
  <c r="Z131" i="25"/>
  <c r="Y131" i="25"/>
  <c r="X131" i="25"/>
  <c r="W131" i="25"/>
  <c r="AA130" i="25"/>
  <c r="Z130" i="25"/>
  <c r="Y130" i="25"/>
  <c r="X130" i="25"/>
  <c r="F119" i="25"/>
  <c r="E119" i="25"/>
  <c r="D119" i="25"/>
  <c r="C119" i="25"/>
  <c r="F118" i="25"/>
  <c r="E118" i="25"/>
  <c r="D118" i="25"/>
  <c r="C118" i="25"/>
  <c r="F117" i="25"/>
  <c r="E117" i="25"/>
  <c r="D117" i="25"/>
  <c r="C117" i="25"/>
  <c r="F116" i="25"/>
  <c r="E116" i="25"/>
  <c r="D116" i="25"/>
  <c r="F115" i="25"/>
  <c r="E115" i="25"/>
  <c r="D115" i="25"/>
  <c r="C115" i="25"/>
  <c r="F114" i="25"/>
  <c r="E114" i="25"/>
  <c r="D114" i="25"/>
  <c r="C114" i="25"/>
  <c r="K80" i="25"/>
  <c r="K79" i="25"/>
  <c r="K78" i="25"/>
  <c r="K77" i="25"/>
  <c r="K74" i="25"/>
  <c r="K73" i="25"/>
  <c r="K72" i="25"/>
  <c r="K71" i="25"/>
  <c r="K68" i="25"/>
  <c r="K67" i="25"/>
  <c r="K66" i="25"/>
  <c r="K65" i="25"/>
  <c r="S52" i="25"/>
  <c r="S41" i="25"/>
  <c r="O40" i="25"/>
  <c r="N40" i="25"/>
  <c r="L40" i="25"/>
  <c r="K40" i="25"/>
  <c r="O39" i="25"/>
  <c r="N39" i="25"/>
  <c r="L39" i="25"/>
  <c r="K39" i="25"/>
  <c r="O38" i="25"/>
  <c r="N38" i="25"/>
  <c r="L38" i="25"/>
  <c r="K38" i="25"/>
  <c r="L37" i="25"/>
  <c r="K37" i="25"/>
  <c r="L36" i="25"/>
  <c r="K36" i="25"/>
  <c r="S29" i="25"/>
  <c r="K27" i="25"/>
  <c r="L27" i="25" s="1"/>
  <c r="K26" i="25"/>
  <c r="L26" i="25" s="1"/>
  <c r="L25" i="25"/>
  <c r="K25" i="25"/>
  <c r="K24" i="25"/>
  <c r="L24" i="25" s="1"/>
  <c r="T23" i="25"/>
  <c r="S23" i="25"/>
  <c r="L23" i="25"/>
  <c r="K23" i="25"/>
  <c r="Y11" i="24"/>
  <c r="Z11" i="24"/>
  <c r="AA11" i="24"/>
  <c r="AB11" i="24"/>
  <c r="AC11" i="24"/>
  <c r="AD11" i="24"/>
  <c r="X23" i="24"/>
  <c r="X24" i="24"/>
  <c r="X25" i="24"/>
  <c r="X26" i="24"/>
  <c r="X27" i="24"/>
  <c r="X35" i="24"/>
  <c r="X36" i="24"/>
  <c r="X37" i="24"/>
  <c r="X38" i="24"/>
  <c r="X39" i="24"/>
  <c r="X46" i="24"/>
  <c r="X47" i="24"/>
  <c r="X48" i="24"/>
  <c r="X49" i="24"/>
  <c r="X50" i="24"/>
  <c r="X13" i="24"/>
  <c r="X14" i="24"/>
  <c r="X15" i="24"/>
  <c r="X16" i="24"/>
  <c r="X12" i="24"/>
  <c r="AE35" i="24"/>
  <c r="AE36" i="24"/>
  <c r="AE37" i="24"/>
  <c r="AE38" i="24"/>
  <c r="AE39" i="24"/>
  <c r="AE46" i="24"/>
  <c r="AE47" i="24"/>
  <c r="AE48" i="24"/>
  <c r="AE49" i="24"/>
  <c r="AE50" i="24"/>
  <c r="AE24" i="24"/>
  <c r="AE25" i="24"/>
  <c r="AE26" i="24"/>
  <c r="AE27" i="24"/>
  <c r="AE23" i="24"/>
  <c r="AE13" i="24"/>
  <c r="AE14" i="24"/>
  <c r="AE15" i="24"/>
  <c r="AE16" i="24"/>
  <c r="I18" i="24"/>
  <c r="I24" i="24"/>
  <c r="I25" i="24"/>
  <c r="I26" i="24"/>
  <c r="I27" i="24"/>
  <c r="I29" i="24"/>
  <c r="I23" i="24"/>
  <c r="I13" i="24"/>
  <c r="I14" i="24"/>
  <c r="I15" i="24"/>
  <c r="I16" i="24"/>
  <c r="I12" i="24"/>
  <c r="H88" i="22" l="1"/>
  <c r="B18" i="26"/>
  <c r="F47" i="26"/>
  <c r="F57" i="26"/>
  <c r="F56" i="26"/>
  <c r="F46" i="26"/>
  <c r="F51" i="26"/>
  <c r="F61" i="26"/>
  <c r="F52" i="26"/>
  <c r="F62" i="26"/>
  <c r="C17" i="10"/>
  <c r="D17" i="10" s="1"/>
  <c r="E17" i="10" s="1"/>
  <c r="C19" i="10"/>
  <c r="D19" i="10" s="1"/>
  <c r="E19" i="10" s="1"/>
  <c r="C56" i="10"/>
  <c r="D56" i="10" s="1"/>
  <c r="E56" i="10" s="1"/>
  <c r="C51" i="10"/>
  <c r="D51" i="10" s="1"/>
  <c r="E51" i="10" s="1"/>
  <c r="C46" i="10"/>
  <c r="D46" i="10" s="1"/>
  <c r="E46" i="10" s="1"/>
  <c r="C40" i="10"/>
  <c r="D40" i="10" s="1"/>
  <c r="E40" i="10" s="1"/>
  <c r="C33" i="10"/>
  <c r="D33" i="10" s="1"/>
  <c r="E33" i="10" s="1"/>
  <c r="C28" i="10"/>
  <c r="D28" i="10" s="1"/>
  <c r="E28" i="10" s="1"/>
  <c r="C22" i="10"/>
  <c r="D22" i="10" s="1"/>
  <c r="E22" i="10" s="1"/>
  <c r="C60" i="10"/>
  <c r="D60" i="10" s="1"/>
  <c r="E60" i="10" s="1"/>
  <c r="C55" i="10"/>
  <c r="D55" i="10" s="1"/>
  <c r="E55" i="10" s="1"/>
  <c r="C50" i="10"/>
  <c r="D50" i="10" s="1"/>
  <c r="E50" i="10" s="1"/>
  <c r="C44" i="10"/>
  <c r="D44" i="10" s="1"/>
  <c r="E44" i="10" s="1"/>
  <c r="C39" i="10"/>
  <c r="D39" i="10" s="1"/>
  <c r="E39" i="10" s="1"/>
  <c r="C32" i="10"/>
  <c r="D32" i="10" s="1"/>
  <c r="E32" i="10" s="1"/>
  <c r="C26" i="10"/>
  <c r="D26" i="10" s="1"/>
  <c r="E26" i="10" s="1"/>
  <c r="C36" i="10"/>
  <c r="D36" i="10" s="1"/>
  <c r="E36" i="10" s="1"/>
  <c r="C21" i="10"/>
  <c r="D21" i="10" s="1"/>
  <c r="E21" i="10" s="1"/>
  <c r="C59" i="10"/>
  <c r="D59" i="10" s="1"/>
  <c r="E59" i="10" s="1"/>
  <c r="C54" i="10"/>
  <c r="D54" i="10" s="1"/>
  <c r="E54" i="10" s="1"/>
  <c r="C48" i="10"/>
  <c r="D48" i="10" s="1"/>
  <c r="E48" i="10" s="1"/>
  <c r="C43" i="10"/>
  <c r="D43" i="10" s="1"/>
  <c r="E43" i="10" s="1"/>
  <c r="C38" i="10"/>
  <c r="D38" i="10" s="1"/>
  <c r="E38" i="10" s="1"/>
  <c r="C30" i="10"/>
  <c r="D30" i="10" s="1"/>
  <c r="E30" i="10" s="1"/>
  <c r="C25" i="10"/>
  <c r="D25" i="10" s="1"/>
  <c r="E25" i="10" s="1"/>
  <c r="C35" i="10"/>
  <c r="D35" i="10" s="1"/>
  <c r="E35" i="10" s="1"/>
  <c r="C20" i="10"/>
  <c r="D20" i="10" s="1"/>
  <c r="E20" i="10" s="1"/>
  <c r="C58" i="10"/>
  <c r="D58" i="10" s="1"/>
  <c r="E58" i="10" s="1"/>
  <c r="C52" i="10"/>
  <c r="D52" i="10" s="1"/>
  <c r="E52" i="10" s="1"/>
  <c r="C47" i="10"/>
  <c r="D47" i="10" s="1"/>
  <c r="E47" i="10" s="1"/>
  <c r="C42" i="10"/>
  <c r="D42" i="10" s="1"/>
  <c r="E42" i="10" s="1"/>
  <c r="C34" i="10"/>
  <c r="D34" i="10" s="1"/>
  <c r="E34" i="10" s="1"/>
  <c r="C29" i="10"/>
  <c r="D29" i="10" s="1"/>
  <c r="E29" i="10" s="1"/>
  <c r="C24" i="10"/>
  <c r="D24" i="10" s="1"/>
  <c r="E24" i="10" s="1"/>
  <c r="C18" i="10"/>
  <c r="D18" i="10" s="1"/>
  <c r="E18" i="10" s="1"/>
  <c r="C57" i="10"/>
  <c r="D57" i="10" s="1"/>
  <c r="E57" i="10" s="1"/>
  <c r="C53" i="10"/>
  <c r="D53" i="10" s="1"/>
  <c r="E53" i="10" s="1"/>
  <c r="C49" i="10"/>
  <c r="D49" i="10" s="1"/>
  <c r="E49" i="10" s="1"/>
  <c r="C45" i="10"/>
  <c r="D45" i="10" s="1"/>
  <c r="E45" i="10" s="1"/>
  <c r="C41" i="10"/>
  <c r="D41" i="10" s="1"/>
  <c r="E41" i="10" s="1"/>
  <c r="C37" i="10"/>
  <c r="D37" i="10" s="1"/>
  <c r="E37" i="10" s="1"/>
  <c r="C31" i="10"/>
  <c r="D31" i="10" s="1"/>
  <c r="E31" i="10" s="1"/>
  <c r="C27" i="10"/>
  <c r="D27" i="10" s="1"/>
  <c r="E27" i="10" s="1"/>
  <c r="C23" i="10"/>
  <c r="D23" i="10" s="1"/>
  <c r="E23" i="10" s="1"/>
  <c r="AE11" i="24"/>
  <c r="X11" i="24"/>
  <c r="H89" i="22" l="1"/>
  <c r="F69" i="26"/>
  <c r="F68" i="26"/>
  <c r="F66" i="26"/>
  <c r="G66" i="26" s="1"/>
  <c r="E14" i="13"/>
  <c r="C14" i="13"/>
  <c r="D14" i="13"/>
  <c r="H90" i="22" l="1"/>
  <c r="J61" i="26"/>
  <c r="O61" i="26" s="1"/>
  <c r="J51" i="26"/>
  <c r="O51" i="26" s="1"/>
  <c r="J56" i="26"/>
  <c r="O56" i="26" s="1"/>
  <c r="J52" i="26"/>
  <c r="O52" i="26" s="1"/>
  <c r="J57" i="26"/>
  <c r="O57" i="26" s="1"/>
  <c r="J47" i="26"/>
  <c r="O47" i="26" s="1"/>
  <c r="J62" i="26"/>
  <c r="O62" i="26" s="1"/>
  <c r="H33" i="21"/>
  <c r="C33" i="21"/>
  <c r="H29" i="21"/>
  <c r="H30" i="21"/>
  <c r="H31" i="21"/>
  <c r="H32" i="21"/>
  <c r="H28" i="21"/>
  <c r="F53" i="21"/>
  <c r="F52" i="21"/>
  <c r="F48" i="21"/>
  <c r="D48" i="21"/>
  <c r="H91" i="22" l="1"/>
  <c r="R46" i="26"/>
  <c r="O66" i="26"/>
  <c r="B31" i="22"/>
  <c r="D81" i="22"/>
  <c r="D82" i="22"/>
  <c r="D83" i="22"/>
  <c r="D84" i="22"/>
  <c r="D85" i="22"/>
  <c r="D86" i="22"/>
  <c r="D87" i="22"/>
  <c r="D88" i="22"/>
  <c r="D89" i="22"/>
  <c r="D90" i="22"/>
  <c r="AX47" i="22"/>
  <c r="BH42" i="22"/>
  <c r="BG42" i="22"/>
  <c r="BF42" i="22"/>
  <c r="AX46" i="22" s="1"/>
  <c r="BE55" i="22"/>
  <c r="BA76" i="22" s="1"/>
  <c r="AX71" i="22"/>
  <c r="AX72" i="22"/>
  <c r="AY72" i="22"/>
  <c r="AZ72" i="22"/>
  <c r="AW73" i="22"/>
  <c r="AW74" i="22"/>
  <c r="AW75" i="22"/>
  <c r="AW76" i="22"/>
  <c r="AW77" i="22"/>
  <c r="AW78" i="22"/>
  <c r="AW79" i="22"/>
  <c r="AW80" i="22"/>
  <c r="AW81" i="22"/>
  <c r="AW82" i="22"/>
  <c r="AW83" i="22"/>
  <c r="AW84" i="22"/>
  <c r="AW85" i="22"/>
  <c r="AW86" i="22"/>
  <c r="AW87" i="22"/>
  <c r="AW88" i="22"/>
  <c r="AW89" i="22"/>
  <c r="AW90" i="22"/>
  <c r="AW91" i="22"/>
  <c r="AW92" i="22"/>
  <c r="AW93" i="22"/>
  <c r="AW94" i="22"/>
  <c r="BG29" i="22"/>
  <c r="AX34" i="22" s="1"/>
  <c r="BH29" i="22"/>
  <c r="BF29" i="22"/>
  <c r="AX33" i="22" s="1"/>
  <c r="H92" i="22" l="1"/>
  <c r="D91" i="22"/>
  <c r="BA84" i="22"/>
  <c r="BM76" i="22"/>
  <c r="BA74" i="22" s="1"/>
  <c r="BA75" i="22" s="1"/>
  <c r="BA94" i="22"/>
  <c r="T103" i="22"/>
  <c r="T101" i="22"/>
  <c r="T102" i="22"/>
  <c r="T100" i="22"/>
  <c r="H93" i="22" l="1"/>
  <c r="D92" i="22"/>
  <c r="BL84" i="22"/>
  <c r="BL76" i="22"/>
  <c r="BA77" i="22" s="1"/>
  <c r="BA78" i="22" s="1"/>
  <c r="BA79" i="22" s="1"/>
  <c r="BA80" i="22" s="1"/>
  <c r="BA81" i="22" s="1"/>
  <c r="BA82" i="22" s="1"/>
  <c r="BA83" i="22" s="1"/>
  <c r="BA85" i="22"/>
  <c r="BA86" i="22" s="1"/>
  <c r="BA87" i="22" s="1"/>
  <c r="BA88" i="22" s="1"/>
  <c r="BA89" i="22" s="1"/>
  <c r="BA90" i="22" s="1"/>
  <c r="BA91" i="22" s="1"/>
  <c r="BA92" i="22" s="1"/>
  <c r="BA93" i="22" s="1"/>
  <c r="H94" i="22" l="1"/>
  <c r="D93" i="22"/>
  <c r="AI89" i="22"/>
  <c r="AH80" i="22"/>
  <c r="AH112" i="22"/>
  <c r="AG87" i="22"/>
  <c r="AG103" i="22"/>
  <c r="AC74" i="22"/>
  <c r="AG74" i="22" s="1"/>
  <c r="AD74" i="22"/>
  <c r="AH74" i="22" s="1"/>
  <c r="AE74" i="22"/>
  <c r="AI74" i="22" s="1"/>
  <c r="AC75" i="22"/>
  <c r="AG75" i="22" s="1"/>
  <c r="AD75" i="22"/>
  <c r="AH75" i="22" s="1"/>
  <c r="AE75" i="22"/>
  <c r="AI75" i="22" s="1"/>
  <c r="AC76" i="22"/>
  <c r="AG76" i="22" s="1"/>
  <c r="AD76" i="22"/>
  <c r="AH76" i="22" s="1"/>
  <c r="AE76" i="22"/>
  <c r="AI76" i="22" s="1"/>
  <c r="AC77" i="22"/>
  <c r="AG77" i="22" s="1"/>
  <c r="AD77" i="22"/>
  <c r="AH77" i="22" s="1"/>
  <c r="AE77" i="22"/>
  <c r="AI77" i="22" s="1"/>
  <c r="AC78" i="22"/>
  <c r="AG78" i="22" s="1"/>
  <c r="AD78" i="22"/>
  <c r="AH78" i="22" s="1"/>
  <c r="AE78" i="22"/>
  <c r="AI78" i="22" s="1"/>
  <c r="AC79" i="22"/>
  <c r="AG79" i="22" s="1"/>
  <c r="AD79" i="22"/>
  <c r="AH79" i="22" s="1"/>
  <c r="AE79" i="22"/>
  <c r="AI79" i="22" s="1"/>
  <c r="AC80" i="22"/>
  <c r="AG80" i="22" s="1"/>
  <c r="AD80" i="22"/>
  <c r="AE80" i="22"/>
  <c r="AI80" i="22" s="1"/>
  <c r="AC81" i="22"/>
  <c r="AG81" i="22" s="1"/>
  <c r="AD81" i="22"/>
  <c r="AH81" i="22" s="1"/>
  <c r="AE81" i="22"/>
  <c r="AI81" i="22" s="1"/>
  <c r="AC82" i="22"/>
  <c r="AG82" i="22" s="1"/>
  <c r="AD82" i="22"/>
  <c r="AH82" i="22" s="1"/>
  <c r="AE82" i="22"/>
  <c r="AI82" i="22" s="1"/>
  <c r="AC83" i="22"/>
  <c r="AG83" i="22" s="1"/>
  <c r="AD83" i="22"/>
  <c r="AH83" i="22" s="1"/>
  <c r="AE83" i="22"/>
  <c r="AI83" i="22" s="1"/>
  <c r="AC84" i="22"/>
  <c r="AG84" i="22" s="1"/>
  <c r="AD84" i="22"/>
  <c r="AH84" i="22" s="1"/>
  <c r="AE84" i="22"/>
  <c r="AI84" i="22" s="1"/>
  <c r="AC85" i="22"/>
  <c r="AG85" i="22" s="1"/>
  <c r="AD85" i="22"/>
  <c r="AH85" i="22" s="1"/>
  <c r="AE85" i="22"/>
  <c r="AI85" i="22" s="1"/>
  <c r="AC86" i="22"/>
  <c r="AG86" i="22" s="1"/>
  <c r="AD86" i="22"/>
  <c r="AH86" i="22" s="1"/>
  <c r="AE86" i="22"/>
  <c r="AI86" i="22" s="1"/>
  <c r="AC87" i="22"/>
  <c r="AD87" i="22"/>
  <c r="AH87" i="22" s="1"/>
  <c r="AE87" i="22"/>
  <c r="AI87" i="22" s="1"/>
  <c r="AC88" i="22"/>
  <c r="AG88" i="22" s="1"/>
  <c r="AD88" i="22"/>
  <c r="AH88" i="22" s="1"/>
  <c r="AE88" i="22"/>
  <c r="AI88" i="22" s="1"/>
  <c r="AC89" i="22"/>
  <c r="AG89" i="22" s="1"/>
  <c r="AD89" i="22"/>
  <c r="AH89" i="22" s="1"/>
  <c r="AE89" i="22"/>
  <c r="AC90" i="22"/>
  <c r="AG90" i="22" s="1"/>
  <c r="AD90" i="22"/>
  <c r="AH90" i="22" s="1"/>
  <c r="AE90" i="22"/>
  <c r="AI90" i="22" s="1"/>
  <c r="AC91" i="22"/>
  <c r="AG91" i="22" s="1"/>
  <c r="AD91" i="22"/>
  <c r="AH91" i="22" s="1"/>
  <c r="AE91" i="22"/>
  <c r="AI91" i="22" s="1"/>
  <c r="AC92" i="22"/>
  <c r="AG92" i="22" s="1"/>
  <c r="AD92" i="22"/>
  <c r="AH92" i="22" s="1"/>
  <c r="AE92" i="22"/>
  <c r="AI92" i="22" s="1"/>
  <c r="AC93" i="22"/>
  <c r="AG93" i="22" s="1"/>
  <c r="AD93" i="22"/>
  <c r="AH93" i="22" s="1"/>
  <c r="AE93" i="22"/>
  <c r="AI93" i="22" s="1"/>
  <c r="AC94" i="22"/>
  <c r="AG94" i="22" s="1"/>
  <c r="AD94" i="22"/>
  <c r="AH94" i="22" s="1"/>
  <c r="AE94" i="22"/>
  <c r="AI94" i="22" s="1"/>
  <c r="AC95" i="22"/>
  <c r="AG95" i="22" s="1"/>
  <c r="AD95" i="22"/>
  <c r="AH95" i="22" s="1"/>
  <c r="AE95" i="22"/>
  <c r="AI95" i="22" s="1"/>
  <c r="AC96" i="22"/>
  <c r="AG96" i="22" s="1"/>
  <c r="AD96" i="22"/>
  <c r="AH96" i="22" s="1"/>
  <c r="AE96" i="22"/>
  <c r="AI96" i="22" s="1"/>
  <c r="AC97" i="22"/>
  <c r="AG97" i="22" s="1"/>
  <c r="AD97" i="22"/>
  <c r="AH97" i="22" s="1"/>
  <c r="AE97" i="22"/>
  <c r="AI97" i="22" s="1"/>
  <c r="AC98" i="22"/>
  <c r="AG98" i="22" s="1"/>
  <c r="AD98" i="22"/>
  <c r="AH98" i="22" s="1"/>
  <c r="AE98" i="22"/>
  <c r="AI98" i="22" s="1"/>
  <c r="AC99" i="22"/>
  <c r="AG99" i="22" s="1"/>
  <c r="AD99" i="22"/>
  <c r="AH99" i="22" s="1"/>
  <c r="AE99" i="22"/>
  <c r="AI99" i="22" s="1"/>
  <c r="AC100" i="22"/>
  <c r="AG100" i="22" s="1"/>
  <c r="AD100" i="22"/>
  <c r="AH100" i="22" s="1"/>
  <c r="AE100" i="22"/>
  <c r="AI100" i="22" s="1"/>
  <c r="AC101" i="22"/>
  <c r="AG101" i="22" s="1"/>
  <c r="AD101" i="22"/>
  <c r="AH101" i="22" s="1"/>
  <c r="AE101" i="22"/>
  <c r="AI101" i="22" s="1"/>
  <c r="AC102" i="22"/>
  <c r="AG102" i="22" s="1"/>
  <c r="AD102" i="22"/>
  <c r="AH102" i="22" s="1"/>
  <c r="AE102" i="22"/>
  <c r="AI102" i="22" s="1"/>
  <c r="AC103" i="22"/>
  <c r="AD103" i="22"/>
  <c r="AH103" i="22" s="1"/>
  <c r="AE103" i="22"/>
  <c r="AI103" i="22" s="1"/>
  <c r="AC104" i="22"/>
  <c r="AG104" i="22" s="1"/>
  <c r="AD104" i="22"/>
  <c r="AH104" i="22" s="1"/>
  <c r="AE104" i="22"/>
  <c r="AI104" i="22" s="1"/>
  <c r="AC105" i="22"/>
  <c r="AG105" i="22" s="1"/>
  <c r="AD105" i="22"/>
  <c r="AH105" i="22" s="1"/>
  <c r="AE105" i="22"/>
  <c r="AI105" i="22" s="1"/>
  <c r="AC106" i="22"/>
  <c r="AG106" i="22" s="1"/>
  <c r="AD106" i="22"/>
  <c r="AH106" i="22" s="1"/>
  <c r="AE106" i="22"/>
  <c r="AI106" i="22" s="1"/>
  <c r="AC107" i="22"/>
  <c r="AG107" i="22" s="1"/>
  <c r="AD107" i="22"/>
  <c r="AH107" i="22" s="1"/>
  <c r="AE107" i="22"/>
  <c r="AI107" i="22" s="1"/>
  <c r="AC108" i="22"/>
  <c r="AG108" i="22" s="1"/>
  <c r="AD108" i="22"/>
  <c r="AH108" i="22" s="1"/>
  <c r="AE108" i="22"/>
  <c r="AI108" i="22" s="1"/>
  <c r="AC109" i="22"/>
  <c r="AG109" i="22" s="1"/>
  <c r="AD109" i="22"/>
  <c r="AH109" i="22" s="1"/>
  <c r="AE109" i="22"/>
  <c r="AI109" i="22" s="1"/>
  <c r="AC110" i="22"/>
  <c r="AG110" i="22" s="1"/>
  <c r="AD110" i="22"/>
  <c r="AH110" i="22" s="1"/>
  <c r="AE110" i="22"/>
  <c r="AI110" i="22" s="1"/>
  <c r="AC111" i="22"/>
  <c r="AG111" i="22" s="1"/>
  <c r="AD111" i="22"/>
  <c r="AH111" i="22" s="1"/>
  <c r="AE111" i="22"/>
  <c r="AI111" i="22" s="1"/>
  <c r="AC112" i="22"/>
  <c r="AG112" i="22" s="1"/>
  <c r="AD112" i="22"/>
  <c r="AE112" i="22"/>
  <c r="AI112" i="22" s="1"/>
  <c r="AC113" i="22"/>
  <c r="AG113" i="22" s="1"/>
  <c r="AD113" i="22"/>
  <c r="AH113" i="22" s="1"/>
  <c r="AE113" i="22"/>
  <c r="AI113" i="22" s="1"/>
  <c r="AC114" i="22"/>
  <c r="AG114" i="22" s="1"/>
  <c r="AD114" i="22"/>
  <c r="AH114" i="22" s="1"/>
  <c r="AE114" i="22"/>
  <c r="AI114" i="22" s="1"/>
  <c r="AD73" i="22"/>
  <c r="AH73" i="22" s="1"/>
  <c r="AE73" i="22"/>
  <c r="AI73" i="22" s="1"/>
  <c r="AC73" i="22"/>
  <c r="AG73" i="22" s="1"/>
  <c r="AG29" i="22"/>
  <c r="R11" i="22"/>
  <c r="R12" i="22" s="1"/>
  <c r="Q11" i="22"/>
  <c r="Q12" i="22" s="1"/>
  <c r="V42" i="22" s="1"/>
  <c r="P11" i="22"/>
  <c r="P12" i="22" s="1"/>
  <c r="V32" i="22" s="1"/>
  <c r="D72" i="13"/>
  <c r="N6" i="11"/>
  <c r="N7" i="11"/>
  <c r="N8" i="11"/>
  <c r="N9" i="11"/>
  <c r="N10" i="11"/>
  <c r="N11" i="11"/>
  <c r="N12" i="11"/>
  <c r="N13" i="11"/>
  <c r="N14" i="11"/>
  <c r="N15" i="11"/>
  <c r="N16" i="11"/>
  <c r="N17" i="11"/>
  <c r="N18" i="11"/>
  <c r="N19" i="11"/>
  <c r="N20" i="11"/>
  <c r="N21" i="11"/>
  <c r="N22" i="11"/>
  <c r="N23" i="11"/>
  <c r="N24" i="11"/>
  <c r="H95" i="22" l="1"/>
  <c r="D94" i="22"/>
  <c r="AO75" i="22"/>
  <c r="AY75" i="22" s="1"/>
  <c r="AN73" i="22"/>
  <c r="AN84" i="22" s="1"/>
  <c r="AO74" i="22"/>
  <c r="AY74" i="22" s="1"/>
  <c r="AP73" i="22"/>
  <c r="AP94" i="22" s="1"/>
  <c r="AO76" i="22"/>
  <c r="AO73" i="22"/>
  <c r="R31" i="22"/>
  <c r="V33" i="22" s="1"/>
  <c r="V34" i="22" s="1"/>
  <c r="V35" i="22" s="1"/>
  <c r="V36" i="22" s="1"/>
  <c r="V37" i="22" s="1"/>
  <c r="V38" i="22" s="1"/>
  <c r="V39" i="22" s="1"/>
  <c r="V40" i="22" s="1"/>
  <c r="V41" i="22" s="1"/>
  <c r="AY76" i="22"/>
  <c r="AX73" i="22"/>
  <c r="AN94" i="22"/>
  <c r="AN76" i="22"/>
  <c r="AN75" i="22"/>
  <c r="AN74" i="22"/>
  <c r="AO94" i="22"/>
  <c r="AO84" i="22"/>
  <c r="AY73" i="22"/>
  <c r="AP76" i="22"/>
  <c r="AP75" i="22"/>
  <c r="AZ75" i="22" s="1"/>
  <c r="AP74" i="22"/>
  <c r="AZ74" i="22" s="1"/>
  <c r="R20" i="22"/>
  <c r="V22" i="22" s="1"/>
  <c r="V23" i="22" s="1"/>
  <c r="V24" i="22" s="1"/>
  <c r="V25" i="22" s="1"/>
  <c r="V26" i="22" s="1"/>
  <c r="V27" i="22" s="1"/>
  <c r="V28" i="22" s="1"/>
  <c r="V29" i="22" s="1"/>
  <c r="V30" i="22" s="1"/>
  <c r="V31" i="22" s="1"/>
  <c r="H96" i="22" l="1"/>
  <c r="D95" i="22"/>
  <c r="AU89" i="22"/>
  <c r="AZ73" i="22"/>
  <c r="B21" i="22" s="1"/>
  <c r="AP84" i="22"/>
  <c r="AZ76" i="22"/>
  <c r="AX74" i="22"/>
  <c r="B22" i="22" s="1"/>
  <c r="AX75" i="22"/>
  <c r="B23" i="22" s="1"/>
  <c r="AN77" i="22"/>
  <c r="AN78" i="22" s="1"/>
  <c r="AN79" i="22" s="1"/>
  <c r="AN80" i="22" s="1"/>
  <c r="AN81" i="22" s="1"/>
  <c r="AN82" i="22" s="1"/>
  <c r="AN83" i="22" s="1"/>
  <c r="AT79" i="22"/>
  <c r="AO77" i="22" s="1"/>
  <c r="AO78" i="22" s="1"/>
  <c r="AO79" i="22" s="1"/>
  <c r="AO80" i="22" s="1"/>
  <c r="AO81" i="22" s="1"/>
  <c r="AO82" i="22" s="1"/>
  <c r="AO83" i="22" s="1"/>
  <c r="AX76" i="22"/>
  <c r="AT89" i="22"/>
  <c r="AO85" i="22" s="1"/>
  <c r="AO86" i="22" s="1"/>
  <c r="AO87" i="22" s="1"/>
  <c r="AO88" i="22" s="1"/>
  <c r="AO89" i="22" s="1"/>
  <c r="AO90" i="22" s="1"/>
  <c r="AO91" i="22" s="1"/>
  <c r="AO92" i="22" s="1"/>
  <c r="AO93" i="22" s="1"/>
  <c r="AP85" i="22"/>
  <c r="AP86" i="22" s="1"/>
  <c r="AP87" i="22" s="1"/>
  <c r="AP88" i="22" s="1"/>
  <c r="AP89" i="22" s="1"/>
  <c r="AP90" i="22" s="1"/>
  <c r="AP91" i="22" s="1"/>
  <c r="AP92" i="22" s="1"/>
  <c r="AP93" i="22" s="1"/>
  <c r="AU79" i="22"/>
  <c r="AP77" i="22" s="1"/>
  <c r="AP78" i="22" s="1"/>
  <c r="AP79" i="22" s="1"/>
  <c r="AP80" i="22" s="1"/>
  <c r="AP81" i="22" s="1"/>
  <c r="AP82" i="22" s="1"/>
  <c r="AP83" i="22" s="1"/>
  <c r="AN85" i="22"/>
  <c r="AN86" i="22" s="1"/>
  <c r="AN87" i="22" s="1"/>
  <c r="AN88" i="22" s="1"/>
  <c r="AN89" i="22" s="1"/>
  <c r="AN90" i="22" s="1"/>
  <c r="AN91" i="22" s="1"/>
  <c r="AN92" i="22" s="1"/>
  <c r="AN93" i="22" s="1"/>
  <c r="AY94" i="22"/>
  <c r="AY84" i="22"/>
  <c r="C16" i="13"/>
  <c r="H97" i="22" l="1"/>
  <c r="D97" i="22" s="1"/>
  <c r="D96" i="22"/>
  <c r="AZ84" i="22"/>
  <c r="BK76" i="22" s="1"/>
  <c r="AZ77" i="22"/>
  <c r="B24" i="22"/>
  <c r="AX84" i="22"/>
  <c r="B32" i="22" s="1"/>
  <c r="BJ84" i="22"/>
  <c r="AY85" i="22" s="1"/>
  <c r="AY86" i="22" s="1"/>
  <c r="AY87" i="22" s="1"/>
  <c r="AY88" i="22" s="1"/>
  <c r="AY89" i="22" s="1"/>
  <c r="AY90" i="22" s="1"/>
  <c r="AY91" i="22" s="1"/>
  <c r="AY92" i="22" s="1"/>
  <c r="AY93" i="22" s="1"/>
  <c r="AZ94" i="22"/>
  <c r="BK84" i="22" s="1"/>
  <c r="BJ76" i="22"/>
  <c r="AY77" i="22" s="1"/>
  <c r="AY78" i="22" s="1"/>
  <c r="AY79" i="22" s="1"/>
  <c r="AY80" i="22" s="1"/>
  <c r="AY81" i="22" s="1"/>
  <c r="AY82" i="22" s="1"/>
  <c r="AY83" i="22" s="1"/>
  <c r="B16" i="13"/>
  <c r="BI84" i="22" l="1"/>
  <c r="AX85" i="22" s="1"/>
  <c r="B42" i="22"/>
  <c r="BI76" i="22"/>
  <c r="AX77" i="22" s="1"/>
  <c r="AZ85" i="22"/>
  <c r="AZ86" i="22" s="1"/>
  <c r="AZ87" i="22" s="1"/>
  <c r="AZ88" i="22" s="1"/>
  <c r="AZ89" i="22" s="1"/>
  <c r="AZ90" i="22" s="1"/>
  <c r="AZ91" i="22" s="1"/>
  <c r="AZ92" i="22" s="1"/>
  <c r="AZ93" i="22" s="1"/>
  <c r="AZ78" i="22"/>
  <c r="AZ79" i="22" s="1"/>
  <c r="AZ80" i="22" s="1"/>
  <c r="AZ81" i="22" s="1"/>
  <c r="AZ82" i="22" s="1"/>
  <c r="AZ83" i="22" s="1"/>
  <c r="AX78" i="22" l="1"/>
  <c r="B25" i="22"/>
  <c r="AX86" i="22"/>
  <c r="B33" i="22"/>
  <c r="K36" i="16"/>
  <c r="K37" i="16"/>
  <c r="K38" i="16"/>
  <c r="K39" i="16"/>
  <c r="K40" i="16"/>
  <c r="K41" i="16"/>
  <c r="K42" i="16"/>
  <c r="K43" i="16"/>
  <c r="K44" i="16"/>
  <c r="K45" i="16"/>
  <c r="K46" i="16"/>
  <c r="K47" i="16"/>
  <c r="K48" i="16"/>
  <c r="K49" i="16"/>
  <c r="K50" i="16"/>
  <c r="K51" i="16"/>
  <c r="K52" i="16"/>
  <c r="K53" i="16"/>
  <c r="K54" i="16"/>
  <c r="K35" i="16"/>
  <c r="I36" i="16"/>
  <c r="I37" i="16"/>
  <c r="I38" i="16"/>
  <c r="I39" i="16"/>
  <c r="I40" i="16"/>
  <c r="I41" i="16"/>
  <c r="I42" i="16"/>
  <c r="I43" i="16"/>
  <c r="I44" i="16"/>
  <c r="I45" i="16"/>
  <c r="I46" i="16"/>
  <c r="I47" i="16"/>
  <c r="I48" i="16"/>
  <c r="I49" i="16"/>
  <c r="I50" i="16"/>
  <c r="I51" i="16"/>
  <c r="I52" i="16"/>
  <c r="I53" i="16"/>
  <c r="I54" i="16"/>
  <c r="I35" i="16"/>
  <c r="E5" i="13"/>
  <c r="E17" i="13"/>
  <c r="D19" i="13"/>
  <c r="S13" i="13"/>
  <c r="D17" i="13" s="1"/>
  <c r="S12" i="13"/>
  <c r="R10" i="13"/>
  <c r="R9" i="13"/>
  <c r="R8" i="13"/>
  <c r="R7" i="13"/>
  <c r="S7" i="13"/>
  <c r="E19" i="13"/>
  <c r="C19" i="13"/>
  <c r="B19" i="13"/>
  <c r="E4" i="13"/>
  <c r="E3" i="13"/>
  <c r="D4" i="13"/>
  <c r="D3" i="13"/>
  <c r="C4" i="13"/>
  <c r="C3" i="13"/>
  <c r="B4" i="13"/>
  <c r="B3" i="13"/>
  <c r="D5" i="13"/>
  <c r="C5" i="13"/>
  <c r="C11" i="13" s="1"/>
  <c r="E30" i="20"/>
  <c r="D30" i="20"/>
  <c r="C30" i="20"/>
  <c r="B30" i="20"/>
  <c r="E25" i="20"/>
  <c r="D25" i="20"/>
  <c r="C25" i="20"/>
  <c r="B25" i="20"/>
  <c r="E14" i="20"/>
  <c r="D14" i="20"/>
  <c r="C14" i="20"/>
  <c r="B14" i="20"/>
  <c r="E13" i="20"/>
  <c r="D13" i="20"/>
  <c r="C13" i="20"/>
  <c r="B13" i="20"/>
  <c r="E11" i="20"/>
  <c r="D11" i="20"/>
  <c r="C11" i="20"/>
  <c r="B11" i="20"/>
  <c r="I9" i="16"/>
  <c r="I10" i="16"/>
  <c r="I11" i="16"/>
  <c r="I12" i="16"/>
  <c r="I13" i="16"/>
  <c r="I14" i="16"/>
  <c r="I15" i="16"/>
  <c r="I16" i="16"/>
  <c r="I17" i="16"/>
  <c r="I18" i="16"/>
  <c r="I19" i="16"/>
  <c r="I20" i="16"/>
  <c r="I21" i="16"/>
  <c r="I22" i="16"/>
  <c r="I23" i="16"/>
  <c r="I24" i="16"/>
  <c r="I25" i="16"/>
  <c r="I26" i="16"/>
  <c r="I27" i="16"/>
  <c r="I8" i="16"/>
  <c r="C17" i="13" l="1"/>
  <c r="C18" i="13" s="1"/>
  <c r="D18" i="13"/>
  <c r="B17" i="13"/>
  <c r="B18" i="13" s="1"/>
  <c r="B25" i="13"/>
  <c r="B11" i="13"/>
  <c r="B30" i="13"/>
  <c r="E18" i="13"/>
  <c r="AX87" i="22"/>
  <c r="B34" i="22"/>
  <c r="AX79" i="22"/>
  <c r="B26" i="22"/>
  <c r="AX80" i="22" l="1"/>
  <c r="B27" i="22"/>
  <c r="AX88" i="22"/>
  <c r="B35" i="22"/>
  <c r="H26" i="11"/>
  <c r="I26" i="11"/>
  <c r="J26" i="11"/>
  <c r="K26" i="11"/>
  <c r="G26" i="11"/>
  <c r="E3" i="18"/>
  <c r="E4" i="18"/>
  <c r="E5" i="18"/>
  <c r="E6" i="18"/>
  <c r="E7" i="18"/>
  <c r="E8" i="18"/>
  <c r="E9" i="18"/>
  <c r="E10" i="18"/>
  <c r="E11" i="18"/>
  <c r="E12" i="18"/>
  <c r="E13" i="18"/>
  <c r="E14" i="18"/>
  <c r="E15" i="18"/>
  <c r="E16" i="18"/>
  <c r="E17" i="18"/>
  <c r="E18" i="18"/>
  <c r="E19" i="18"/>
  <c r="E20" i="18"/>
  <c r="E21" i="18"/>
  <c r="E22" i="18"/>
  <c r="E23" i="18"/>
  <c r="E24" i="18"/>
  <c r="E25" i="18"/>
  <c r="E26" i="18"/>
  <c r="E2" i="18"/>
  <c r="B15" i="9"/>
  <c r="C10" i="17"/>
  <c r="C28" i="17"/>
  <c r="C29" i="17"/>
  <c r="C30" i="17"/>
  <c r="C31" i="17"/>
  <c r="C27" i="17"/>
  <c r="C23" i="17"/>
  <c r="C24" i="17"/>
  <c r="C25" i="17"/>
  <c r="C26" i="17"/>
  <c r="C22" i="17"/>
  <c r="C18" i="17"/>
  <c r="C19" i="17"/>
  <c r="C20" i="17"/>
  <c r="C21" i="17"/>
  <c r="C17" i="17"/>
  <c r="C13" i="17"/>
  <c r="C14" i="17"/>
  <c r="C15" i="17"/>
  <c r="C16" i="17"/>
  <c r="C12" i="17"/>
  <c r="C8" i="17"/>
  <c r="C9" i="17"/>
  <c r="C11" i="17"/>
  <c r="C7" i="17"/>
  <c r="K133" i="12"/>
  <c r="H119" i="12"/>
  <c r="I119" i="12"/>
  <c r="J119" i="12"/>
  <c r="K119" i="12"/>
  <c r="H120" i="12"/>
  <c r="I120" i="12"/>
  <c r="J120" i="12"/>
  <c r="K120" i="12"/>
  <c r="H121" i="12"/>
  <c r="I121" i="12"/>
  <c r="J121" i="12"/>
  <c r="K121" i="12"/>
  <c r="H122" i="12"/>
  <c r="I122" i="12"/>
  <c r="J122" i="12"/>
  <c r="K122" i="12"/>
  <c r="H123" i="12"/>
  <c r="I123" i="12"/>
  <c r="J123" i="12"/>
  <c r="K123" i="12"/>
  <c r="H124" i="12"/>
  <c r="I124" i="12"/>
  <c r="J124" i="12"/>
  <c r="K124" i="12"/>
  <c r="H125" i="12"/>
  <c r="I125" i="12"/>
  <c r="J125" i="12"/>
  <c r="K125" i="12"/>
  <c r="H126" i="12"/>
  <c r="I126" i="12"/>
  <c r="J126" i="12"/>
  <c r="K126" i="12"/>
  <c r="H127" i="12"/>
  <c r="I127" i="12"/>
  <c r="J127" i="12"/>
  <c r="K127" i="12"/>
  <c r="H128" i="12"/>
  <c r="I128" i="12"/>
  <c r="J128" i="12"/>
  <c r="K128" i="12"/>
  <c r="H129" i="12"/>
  <c r="I129" i="12"/>
  <c r="J129" i="12"/>
  <c r="K129" i="12"/>
  <c r="H130" i="12"/>
  <c r="I130" i="12"/>
  <c r="J130" i="12"/>
  <c r="K130" i="12"/>
  <c r="H131" i="12"/>
  <c r="I131" i="12"/>
  <c r="J131" i="12"/>
  <c r="K131" i="12"/>
  <c r="H132" i="12"/>
  <c r="I132" i="12"/>
  <c r="J132" i="12"/>
  <c r="K132" i="12"/>
  <c r="H133" i="12"/>
  <c r="I133" i="12"/>
  <c r="J133" i="12"/>
  <c r="I114" i="12"/>
  <c r="J114" i="12"/>
  <c r="K114" i="12"/>
  <c r="I115" i="12"/>
  <c r="J115" i="12"/>
  <c r="K115" i="12"/>
  <c r="I116" i="12"/>
  <c r="J116" i="12"/>
  <c r="K116" i="12"/>
  <c r="I117" i="12"/>
  <c r="J117" i="12"/>
  <c r="K117" i="12"/>
  <c r="I118" i="12"/>
  <c r="J118" i="12"/>
  <c r="K118" i="12"/>
  <c r="G119" i="12"/>
  <c r="G120" i="12"/>
  <c r="G121" i="12"/>
  <c r="G122" i="12"/>
  <c r="G123" i="12"/>
  <c r="G124" i="12"/>
  <c r="G125" i="12"/>
  <c r="G126" i="12"/>
  <c r="G127" i="12"/>
  <c r="G128" i="12"/>
  <c r="G129" i="12"/>
  <c r="G130" i="12"/>
  <c r="G131" i="12"/>
  <c r="G132" i="12"/>
  <c r="G133" i="12"/>
  <c r="H115" i="12"/>
  <c r="H116" i="12"/>
  <c r="H117" i="12"/>
  <c r="H118" i="12"/>
  <c r="H114" i="12"/>
  <c r="G115" i="12"/>
  <c r="G116" i="12"/>
  <c r="G117" i="12"/>
  <c r="G118" i="12"/>
  <c r="G114" i="12"/>
  <c r="AX89" i="22" l="1"/>
  <c r="B36" i="22"/>
  <c r="AX81" i="22"/>
  <c r="B28" i="22"/>
  <c r="P27" i="12"/>
  <c r="W15" i="12"/>
  <c r="P6" i="12"/>
  <c r="P7" i="12"/>
  <c r="P8" i="12"/>
  <c r="P9" i="12"/>
  <c r="P10" i="12"/>
  <c r="P11" i="12"/>
  <c r="P12" i="12"/>
  <c r="P13" i="12"/>
  <c r="P14" i="12"/>
  <c r="P15" i="12"/>
  <c r="P16" i="12"/>
  <c r="P17" i="12"/>
  <c r="P18" i="12"/>
  <c r="P19" i="12"/>
  <c r="P20" i="12"/>
  <c r="P21" i="12"/>
  <c r="P22" i="12"/>
  <c r="P23" i="12"/>
  <c r="P24" i="12"/>
  <c r="P25" i="12"/>
  <c r="P26"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5" i="12"/>
  <c r="W5" i="12"/>
  <c r="V5" i="12"/>
  <c r="N6" i="12"/>
  <c r="N7" i="12"/>
  <c r="N8" i="12"/>
  <c r="N9" i="12"/>
  <c r="N10" i="12"/>
  <c r="N11" i="12"/>
  <c r="N12" i="12"/>
  <c r="N13" i="12"/>
  <c r="N14" i="12"/>
  <c r="N15" i="12"/>
  <c r="N16" i="12"/>
  <c r="N17" i="12"/>
  <c r="N18" i="12"/>
  <c r="N19" i="12"/>
  <c r="N20" i="12"/>
  <c r="N21" i="12"/>
  <c r="N22" i="12"/>
  <c r="N23" i="12"/>
  <c r="N24" i="12"/>
  <c r="N25" i="12"/>
  <c r="N26" i="12"/>
  <c r="N27" i="12"/>
  <c r="N28" i="12"/>
  <c r="N29" i="12"/>
  <c r="N30" i="12"/>
  <c r="N31" i="12"/>
  <c r="N32" i="12"/>
  <c r="N33" i="12"/>
  <c r="N34" i="12"/>
  <c r="N35" i="12"/>
  <c r="N36" i="12"/>
  <c r="N37" i="12"/>
  <c r="N38" i="12"/>
  <c r="N39" i="12"/>
  <c r="N40" i="12"/>
  <c r="N41" i="12"/>
  <c r="N42" i="12"/>
  <c r="N43" i="12"/>
  <c r="N44" i="12"/>
  <c r="N45" i="12"/>
  <c r="N46" i="12"/>
  <c r="N47" i="12"/>
  <c r="N48" i="12"/>
  <c r="N49" i="12"/>
  <c r="N50" i="12"/>
  <c r="N51" i="12"/>
  <c r="N52" i="12"/>
  <c r="N53" i="12"/>
  <c r="N54" i="12"/>
  <c r="N55" i="12"/>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7" i="12"/>
  <c r="N88" i="12"/>
  <c r="N89" i="12"/>
  <c r="N90" i="12"/>
  <c r="N91" i="12"/>
  <c r="N92" i="12"/>
  <c r="N93" i="12"/>
  <c r="N94" i="12"/>
  <c r="N95" i="12"/>
  <c r="N96" i="12"/>
  <c r="N97" i="12"/>
  <c r="N98" i="12"/>
  <c r="N99" i="12"/>
  <c r="N100" i="12"/>
  <c r="N101" i="12"/>
  <c r="N102" i="12"/>
  <c r="N103" i="12"/>
  <c r="N104" i="12"/>
  <c r="N5" i="12"/>
  <c r="M6" i="11"/>
  <c r="M7" i="11"/>
  <c r="M8" i="11"/>
  <c r="M9" i="11"/>
  <c r="M10" i="11"/>
  <c r="M11" i="11"/>
  <c r="M12" i="11"/>
  <c r="M13" i="11"/>
  <c r="M14" i="11"/>
  <c r="M15" i="11"/>
  <c r="M16" i="11"/>
  <c r="M17" i="11"/>
  <c r="M18" i="11"/>
  <c r="M19" i="11"/>
  <c r="M20" i="11"/>
  <c r="M21" i="11"/>
  <c r="M22" i="11"/>
  <c r="M23" i="11"/>
  <c r="M24" i="11"/>
  <c r="M5" i="11"/>
  <c r="B16" i="5"/>
  <c r="AX82" i="22" l="1"/>
  <c r="B29" i="22"/>
  <c r="AX90" i="22"/>
  <c r="B37" i="22"/>
  <c r="C25" i="13"/>
  <c r="D25" i="13"/>
  <c r="E25" i="13"/>
  <c r="E11" i="13"/>
  <c r="C30" i="13"/>
  <c r="D30" i="13"/>
  <c r="E30" i="13"/>
  <c r="B14" i="13"/>
  <c r="D11" i="13"/>
  <c r="K45" i="11"/>
  <c r="K31" i="11"/>
  <c r="J31" i="11"/>
  <c r="H31" i="11"/>
  <c r="G31" i="11"/>
  <c r="B3" i="3" s="1"/>
  <c r="G41" i="11"/>
  <c r="H32" i="11"/>
  <c r="H41" i="11"/>
  <c r="H43" i="11"/>
  <c r="H35" i="11"/>
  <c r="C12" i="3"/>
  <c r="J32" i="11"/>
  <c r="C15" i="5"/>
  <c r="P39" i="11"/>
  <c r="P40" i="11"/>
  <c r="P41" i="11"/>
  <c r="P42" i="11"/>
  <c r="P43" i="11"/>
  <c r="P44" i="11"/>
  <c r="P45" i="11"/>
  <c r="P46" i="11"/>
  <c r="P47" i="11"/>
  <c r="P48" i="11"/>
  <c r="P49" i="11"/>
  <c r="P50" i="11"/>
  <c r="P51" i="11"/>
  <c r="P52" i="11"/>
  <c r="P53" i="11"/>
  <c r="P54" i="11"/>
  <c r="P55" i="11"/>
  <c r="P56" i="11"/>
  <c r="P57" i="11"/>
  <c r="P38" i="11"/>
  <c r="H34" i="11"/>
  <c r="H33" i="11"/>
  <c r="T4" i="15"/>
  <c r="S4" i="15"/>
  <c r="R4" i="15"/>
  <c r="Q4" i="15"/>
  <c r="E4" i="15"/>
  <c r="P4" i="15"/>
  <c r="O4" i="15"/>
  <c r="N4" i="15"/>
  <c r="M4" i="15"/>
  <c r="L4" i="15"/>
  <c r="K4" i="15"/>
  <c r="J4" i="15"/>
  <c r="I4" i="15"/>
  <c r="H4" i="15"/>
  <c r="G4" i="15"/>
  <c r="F4" i="15"/>
  <c r="V101" i="12"/>
  <c r="W101" i="12"/>
  <c r="Y101" i="12"/>
  <c r="Z101" i="12"/>
  <c r="V102" i="12"/>
  <c r="W102" i="12"/>
  <c r="Y102" i="12"/>
  <c r="Z102" i="12"/>
  <c r="V103" i="12"/>
  <c r="W103" i="12"/>
  <c r="Y103" i="12"/>
  <c r="Z103" i="12"/>
  <c r="V104" i="12"/>
  <c r="W104" i="12"/>
  <c r="Y104" i="12"/>
  <c r="Z104" i="12"/>
  <c r="W100" i="12"/>
  <c r="Y100" i="12"/>
  <c r="Z100" i="12"/>
  <c r="V100" i="12"/>
  <c r="V96" i="12"/>
  <c r="W96" i="12"/>
  <c r="Y96" i="12"/>
  <c r="Z96" i="12"/>
  <c r="V97" i="12"/>
  <c r="W97" i="12"/>
  <c r="Y97" i="12"/>
  <c r="Z97" i="12"/>
  <c r="V98" i="12"/>
  <c r="W98" i="12"/>
  <c r="Y98" i="12"/>
  <c r="Z98" i="12"/>
  <c r="V99" i="12"/>
  <c r="W99" i="12"/>
  <c r="Y99" i="12"/>
  <c r="Z99" i="12"/>
  <c r="W95" i="12"/>
  <c r="Y95" i="12"/>
  <c r="Z95" i="12"/>
  <c r="V95" i="12"/>
  <c r="V91" i="12"/>
  <c r="W91" i="12"/>
  <c r="Y91" i="12"/>
  <c r="Z91" i="12"/>
  <c r="V92" i="12"/>
  <c r="W92" i="12"/>
  <c r="Y92" i="12"/>
  <c r="Z92" i="12"/>
  <c r="V93" i="12"/>
  <c r="W93" i="12"/>
  <c r="Y93" i="12"/>
  <c r="Z93" i="12"/>
  <c r="V94" i="12"/>
  <c r="W94" i="12"/>
  <c r="Y94" i="12"/>
  <c r="Z94" i="12"/>
  <c r="W90" i="12"/>
  <c r="Y90" i="12"/>
  <c r="Z90" i="12"/>
  <c r="V90" i="12"/>
  <c r="V86" i="12"/>
  <c r="W86" i="12"/>
  <c r="Y86" i="12"/>
  <c r="Z86" i="12"/>
  <c r="V87" i="12"/>
  <c r="W87" i="12"/>
  <c r="Y87" i="12"/>
  <c r="Z87" i="12"/>
  <c r="V88" i="12"/>
  <c r="W88" i="12"/>
  <c r="Y88" i="12"/>
  <c r="Z88" i="12"/>
  <c r="V89" i="12"/>
  <c r="W89" i="12"/>
  <c r="Y89" i="12"/>
  <c r="Z89" i="12"/>
  <c r="W85" i="12"/>
  <c r="Y85" i="12"/>
  <c r="Z85" i="12"/>
  <c r="V85" i="12"/>
  <c r="V81" i="12"/>
  <c r="W81" i="12"/>
  <c r="Y81" i="12"/>
  <c r="V82" i="12"/>
  <c r="W82" i="12"/>
  <c r="Y82" i="12"/>
  <c r="V83" i="12"/>
  <c r="W83" i="12"/>
  <c r="Y83" i="12"/>
  <c r="V84" i="12"/>
  <c r="W84" i="12"/>
  <c r="Y84" i="12"/>
  <c r="W80" i="12"/>
  <c r="Y80" i="12"/>
  <c r="V80" i="12"/>
  <c r="V76" i="12"/>
  <c r="W76" i="12"/>
  <c r="Y76" i="12"/>
  <c r="Z76" i="12"/>
  <c r="V77" i="12"/>
  <c r="W77" i="12"/>
  <c r="Y77" i="12"/>
  <c r="Z77" i="12"/>
  <c r="V78" i="12"/>
  <c r="W78" i="12"/>
  <c r="Y78" i="12"/>
  <c r="Z78" i="12"/>
  <c r="V79" i="12"/>
  <c r="W79" i="12"/>
  <c r="Y79" i="12"/>
  <c r="Z79" i="12"/>
  <c r="W75" i="12"/>
  <c r="Y75" i="12"/>
  <c r="Z75" i="12"/>
  <c r="V75" i="12"/>
  <c r="V71" i="12"/>
  <c r="W71" i="12"/>
  <c r="Y71" i="12"/>
  <c r="Z71" i="12"/>
  <c r="V72" i="12"/>
  <c r="W72" i="12"/>
  <c r="Y72" i="12"/>
  <c r="Z72" i="12"/>
  <c r="V73" i="12"/>
  <c r="W73" i="12"/>
  <c r="Y73" i="12"/>
  <c r="Z73" i="12"/>
  <c r="V74" i="12"/>
  <c r="W74" i="12"/>
  <c r="Y74" i="12"/>
  <c r="Z74" i="12"/>
  <c r="W70" i="12"/>
  <c r="Y70" i="12"/>
  <c r="Z70" i="12"/>
  <c r="V70" i="12"/>
  <c r="V66" i="12"/>
  <c r="W66" i="12"/>
  <c r="Y66" i="12"/>
  <c r="Z66" i="12"/>
  <c r="V67" i="12"/>
  <c r="W67" i="12"/>
  <c r="Y67" i="12"/>
  <c r="Z67" i="12"/>
  <c r="V68" i="12"/>
  <c r="W68" i="12"/>
  <c r="Y68" i="12"/>
  <c r="Z68" i="12"/>
  <c r="V69" i="12"/>
  <c r="W69" i="12"/>
  <c r="Y69" i="12"/>
  <c r="Z69" i="12"/>
  <c r="W65" i="12"/>
  <c r="Y65" i="12"/>
  <c r="Z65" i="12"/>
  <c r="V65" i="12"/>
  <c r="V61" i="12"/>
  <c r="W61" i="12"/>
  <c r="Y61" i="12"/>
  <c r="V62" i="12"/>
  <c r="W62" i="12"/>
  <c r="Y62" i="12"/>
  <c r="V63" i="12"/>
  <c r="W63" i="12"/>
  <c r="Y63" i="12"/>
  <c r="V64" i="12"/>
  <c r="W64" i="12"/>
  <c r="Y64" i="12"/>
  <c r="W60" i="12"/>
  <c r="Y60" i="12"/>
  <c r="V60" i="12"/>
  <c r="V56" i="12"/>
  <c r="W56" i="12"/>
  <c r="Y56" i="12"/>
  <c r="Z56" i="12"/>
  <c r="V57" i="12"/>
  <c r="W57" i="12"/>
  <c r="Y57" i="12"/>
  <c r="Z57" i="12"/>
  <c r="V58" i="12"/>
  <c r="W58" i="12"/>
  <c r="Y58" i="12"/>
  <c r="Z58" i="12"/>
  <c r="V59" i="12"/>
  <c r="W59" i="12"/>
  <c r="Y59" i="12"/>
  <c r="Z59" i="12"/>
  <c r="W55" i="12"/>
  <c r="Y55" i="12"/>
  <c r="Z55" i="12"/>
  <c r="V55" i="12"/>
  <c r="V51" i="12"/>
  <c r="W51" i="12"/>
  <c r="Y51" i="12"/>
  <c r="Z51" i="12"/>
  <c r="V52" i="12"/>
  <c r="W52" i="12"/>
  <c r="Y52" i="12"/>
  <c r="Z52" i="12"/>
  <c r="V53" i="12"/>
  <c r="W53" i="12"/>
  <c r="Y53" i="12"/>
  <c r="Z53" i="12"/>
  <c r="V54" i="12"/>
  <c r="W54" i="12"/>
  <c r="Y54" i="12"/>
  <c r="Z54" i="12"/>
  <c r="W50" i="12"/>
  <c r="Y50" i="12"/>
  <c r="Z50" i="12"/>
  <c r="V50" i="12"/>
  <c r="V46" i="12"/>
  <c r="W46" i="12"/>
  <c r="Y46" i="12"/>
  <c r="Z46" i="12"/>
  <c r="V47" i="12"/>
  <c r="W47" i="12"/>
  <c r="Y47" i="12"/>
  <c r="Z47" i="12"/>
  <c r="V48" i="12"/>
  <c r="W48" i="12"/>
  <c r="Y48" i="12"/>
  <c r="Z48" i="12"/>
  <c r="V49" i="12"/>
  <c r="W49" i="12"/>
  <c r="Y49" i="12"/>
  <c r="Z49" i="12"/>
  <c r="W45" i="12"/>
  <c r="Y45" i="12"/>
  <c r="Z45" i="12"/>
  <c r="V45" i="12"/>
  <c r="V41" i="12"/>
  <c r="W41" i="12"/>
  <c r="Y41" i="12"/>
  <c r="Z41" i="12"/>
  <c r="V42" i="12"/>
  <c r="W42" i="12"/>
  <c r="Y42" i="12"/>
  <c r="Z42" i="12"/>
  <c r="V43" i="12"/>
  <c r="W43" i="12"/>
  <c r="Y43" i="12"/>
  <c r="Z43" i="12"/>
  <c r="V44" i="12"/>
  <c r="W44" i="12"/>
  <c r="Y44" i="12"/>
  <c r="Z44" i="12"/>
  <c r="W40" i="12"/>
  <c r="Y40" i="12"/>
  <c r="Z40" i="12"/>
  <c r="V40" i="12"/>
  <c r="V36" i="12"/>
  <c r="W36" i="12"/>
  <c r="Y36" i="12"/>
  <c r="Z36" i="12"/>
  <c r="V37" i="12"/>
  <c r="W37" i="12"/>
  <c r="Y37" i="12"/>
  <c r="Z37" i="12"/>
  <c r="V38" i="12"/>
  <c r="W38" i="12"/>
  <c r="Y38" i="12"/>
  <c r="Z38" i="12"/>
  <c r="V39" i="12"/>
  <c r="W39" i="12"/>
  <c r="Y39" i="12"/>
  <c r="Z39" i="12"/>
  <c r="W35" i="12"/>
  <c r="Y35" i="12"/>
  <c r="Z35" i="12"/>
  <c r="V35" i="12"/>
  <c r="V31" i="12"/>
  <c r="W31" i="12"/>
  <c r="Y31" i="12"/>
  <c r="Z31" i="12"/>
  <c r="V32" i="12"/>
  <c r="W32" i="12"/>
  <c r="Y32" i="12"/>
  <c r="Z32" i="12"/>
  <c r="V33" i="12"/>
  <c r="W33" i="12"/>
  <c r="Y33" i="12"/>
  <c r="Z33" i="12"/>
  <c r="V34" i="12"/>
  <c r="W34" i="12"/>
  <c r="Y34" i="12"/>
  <c r="Z34" i="12"/>
  <c r="W30" i="12"/>
  <c r="Y30" i="12"/>
  <c r="Z30" i="12"/>
  <c r="V30" i="12"/>
  <c r="V26" i="12"/>
  <c r="W26" i="12"/>
  <c r="Y26" i="12"/>
  <c r="Z26" i="12"/>
  <c r="V27" i="12"/>
  <c r="W27" i="12"/>
  <c r="Y27" i="12"/>
  <c r="Z27" i="12"/>
  <c r="V28" i="12"/>
  <c r="W28" i="12"/>
  <c r="Y28" i="12"/>
  <c r="Z28" i="12"/>
  <c r="V29" i="12"/>
  <c r="W29" i="12"/>
  <c r="Y29" i="12"/>
  <c r="Z29" i="12"/>
  <c r="W25" i="12"/>
  <c r="Y25" i="12"/>
  <c r="Z25" i="12"/>
  <c r="V25" i="12"/>
  <c r="Y22" i="12"/>
  <c r="V21" i="12"/>
  <c r="W21" i="12"/>
  <c r="Y21" i="12"/>
  <c r="Z21" i="12"/>
  <c r="V22" i="12"/>
  <c r="W22" i="12"/>
  <c r="Z22" i="12"/>
  <c r="V23" i="12"/>
  <c r="W23" i="12"/>
  <c r="Y23" i="12"/>
  <c r="Z23" i="12"/>
  <c r="V24" i="12"/>
  <c r="W24" i="12"/>
  <c r="Y24" i="12"/>
  <c r="Z24" i="12"/>
  <c r="W20" i="12"/>
  <c r="Y20" i="12"/>
  <c r="Z20" i="12"/>
  <c r="V20" i="12"/>
  <c r="V16" i="12"/>
  <c r="W16" i="12"/>
  <c r="Y16" i="12"/>
  <c r="Z16" i="12"/>
  <c r="V17" i="12"/>
  <c r="W17" i="12"/>
  <c r="Y17" i="12"/>
  <c r="Z17" i="12"/>
  <c r="V18" i="12"/>
  <c r="W18" i="12"/>
  <c r="Y18" i="12"/>
  <c r="Z18" i="12"/>
  <c r="V19" i="12"/>
  <c r="W19" i="12"/>
  <c r="Y19" i="12"/>
  <c r="Z19" i="12"/>
  <c r="Y15" i="12"/>
  <c r="Z15" i="12"/>
  <c r="V15" i="12"/>
  <c r="Y13" i="12"/>
  <c r="V11" i="12"/>
  <c r="W11" i="12"/>
  <c r="Y11" i="12"/>
  <c r="Z11" i="12"/>
  <c r="V12" i="12"/>
  <c r="W12" i="12"/>
  <c r="Y12" i="12"/>
  <c r="Z12" i="12"/>
  <c r="V13" i="12"/>
  <c r="W13" i="12"/>
  <c r="Z13" i="12"/>
  <c r="V14" i="12"/>
  <c r="W14" i="12"/>
  <c r="Y14" i="12"/>
  <c r="Z14" i="12"/>
  <c r="W10" i="12"/>
  <c r="Y10" i="12"/>
  <c r="Z10" i="12"/>
  <c r="Y6" i="12"/>
  <c r="V10" i="12"/>
  <c r="V9" i="12"/>
  <c r="V6" i="12"/>
  <c r="W6" i="12"/>
  <c r="Z6" i="12"/>
  <c r="V7" i="12"/>
  <c r="W7" i="12"/>
  <c r="Y7" i="12"/>
  <c r="Z7" i="12"/>
  <c r="V8" i="12"/>
  <c r="W8" i="12"/>
  <c r="Y8" i="12"/>
  <c r="Z8" i="12"/>
  <c r="W9" i="12"/>
  <c r="Y9" i="12"/>
  <c r="Z9" i="12"/>
  <c r="Y5" i="12"/>
  <c r="Z5" i="12"/>
  <c r="G42" i="11"/>
  <c r="G107" i="12"/>
  <c r="AX83" i="22" l="1"/>
  <c r="B30" i="22"/>
  <c r="AX91" i="22"/>
  <c r="B38" i="22"/>
  <c r="N27" i="11"/>
  <c r="H47" i="11"/>
  <c r="AX92" i="22" l="1"/>
  <c r="B39" i="22"/>
  <c r="G27" i="11"/>
  <c r="H27" i="11"/>
  <c r="I27" i="11"/>
  <c r="J27" i="11"/>
  <c r="K27" i="11"/>
  <c r="E26" i="11"/>
  <c r="C16" i="3"/>
  <c r="AX93" i="22" l="1"/>
  <c r="B41" i="22" s="1"/>
  <c r="B40" i="22"/>
  <c r="L60" i="11"/>
  <c r="K60" i="11"/>
  <c r="J60" i="11"/>
  <c r="H60" i="11"/>
  <c r="G60" i="11"/>
  <c r="L59" i="11"/>
  <c r="K59" i="11"/>
  <c r="J59" i="11"/>
  <c r="H59" i="11"/>
  <c r="G59" i="11"/>
  <c r="L58" i="11"/>
  <c r="K58" i="11"/>
  <c r="J58" i="11"/>
  <c r="H58" i="11"/>
  <c r="G58" i="11"/>
  <c r="L57" i="11"/>
  <c r="K57" i="11"/>
  <c r="J57" i="11"/>
  <c r="H57" i="11"/>
  <c r="G57" i="11"/>
  <c r="L56" i="11"/>
  <c r="K56" i="11"/>
  <c r="J56" i="11"/>
  <c r="H56" i="11"/>
  <c r="G56" i="11"/>
  <c r="L55" i="11"/>
  <c r="K55" i="11"/>
  <c r="J55" i="11"/>
  <c r="H55" i="11"/>
  <c r="G55" i="11"/>
  <c r="L54" i="11"/>
  <c r="K54" i="11"/>
  <c r="J54" i="11"/>
  <c r="H54" i="11"/>
  <c r="G54" i="11"/>
  <c r="L53" i="11"/>
  <c r="K53" i="11"/>
  <c r="J53" i="11"/>
  <c r="H53" i="11"/>
  <c r="G53" i="11"/>
  <c r="L52" i="11"/>
  <c r="K52" i="11"/>
  <c r="J52" i="11"/>
  <c r="H52" i="11"/>
  <c r="G52" i="11"/>
  <c r="L51" i="11"/>
  <c r="K51" i="11"/>
  <c r="J51" i="11"/>
  <c r="H51" i="11"/>
  <c r="G51" i="11"/>
  <c r="L50" i="11"/>
  <c r="K50" i="11"/>
  <c r="J50" i="11"/>
  <c r="H50" i="11"/>
  <c r="G50" i="11"/>
  <c r="L49" i="11"/>
  <c r="K49" i="11"/>
  <c r="J49" i="11"/>
  <c r="H49" i="11"/>
  <c r="G49" i="11"/>
  <c r="L48" i="11"/>
  <c r="K48" i="11"/>
  <c r="J48" i="11"/>
  <c r="H48" i="11"/>
  <c r="G48" i="11"/>
  <c r="L47" i="11"/>
  <c r="K47" i="11"/>
  <c r="J47" i="11"/>
  <c r="G47" i="11"/>
  <c r="L46" i="11"/>
  <c r="K46" i="11"/>
  <c r="J46" i="11"/>
  <c r="H46" i="11"/>
  <c r="G46" i="11"/>
  <c r="L45" i="11"/>
  <c r="J45" i="11"/>
  <c r="H45" i="11"/>
  <c r="G45" i="11"/>
  <c r="L44" i="11"/>
  <c r="K44" i="11"/>
  <c r="J44" i="11"/>
  <c r="H44" i="11"/>
  <c r="G44" i="11"/>
  <c r="L43" i="11"/>
  <c r="K43" i="11"/>
  <c r="J43" i="11"/>
  <c r="G43" i="11"/>
  <c r="L42" i="11"/>
  <c r="K42" i="11"/>
  <c r="J42" i="11"/>
  <c r="H42" i="11"/>
  <c r="L41" i="11"/>
  <c r="K41" i="11"/>
  <c r="J41" i="11"/>
  <c r="G16" i="3"/>
  <c r="K35" i="11"/>
  <c r="F16" i="3" s="1"/>
  <c r="J35" i="11"/>
  <c r="E16" i="3" s="1"/>
  <c r="D16" i="3"/>
  <c r="G35" i="11"/>
  <c r="B16" i="3" s="1"/>
  <c r="G15" i="3"/>
  <c r="K34" i="11"/>
  <c r="F15" i="3" s="1"/>
  <c r="J34" i="11"/>
  <c r="E15" i="3" s="1"/>
  <c r="D15" i="3"/>
  <c r="C15" i="3"/>
  <c r="G34" i="11"/>
  <c r="B15" i="3" s="1"/>
  <c r="G14" i="3"/>
  <c r="K33" i="11"/>
  <c r="F14" i="3" s="1"/>
  <c r="J33" i="11"/>
  <c r="E14" i="3" s="1"/>
  <c r="D14" i="3"/>
  <c r="C14" i="3"/>
  <c r="G33" i="11"/>
  <c r="B14" i="3" s="1"/>
  <c r="G13" i="3"/>
  <c r="K32" i="11"/>
  <c r="F13" i="3" s="1"/>
  <c r="E13" i="3"/>
  <c r="D13" i="3"/>
  <c r="C13" i="3"/>
  <c r="G32" i="11"/>
  <c r="B13" i="3" s="1"/>
  <c r="P24" i="11"/>
  <c r="R24" i="11" s="1"/>
  <c r="P23" i="11"/>
  <c r="R23" i="11" s="1"/>
  <c r="P22" i="11"/>
  <c r="R22" i="11" s="1"/>
  <c r="P21" i="11"/>
  <c r="R21" i="11" s="1"/>
  <c r="P20" i="11"/>
  <c r="R20" i="11" s="1"/>
  <c r="P19" i="11"/>
  <c r="R19" i="11" s="1"/>
  <c r="P18" i="11"/>
  <c r="R18" i="11" s="1"/>
  <c r="P17" i="11"/>
  <c r="R17" i="11" s="1"/>
  <c r="P16" i="11"/>
  <c r="R16" i="11" s="1"/>
  <c r="B15" i="8"/>
  <c r="C15" i="8" s="1"/>
  <c r="P15" i="11"/>
  <c r="R15" i="11" s="1"/>
  <c r="Q14" i="11"/>
  <c r="P14" i="11"/>
  <c r="R14" i="11" s="1"/>
  <c r="Q13" i="11"/>
  <c r="P13" i="11"/>
  <c r="R13" i="11" s="1"/>
  <c r="Q12" i="11"/>
  <c r="P12" i="11"/>
  <c r="R12" i="11" s="1"/>
  <c r="Q11" i="11"/>
  <c r="P11" i="11"/>
  <c r="R11" i="11" s="1"/>
  <c r="Q10" i="11"/>
  <c r="P10" i="11"/>
  <c r="R10" i="11" s="1"/>
  <c r="Q9" i="11"/>
  <c r="P9" i="11"/>
  <c r="R9" i="11" s="1"/>
  <c r="Q8" i="11"/>
  <c r="P8" i="11"/>
  <c r="R8" i="11" s="1"/>
  <c r="Q7" i="11"/>
  <c r="P7" i="11"/>
  <c r="R7" i="11" s="1"/>
  <c r="Q6" i="11"/>
  <c r="B3" i="9"/>
  <c r="B4" i="9"/>
  <c r="B5" i="9"/>
  <c r="B6" i="9"/>
  <c r="B2" i="9"/>
  <c r="B6" i="7"/>
  <c r="B5" i="7"/>
  <c r="B4" i="7"/>
  <c r="B3" i="7"/>
  <c r="B2" i="7"/>
  <c r="B6" i="8"/>
  <c r="B5" i="8"/>
  <c r="B4" i="8"/>
  <c r="B3" i="8"/>
  <c r="B2" i="8"/>
  <c r="D33" i="6"/>
  <c r="D32" i="6"/>
  <c r="D35" i="6"/>
  <c r="D36" i="6" s="1"/>
  <c r="D28" i="6"/>
  <c r="D30" i="6"/>
  <c r="D29" i="6"/>
  <c r="C33" i="6"/>
  <c r="C32" i="6"/>
  <c r="C30" i="6"/>
  <c r="C29" i="6"/>
  <c r="C28" i="6"/>
  <c r="B33" i="6"/>
  <c r="B32" i="6"/>
  <c r="B30" i="6"/>
  <c r="B29" i="6"/>
  <c r="B28" i="6"/>
  <c r="D17" i="6"/>
  <c r="D18" i="6"/>
  <c r="D16" i="6"/>
  <c r="Q16" i="11" l="1"/>
  <c r="B16" i="8"/>
  <c r="C16" i="8" s="1"/>
  <c r="Q20" i="11"/>
  <c r="C15" i="9"/>
  <c r="Q24" i="11"/>
  <c r="B19" i="9"/>
  <c r="C19" i="9" s="1"/>
  <c r="Q17" i="11"/>
  <c r="B17" i="8"/>
  <c r="C17" i="8" s="1"/>
  <c r="Q19" i="11"/>
  <c r="B19" i="8"/>
  <c r="C19" i="8" s="1"/>
  <c r="Q21" i="11"/>
  <c r="B16" i="9"/>
  <c r="C16" i="9" s="1"/>
  <c r="Q23" i="11"/>
  <c r="B18" i="9"/>
  <c r="C18" i="9" s="1"/>
  <c r="B4" i="3"/>
  <c r="G12" i="3"/>
  <c r="B8" i="3"/>
  <c r="B18" i="5"/>
  <c r="C18" i="5" s="1"/>
  <c r="B19" i="7"/>
  <c r="C19" i="7" s="1"/>
  <c r="P6" i="11"/>
  <c r="R6" i="11" s="1"/>
  <c r="D12" i="3"/>
  <c r="B5" i="3"/>
  <c r="B17" i="5"/>
  <c r="C17" i="5" s="1"/>
  <c r="B18" i="7"/>
  <c r="C18" i="7" s="1"/>
  <c r="E12" i="3"/>
  <c r="B6" i="3"/>
  <c r="C16" i="5"/>
  <c r="B17" i="7"/>
  <c r="C17" i="7" s="1"/>
  <c r="Q18" i="11"/>
  <c r="B18" i="8"/>
  <c r="C18" i="8" s="1"/>
  <c r="Q22" i="11"/>
  <c r="B17" i="9"/>
  <c r="C17" i="9" s="1"/>
  <c r="B12" i="3"/>
  <c r="F12" i="3"/>
  <c r="B7" i="3"/>
  <c r="B19" i="5"/>
  <c r="C19" i="5" s="1"/>
  <c r="B15" i="7"/>
  <c r="C15" i="7" s="1"/>
  <c r="B16" i="7"/>
  <c r="C16" i="7" s="1"/>
  <c r="Q5" i="11"/>
  <c r="Q15" i="11"/>
  <c r="C35" i="6"/>
  <c r="C36" i="6" s="1"/>
  <c r="B35" i="6"/>
  <c r="B36" i="6" s="1"/>
  <c r="B38" i="6" s="1"/>
  <c r="I12" i="3" l="1"/>
  <c r="C38" i="6"/>
  <c r="D38" i="6"/>
  <c r="M26" i="11" l="1"/>
  <c r="M27" i="11" s="1"/>
  <c r="P5" i="11"/>
  <c r="R5" i="11" s="1"/>
  <c r="H80"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thomas</author>
    <author>tc={DA4EDFB0-0F98-4C77-9999-AB91D5D5260E}</author>
    <author>tc={C44722B0-397D-4F32-8920-57F2DFA7EB02}</author>
    <author>tc={788BC595-A4BE-475B-AD0C-032D6EC12222}</author>
    <author>tc={B8152ED0-172B-4CEA-9140-D2E7D5E8FEDA}</author>
  </authors>
  <commentList>
    <comment ref="R1" authorId="0" shapeId="0" xr:uid="{B491812F-9535-4E8D-AE78-726F22CE1279}">
      <text>
        <r>
          <rPr>
            <b/>
            <sz val="9"/>
            <color indexed="81"/>
            <rFont val="Tahoma"/>
            <family val="2"/>
          </rPr>
          <t>thomas:</t>
        </r>
        <r>
          <rPr>
            <sz val="9"/>
            <color indexed="81"/>
            <rFont val="Tahoma"/>
            <family val="2"/>
          </rPr>
          <t xml:space="preserve">
Deze moet verschillen per stedelijkheid graad 
</t>
        </r>
      </text>
    </comment>
    <comment ref="A46" authorId="1" shapeId="0" xr:uid="{DA4EDFB0-0F98-4C77-9999-AB91D5D5260E}">
      <text>
        <t>[Threaded comment]
Your version of Excel allows you to read this threaded comment; however, any edits to it will get removed if the file is opened in a newer version of Excel. Learn more: https://go.microsoft.com/fwlink/?linkid=870924
Comment:
    gegevens moeten kloppend gemaakt worden voor de nieuwe afstandklasse. dit geld voor de laatse twee.</t>
      </text>
    </comment>
    <comment ref="B47" authorId="2" shapeId="0" xr:uid="{C44722B0-397D-4F32-8920-57F2DFA7EB02}">
      <text>
        <t>[Threaded comment]
Your version of Excel allows you to read this threaded comment; however, any edits to it will get removed if the file is opened in a newer version of Excel. Learn more: https://go.microsoft.com/fwlink/?linkid=870924
Comment:
    eigen data voor vinden</t>
      </text>
    </comment>
    <comment ref="A58" authorId="0" shapeId="0" xr:uid="{50EF2920-1E7E-49E3-8F06-410C806E294A}">
      <text>
        <r>
          <rPr>
            <b/>
            <sz val="9"/>
            <color indexed="81"/>
            <rFont val="Tahoma"/>
            <family val="2"/>
          </rPr>
          <t>thomas:</t>
        </r>
        <r>
          <rPr>
            <sz val="9"/>
            <color indexed="81"/>
            <rFont val="Tahoma"/>
            <family val="2"/>
          </rPr>
          <t xml:space="preserve">
Deze moet verschillen per stedelijkheid graad 
</t>
        </r>
      </text>
    </comment>
    <comment ref="B58" authorId="3" shapeId="0" xr:uid="{788BC595-A4BE-475B-AD0C-032D6EC12222}">
      <text>
        <t>[Threaded comment]
Your version of Excel allows you to read this threaded comment; however, any edits to it will get removed if the file is opened in a newer version of Excel. Learn more: https://go.microsoft.com/fwlink/?linkid=870924
Comment:
    Voor korte trips is de voor na transport tijd relatief kort. ivm met de hoge mate van bus/tram/metro gebruik en achtereenvolgens de netwerk dichtheid van deze modaliteiten. Bij langere afstanden waarbij veelal de trein gebruikt wordt neemt de voor en na transoirt tijd aanzienelijk toe. evenals de wachttijd.</t>
      </text>
    </comment>
    <comment ref="K58" authorId="4" shapeId="0" xr:uid="{B8152ED0-172B-4CEA-9140-D2E7D5E8FEDA}">
      <text>
        <t>[Threaded comment]
Your version of Excel allows you to read this threaded comment; however, any edits to it will get removed if the file is opened in a newer version of Excel. Learn more: https://go.microsoft.com/fwlink/?linkid=870924
Comment:
    verschilt per area type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tc={74D79D5A-5427-4682-AABC-7F572418874D}</author>
    <author>tc={B2D67FBA-DDE3-43AC-8665-8B9385AF77A1}</author>
  </authors>
  <commentList>
    <comment ref="A2" authorId="0" shapeId="0" xr:uid="{74D79D5A-5427-4682-AABC-7F572418874D}">
      <text>
        <t>[Threaded comment]
Your version of Excel allows you to read this threaded comment; however, any edits to it will get removed if the file is opened in a newer version of Excel. Learn more: https://go.microsoft.com/fwlink/?linkid=870924
Comment:
    gegevens moeten kloppend gemaakt worden voor de nieuwe afstandklasse. dit geld voor de laatse twee.</t>
      </text>
    </comment>
    <comment ref="B3" authorId="1" shapeId="0" xr:uid="{B2D67FBA-DDE3-43AC-8665-8B9385AF77A1}">
      <text>
        <t>[Threaded comment]
Your version of Excel allows you to read this threaded comment; however, any edits to it will get removed if the file is opened in a newer version of Excel. Learn more: https://go.microsoft.com/fwlink/?linkid=870924
Comment:
    eigen data voor vinden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tc={BC4237EA-552E-46DC-B423-A9A12A376943}</author>
    <author>tc={98CAFF58-3E7A-42D0-A9F2-8CC68A679CC2}</author>
  </authors>
  <commentList>
    <comment ref="B5" authorId="0" shapeId="0" xr:uid="{BC4237EA-552E-46DC-B423-A9A12A376943}">
      <text>
        <t>[Threaded comment]
Your version of Excel allows you to read this threaded comment; however, any edits to it will get removed if the file is opened in a newer version of Excel. Learn more: https://go.microsoft.com/fwlink/?linkid=870924
Comment:
    eigen data voor vinden</t>
      </text>
    </comment>
    <comment ref="A128" authorId="1" shapeId="0" xr:uid="{98CAFF58-3E7A-42D0-A9F2-8CC68A679CC2}">
      <text>
        <t>[Threaded comment]
Your version of Excel allows you to read this threaded comment; however, any edits to it will get removed if the file is opened in a newer version of Excel. Learn more: https://go.microsoft.com/fwlink/?linkid=870924
Comment:
    Verkeerde volgorde van de motieven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tc={7276536B-62E9-4788-974F-8F700A7D499D}</author>
    <author>tc={48EFFCAB-E795-4F4E-A678-E9A8F6F0F2DA}</author>
  </authors>
  <commentList>
    <comment ref="B5" authorId="0" shapeId="0" xr:uid="{7276536B-62E9-4788-974F-8F700A7D499D}">
      <text>
        <t>[Threaded comment]
Your version of Excel allows you to read this threaded comment; however, any edits to it will get removed if the file is opened in a newer version of Excel. Learn more: https://go.microsoft.com/fwlink/?linkid=870924
Comment:
    eigen data voor vinden</t>
      </text>
    </comment>
    <comment ref="A128" authorId="1" shapeId="0" xr:uid="{48EFFCAB-E795-4F4E-A678-E9A8F6F0F2DA}">
      <text>
        <t>[Threaded comment]
Your version of Excel allows you to read this threaded comment; however, any edits to it will get removed if the file is opened in a newer version of Excel. Learn more: https://go.microsoft.com/fwlink/?linkid=870924
Comment:
    Verkeerde volgorde van de motieven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tc={7652AD27-E63D-4DF0-8110-84D4763DB8D2}</author>
  </authors>
  <commentList>
    <comment ref="AC10" authorId="0" shapeId="0" xr:uid="{7652AD27-E63D-4DF0-8110-84D4763DB8D2}">
      <text>
        <t>[Threaded comment]
Your version of Excel allows you to read this threaded comment; however, any edits to it will get removed if the file is opened in a newer version of Excel. Learn more: https://go.microsoft.com/fwlink/?linkid=870924
Comment:
    Deze dus eventueel gebruiken voor ijken van octavcius waarde naar lopen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tc={881B4460-0884-4B60-9B53-3E8FFD738478}</author>
    <author>tc={55661212-E68C-4019-B58C-327C1E8A59F6}</author>
    <author>thomas</author>
    <author>tc={D4B1ABAE-D642-467B-BF98-4FDD71D388F1}</author>
    <author>tc={2FACB169-43E4-4BE5-BF8C-E689614DC7BC}</author>
  </authors>
  <commentList>
    <comment ref="A2" authorId="0" shapeId="0" xr:uid="{881B4460-0884-4B60-9B53-3E8FFD738478}">
      <text>
        <t>[Threaded comment]
Your version of Excel allows you to read this threaded comment; however, any edits to it will get removed if the file is opened in a newer version of Excel. Learn more: https://go.microsoft.com/fwlink/?linkid=870924
Comment:
    gegevens moeten kloppend gemaakt worden voor de nieuwe afstandklasse. dit geld voor de laatse twee.</t>
      </text>
    </comment>
    <comment ref="B3" authorId="1" shapeId="0" xr:uid="{55661212-E68C-4019-B58C-327C1E8A59F6}">
      <text>
        <t>[Threaded comment]
Your version of Excel allows you to read this threaded comment; however, any edits to it will get removed if the file is opened in a newer version of Excel. Learn more: https://go.microsoft.com/fwlink/?linkid=870924
Comment:
    eigen data voor vinden</t>
      </text>
    </comment>
    <comment ref="A14" authorId="2" shapeId="0" xr:uid="{263C52C4-6CBA-4B35-B15F-9A803D17D09D}">
      <text>
        <r>
          <rPr>
            <b/>
            <sz val="9"/>
            <color indexed="81"/>
            <rFont val="Tahoma"/>
            <family val="2"/>
          </rPr>
          <t>thomas:</t>
        </r>
        <r>
          <rPr>
            <sz val="9"/>
            <color indexed="81"/>
            <rFont val="Tahoma"/>
            <family val="2"/>
          </rPr>
          <t xml:space="preserve">
Deze moet verschillen per stedelijkheid graad 
</t>
        </r>
      </text>
    </comment>
    <comment ref="B14" authorId="3" shapeId="0" xr:uid="{D4B1ABAE-D642-467B-BF98-4FDD71D388F1}">
      <text>
        <t>[Threaded comment]
Your version of Excel allows you to read this threaded comment; however, any edits to it will get removed if the file is opened in a newer version of Excel. Learn more: https://go.microsoft.com/fwlink/?linkid=870924
Comment:
    Voor korte trips is de voor na transport tijd relatief kort. ivm met de hoge mate van bus/tram/metro gebruik en achtereenvolgens de netwerk dichtheid van deze modaliteiten. Bij langere afstanden waarbij veelal de trein gebruikt wordt neemt de voor en na transoirt tijd aanzienelijk toe. evenals de wachttijd.</t>
      </text>
    </comment>
    <comment ref="K14" authorId="4" shapeId="0" xr:uid="{2FACB169-43E4-4BE5-BF8C-E689614DC7BC}">
      <text>
        <t>[Threaded comment]
Your version of Excel allows you to read this threaded comment; however, any edits to it will get removed if the file is opened in a newer version of Excel. Learn more: https://go.microsoft.com/fwlink/?linkid=870924
Comment:
    verschilt per area type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<sst xmlns="http://schemas.openxmlformats.org/spreadsheetml/2006/main" count="2861" uniqueCount="903">
  <si>
    <t>Trips base year short</t>
  </si>
  <si>
    <t>Trips base year middelkort</t>
  </si>
  <si>
    <t>Trips base year middellang</t>
  </si>
  <si>
    <t>Trips base year long</t>
  </si>
  <si>
    <t>Car</t>
  </si>
  <si>
    <t>Bicycle</t>
  </si>
  <si>
    <t>PT</t>
  </si>
  <si>
    <t>HB matrix</t>
  </si>
  <si>
    <t xml:space="preserve">trips HB per motive per afstand. </t>
  </si>
  <si>
    <t xml:space="preserve">Trips kort </t>
  </si>
  <si>
    <t>Beta TT car</t>
  </si>
  <si>
    <t>Beta TC car</t>
  </si>
  <si>
    <t>Beta TT PT</t>
  </si>
  <si>
    <t>Beta TC PT</t>
  </si>
  <si>
    <t>Beta TT Bicycle</t>
  </si>
  <si>
    <t>ASC Car</t>
  </si>
  <si>
    <t>ASC PT</t>
  </si>
  <si>
    <t>ASC bicycle</t>
  </si>
  <si>
    <t>Travel time car</t>
  </si>
  <si>
    <t>Travel cost car</t>
  </si>
  <si>
    <t>travel time PT</t>
  </si>
  <si>
    <t>travel cost PT</t>
  </si>
  <si>
    <t>Gemiddelde ritlenge [km]</t>
  </si>
  <si>
    <t>Beta access/ egress</t>
  </si>
  <si>
    <t>Beta invehicle</t>
  </si>
  <si>
    <t xml:space="preserve">initial number of trips </t>
  </si>
  <si>
    <t xml:space="preserve">trips </t>
  </si>
  <si>
    <t>initial modal split</t>
  </si>
  <si>
    <t>car</t>
  </si>
  <si>
    <t>Pt</t>
  </si>
  <si>
    <t>bicycle</t>
  </si>
  <si>
    <t>initial trip distribution</t>
  </si>
  <si>
    <t>utility functions</t>
  </si>
  <si>
    <t>u = exp (V)</t>
  </si>
  <si>
    <t>Car(V)</t>
  </si>
  <si>
    <t>Beta TT</t>
  </si>
  <si>
    <t>TT</t>
  </si>
  <si>
    <t>Beta TC</t>
  </si>
  <si>
    <t>TC</t>
  </si>
  <si>
    <t>v =ASC +  betaTT * TT + betaTC *TC</t>
  </si>
  <si>
    <t>ASC car</t>
  </si>
  <si>
    <t>Bike</t>
  </si>
  <si>
    <t>travel time bike</t>
  </si>
  <si>
    <t>travel cost bike</t>
  </si>
  <si>
    <t>Beta TC bicycel</t>
  </si>
  <si>
    <t>V</t>
  </si>
  <si>
    <t>U = exp(V)</t>
  </si>
  <si>
    <t>Pcar</t>
  </si>
  <si>
    <t xml:space="preserve">P </t>
  </si>
  <si>
    <t>Time</t>
  </si>
  <si>
    <t>Aantal ritten begin-jaar [ander motief]</t>
  </si>
  <si>
    <t>Aantal ritten begin-jaar [onderwijs]</t>
  </si>
  <si>
    <t>Aantal ritten begin-jaar [sociaal recreatief]</t>
  </si>
  <si>
    <t>Aantal ritten begin-jaar [winkelen en persoonlijke verzorging]</t>
  </si>
  <si>
    <t>Aantal ritten begin-jaar [woon werk]</t>
  </si>
  <si>
    <t>tot 7.5 km</t>
  </si>
  <si>
    <t>7.5 - 15 km</t>
  </si>
  <si>
    <t>Bron</t>
  </si>
  <si>
    <t>Afstandklasse</t>
  </si>
  <si>
    <t>Afstand weging</t>
  </si>
  <si>
    <t>ODiN</t>
  </si>
  <si>
    <t>Weging</t>
  </si>
  <si>
    <t>Aanname</t>
  </si>
  <si>
    <t xml:space="preserve">9292 dienstregeling </t>
  </si>
  <si>
    <t>Aanname vervoersmiddel per afstandklasse</t>
  </si>
  <si>
    <t>bus</t>
  </si>
  <si>
    <t>metro</t>
  </si>
  <si>
    <t>sprinter</t>
  </si>
  <si>
    <t>intercity</t>
  </si>
  <si>
    <t>Snelheid fietsen [km/u]</t>
  </si>
  <si>
    <t>beta parkeerkosten auto winkelen &amp; persoonlijke verzorging</t>
  </si>
  <si>
    <t>ASC</t>
  </si>
  <si>
    <t>afstandklasse</t>
  </si>
  <si>
    <t>auto</t>
  </si>
  <si>
    <t>fiets</t>
  </si>
  <si>
    <t>ander motief</t>
  </si>
  <si>
    <t>korte trips</t>
  </si>
  <si>
    <t>middelkorte trips</t>
  </si>
  <si>
    <t>middellange trips</t>
  </si>
  <si>
    <t>lange trips</t>
  </si>
  <si>
    <t>onderwijs</t>
  </si>
  <si>
    <t>sociaal recreatief</t>
  </si>
  <si>
    <t>winkelen &amp; persoonlijke verzorging</t>
  </si>
  <si>
    <t>woon-werk</t>
  </si>
  <si>
    <t xml:space="preserve">days </t>
  </si>
  <si>
    <t>days</t>
  </si>
  <si>
    <t>old / year</t>
  </si>
  <si>
    <t>year</t>
  </si>
  <si>
    <t>Time (year)</t>
  </si>
  <si>
    <t>Time (day)</t>
  </si>
  <si>
    <t>Modal split alle trips</t>
  </si>
  <si>
    <t>Verdeling korte trips</t>
  </si>
  <si>
    <t>Verdeling middelkorte trips</t>
  </si>
  <si>
    <t>Verdeling middellange trips</t>
  </si>
  <si>
    <t>Verdeling lange trips</t>
  </si>
  <si>
    <t>afstandklasse nieuw</t>
  </si>
  <si>
    <t>Motief</t>
  </si>
  <si>
    <t xml:space="preserve">Initial modal split </t>
  </si>
  <si>
    <t>VoT  = B_TT/ B_TC</t>
  </si>
  <si>
    <t xml:space="preserve">geen robuste data. </t>
  </si>
  <si>
    <t>VoT</t>
  </si>
  <si>
    <t>PT sociaal recreatief</t>
  </si>
  <si>
    <t>PT Winkelen</t>
  </si>
  <si>
    <t xml:space="preserve">aantal HB matrices = 5 (motieven) * 4(afstandsklasse) * 4(modaliteiten)  = 80 matrices </t>
  </si>
  <si>
    <t>auto onderwijs</t>
  </si>
  <si>
    <t xml:space="preserve">auto sociaal recreatief </t>
  </si>
  <si>
    <t xml:space="preserve">auto winkelen </t>
  </si>
  <si>
    <t>auto woon werk</t>
  </si>
  <si>
    <t xml:space="preserve">Per modality </t>
  </si>
  <si>
    <t>per dist class</t>
  </si>
  <si>
    <t xml:space="preserve">per urbanization </t>
  </si>
  <si>
    <t xml:space="preserve">very highly urban </t>
  </si>
  <si>
    <t xml:space="preserve">highly urban </t>
  </si>
  <si>
    <t>moderately urban</t>
  </si>
  <si>
    <t>little urban</t>
  </si>
  <si>
    <t>none urban</t>
  </si>
  <si>
    <t>per travel motive</t>
  </si>
  <si>
    <t>trips HB per motive per afstand. </t>
  </si>
  <si>
    <t>1:hoog  stedlijk</t>
  </si>
  <si>
    <t>2: stedelijk </t>
  </si>
  <si>
    <t>3: non stedelijk</t>
  </si>
  <si>
    <t>4: business</t>
  </si>
  <si>
    <t>5: landelijk</t>
  </si>
  <si>
    <t>Trips short , educational</t>
  </si>
  <si>
    <t>766125235.9</t>
  </si>
  <si>
    <t>7.66E+08</t>
  </si>
  <si>
    <t>1.03E+09</t>
  </si>
  <si>
    <t>2.38E+09</t>
  </si>
  <si>
    <t>2.32E+09</t>
  </si>
  <si>
    <t>1.25E+09</t>
  </si>
  <si>
    <t>Trips short , home work</t>
  </si>
  <si>
    <t>kilometer prijs auto</t>
  </si>
  <si>
    <t>154.5</t>
  </si>
  <si>
    <t>193.5</t>
  </si>
  <si>
    <t>260.5</t>
  </si>
  <si>
    <t>euro</t>
  </si>
  <si>
    <t>9000.0</t>
  </si>
  <si>
    <t>10000.0</t>
  </si>
  <si>
    <t>11500.0</t>
  </si>
  <si>
    <t>km</t>
  </si>
  <si>
    <t>Kilometerprijs totale kosten</t>
  </si>
  <si>
    <t>Kilometerprijs alleen variabele kosten</t>
  </si>
  <si>
    <t>19.9</t>
  </si>
  <si>
    <t>21.9</t>
  </si>
  <si>
    <t>23.1</t>
  </si>
  <si>
    <t>28.8</t>
  </si>
  <si>
    <t>vaste  kosten km price</t>
  </si>
  <si>
    <t>21.1</t>
  </si>
  <si>
    <t>26.9</t>
  </si>
  <si>
    <t>43.2</t>
  </si>
  <si>
    <t>cent /km</t>
  </si>
  <si>
    <t>euro / km</t>
  </si>
  <si>
    <t>0.211</t>
  </si>
  <si>
    <t>0.231</t>
  </si>
  <si>
    <t>0.269</t>
  </si>
  <si>
    <t>0.432</t>
  </si>
  <si>
    <t>0.28575</t>
  </si>
  <si>
    <t xml:space="preserve">test km prijs auto </t>
  </si>
  <si>
    <t>Table 5: No. of movements (New motive/ new dist class)</t>
  </si>
  <si>
    <t/>
  </si>
  <si>
    <t>Hoofdvervoermiddelklasse verplaatsing</t>
  </si>
  <si>
    <t>personenauto totaal</t>
  </si>
  <si>
    <t>Trein</t>
  </si>
  <si>
    <t>Bus/tram/metro</t>
  </si>
  <si>
    <t>Fiets</t>
  </si>
  <si>
    <t>Te voet</t>
  </si>
  <si>
    <t>Overig</t>
  </si>
  <si>
    <t>car, ov, bike</t>
  </si>
  <si>
    <t xml:space="preserve">totale verplaatsingen </t>
  </si>
  <si>
    <t>delta</t>
  </si>
  <si>
    <t>delta tot</t>
  </si>
  <si>
    <t>Count</t>
  </si>
  <si>
    <t>Verplaatsingsafstandsklasse in Nederland</t>
  </si>
  <si>
    <t>Short trips</t>
  </si>
  <si>
    <t>Klassenindeling motief</t>
  </si>
  <si>
    <t>Commuting</t>
  </si>
  <si>
    <t>Educational</t>
  </si>
  <si>
    <t>Recreational</t>
  </si>
  <si>
    <t>Shopping personal care</t>
  </si>
  <si>
    <t>Other</t>
  </si>
  <si>
    <t>Middleshort trips</t>
  </si>
  <si>
    <t>Middlelong trips</t>
  </si>
  <si>
    <t>Long trips</t>
  </si>
  <si>
    <t>total car, ov, bike</t>
  </si>
  <si>
    <t>distributions</t>
  </si>
  <si>
    <t xml:space="preserve">Door het gebruik van distribution wordt de data omgezet naar </t>
  </si>
  <si>
    <t>train</t>
  </si>
  <si>
    <t>BTM</t>
  </si>
  <si>
    <t>walking</t>
  </si>
  <si>
    <t xml:space="preserve">other </t>
  </si>
  <si>
    <t xml:space="preserve">modal split alle trips </t>
  </si>
  <si>
    <t xml:space="preserve">distribution all trips </t>
  </si>
  <si>
    <t xml:space="preserve">modal split per distance class </t>
  </si>
  <si>
    <t>distribution short trips</t>
  </si>
  <si>
    <t>distribution middleshort</t>
  </si>
  <si>
    <t>distribution middlelong</t>
  </si>
  <si>
    <t>distribution long trips</t>
  </si>
  <si>
    <t xml:space="preserve">modal split per travel motive </t>
  </si>
  <si>
    <t xml:space="preserve">Distance class </t>
  </si>
  <si>
    <t>Motive</t>
  </si>
  <si>
    <t>Shopping &amp; personal care</t>
  </si>
  <si>
    <t>OLD</t>
  </si>
  <si>
    <t>Number of trips base year [commuting]</t>
  </si>
  <si>
    <t>Number of trips base year [educational]</t>
  </si>
  <si>
    <t>Number of trips base year [recreational]</t>
  </si>
  <si>
    <t>Number of trips base year [shopping &amp; personal care ]</t>
  </si>
  <si>
    <t>Number of trips base year [other]</t>
  </si>
  <si>
    <t>Train</t>
  </si>
  <si>
    <t xml:space="preserve">walking </t>
  </si>
  <si>
    <t>overig</t>
  </si>
  <si>
    <t>Other motive</t>
  </si>
  <si>
    <t>other</t>
  </si>
  <si>
    <t>other motive</t>
  </si>
  <si>
    <t>educational</t>
  </si>
  <si>
    <t>recreational</t>
  </si>
  <si>
    <t>shopping personal care</t>
  </si>
  <si>
    <t>commuting</t>
  </si>
  <si>
    <t>travel motive</t>
  </si>
  <si>
    <t>betas voor commuting and educational seem also needed for accurate representation; due to the fact that not everybody travels to work and school for free</t>
  </si>
  <si>
    <t>verplaatsingen</t>
  </si>
  <si>
    <t>total</t>
  </si>
  <si>
    <t>total x miljoen</t>
  </si>
  <si>
    <t xml:space="preserve">total check </t>
  </si>
  <si>
    <t>Goudappel project data</t>
  </si>
  <si>
    <t xml:space="preserve">car, ov, bike </t>
  </si>
  <si>
    <t>percent afwjiking</t>
  </si>
  <si>
    <t>free flow reistijd auto [min]</t>
  </si>
  <si>
    <t>total in miljoen</t>
  </si>
  <si>
    <t>verdeling van de verschillende afstandklasse binnen modaliteiten.</t>
  </si>
  <si>
    <t>Table 6: No of movements (new motive / new dist class / urbananity)</t>
  </si>
  <si>
    <t>Stedelijkheidsklasse woongemeente</t>
  </si>
  <si>
    <t>Zeer sterk stedelijk</t>
  </si>
  <si>
    <t>Sterk stedelijk</t>
  </si>
  <si>
    <t>Matig stedelijk</t>
  </si>
  <si>
    <t>Weinig stedelijk</t>
  </si>
  <si>
    <t>Niet stedelijk</t>
  </si>
  <si>
    <t>tot</t>
  </si>
  <si>
    <t>15 - 40 km</t>
  </si>
  <si>
    <t>&gt; 40 km</t>
  </si>
  <si>
    <t>BTM reistijd acces/egress time [min]</t>
  </si>
  <si>
    <t>BTM reistijd [min]</t>
  </si>
  <si>
    <t>kilometerprijs trein(NS)</t>
  </si>
  <si>
    <t xml:space="preserve">kilometerprijd BTM (regionale vervoerders) </t>
  </si>
  <si>
    <t>urban regio</t>
  </si>
  <si>
    <t xml:space="preserve">initial distributions </t>
  </si>
  <si>
    <t>OV</t>
  </si>
  <si>
    <t>Test values</t>
  </si>
  <si>
    <t>calibrated?</t>
  </si>
  <si>
    <t>correct calibated?</t>
  </si>
  <si>
    <t xml:space="preserve">omzetten naar een matrix met x of y motief en afstand </t>
  </si>
  <si>
    <t>Walking</t>
  </si>
  <si>
    <t>reismotief</t>
  </si>
  <si>
    <t>Dashboard model ASC</t>
  </si>
  <si>
    <t>short trips</t>
  </si>
  <si>
    <t>middleshort  trips</t>
  </si>
  <si>
    <t>middlelong trips</t>
  </si>
  <si>
    <t>long trips</t>
  </si>
  <si>
    <t>Draaiknoppen van het model</t>
  </si>
  <si>
    <t>population</t>
  </si>
  <si>
    <t xml:space="preserve">Definier de look ups via excel </t>
  </si>
  <si>
    <r>
      <t>*</t>
    </r>
    <r>
      <rPr>
        <b/>
        <sz val="11"/>
        <color theme="1"/>
        <rFont val="Calibri"/>
        <family val="2"/>
        <scheme val="minor"/>
      </rPr>
      <t>only population 6 and above as in ODiN?</t>
    </r>
  </si>
  <si>
    <t xml:space="preserve">population </t>
  </si>
  <si>
    <t>subsidy ticketprice</t>
  </si>
  <si>
    <t>time</t>
  </si>
  <si>
    <t>euro/km</t>
  </si>
  <si>
    <t xml:space="preserve">orginieel population </t>
  </si>
  <si>
    <t>input Betas</t>
  </si>
  <si>
    <t xml:space="preserve">PT count </t>
  </si>
  <si>
    <t xml:space="preserve">Public transport </t>
  </si>
  <si>
    <t>BACKUP</t>
  </si>
  <si>
    <t>pt</t>
  </si>
  <si>
    <t>bike</t>
  </si>
  <si>
    <t>walk</t>
  </si>
  <si>
    <t>BACKUP+W38:W57</t>
  </si>
  <si>
    <t>BACKUP 2</t>
  </si>
  <si>
    <t>feitelijke reistijd auto [uur]</t>
  </si>
  <si>
    <t>free flow reistijd auto [uur]</t>
  </si>
  <si>
    <t>travel time free flow</t>
  </si>
  <si>
    <t>overige var auto kosten (onderhoud)</t>
  </si>
  <si>
    <t>WLO https://www.pbl.nl/sites/default/files/downloads/pbl-2020-actualisatie-invoer-wlo-autopark-mobiliteitsmodellen-2020-4326.pdf</t>
  </si>
  <si>
    <t xml:space="preserve">index </t>
  </si>
  <si>
    <t>PT(in-vehicle) reistijd opv dienstregeling [uur]</t>
  </si>
  <si>
    <t>OV(train) reistijd voor/natransport acess/egress time [uur]</t>
  </si>
  <si>
    <t>Snelheid lopen [km/h]</t>
  </si>
  <si>
    <t>Reistijd lopen [uur]</t>
  </si>
  <si>
    <t xml:space="preserve">vol tarief tweede klas </t>
  </si>
  <si>
    <t>vol</t>
  </si>
  <si>
    <t>korting</t>
  </si>
  <si>
    <t>bron: https://www.ns.nl/zakelijk/mobiliteitsadvies/kosten-besparen.html#:~:text=Naast%20de%20lagere%20prijs%20per,%E2%82%AC%200%2C12%20per%20km.</t>
  </si>
  <si>
    <t>Free flow speed auto [km/u]</t>
  </si>
  <si>
    <t>rest van het OV km tarief verschilt nog dees per regio. Source: https://www.ov-chipkaart.nl/zo-werkt-reizen/tarieven/kilometertarief.htm</t>
  </si>
  <si>
    <t>BMT in MRDH Basisinformatie tarieven openbaar vervoer: 0,147 (rotterdam) en 0,166(</t>
  </si>
  <si>
    <t>p. 2 = km prijs inclusief basis tarief (avg = 0.3?)</t>
  </si>
  <si>
    <t>berekenign reistijd [uur]</t>
  </si>
  <si>
    <t xml:space="preserve">gemiddelde fietsnelgheid fietserbpond https://www.fietsersbond.nl/ons-werk/mobiliteit/fietsen-cijfers/  </t>
  </si>
  <si>
    <t>Reistijd fietsen [uur]= s/t</t>
  </si>
  <si>
    <t>loopsnelheid is uniform 5 (km/h) bron: https://mrdh.nl/sites/default/files/documents/rapport_verkeersmodel_mrdh_2.0_-_001594.20181026.r1.02.pdf</t>
  </si>
  <si>
    <t xml:space="preserve">Data in de correcte volgorde </t>
  </si>
  <si>
    <t>verplaatsingen per motief</t>
  </si>
  <si>
    <t>totaal verplaatsingen (= no. Of agents)</t>
  </si>
  <si>
    <t>totaal kort</t>
  </si>
  <si>
    <t xml:space="preserve">per afstandsklasse </t>
  </si>
  <si>
    <t xml:space="preserve">originele Verplaatsingsdata </t>
  </si>
  <si>
    <t>totaal per afstand</t>
  </si>
  <si>
    <t xml:space="preserve">Short trips </t>
  </si>
  <si>
    <t>Berekening PT (btm +train)</t>
  </si>
  <si>
    <t>back up vrpl (ov,bike,car,walk)</t>
  </si>
  <si>
    <t xml:space="preserve">Alleen walk momenteel </t>
  </si>
  <si>
    <t xml:space="preserve">per urban region </t>
  </si>
  <si>
    <t>TOTAAL</t>
  </si>
  <si>
    <t>check of de totale wel kloppen</t>
  </si>
  <si>
    <t>short</t>
  </si>
  <si>
    <t xml:space="preserve">klopt </t>
  </si>
  <si>
    <t>middleshort</t>
  </si>
  <si>
    <t>middlelong</t>
  </si>
  <si>
    <t>long</t>
  </si>
  <si>
    <t xml:space="preserve">OD pair </t>
  </si>
  <si>
    <t xml:space="preserve">verschilleden OD paren </t>
  </si>
  <si>
    <t xml:space="preserve">HB matrix omgezet naar value op een od pair </t>
  </si>
  <si>
    <t xml:space="preserve"># movements </t>
  </si>
  <si>
    <t>1</t>
  </si>
  <si>
    <t>2</t>
  </si>
  <si>
    <t>3</t>
  </si>
  <si>
    <t>4</t>
  </si>
  <si>
    <t>5</t>
  </si>
  <si>
    <t>6</t>
  </si>
  <si>
    <t>7</t>
  </si>
  <si>
    <t>8</t>
  </si>
  <si>
    <t>9</t>
  </si>
  <si>
    <t>10</t>
  </si>
  <si>
    <t>11</t>
  </si>
  <si>
    <t>12</t>
  </si>
  <si>
    <t>13</t>
  </si>
  <si>
    <t>14</t>
  </si>
  <si>
    <t>15</t>
  </si>
  <si>
    <t>16</t>
  </si>
  <si>
    <t>17</t>
  </si>
  <si>
    <t>18</t>
  </si>
  <si>
    <t>19</t>
  </si>
  <si>
    <t>20</t>
  </si>
  <si>
    <t>21</t>
  </si>
  <si>
    <t>22</t>
  </si>
  <si>
    <t>23</t>
  </si>
  <si>
    <t>24</t>
  </si>
  <si>
    <t>25</t>
  </si>
  <si>
    <t>#</t>
  </si>
  <si>
    <t>OD</t>
  </si>
  <si>
    <t>zonder uitsplisting in motieven en dergelijke</t>
  </si>
  <si>
    <t>OD matrix ZH</t>
  </si>
  <si>
    <t>Zeersterkstedelijk</t>
  </si>
  <si>
    <t>Sterkstedelijk</t>
  </si>
  <si>
    <t>Matigstedelijk</t>
  </si>
  <si>
    <t>Weinigstedelijk</t>
  </si>
  <si>
    <t>Nietstedelijk</t>
  </si>
  <si>
    <t>Vertrek_gemeente_stedelijkheid</t>
  </si>
  <si>
    <t>DEST</t>
  </si>
  <si>
    <t>1_1</t>
  </si>
  <si>
    <t>1_2</t>
  </si>
  <si>
    <t>1_3</t>
  </si>
  <si>
    <t>1_4</t>
  </si>
  <si>
    <t>1_5</t>
  </si>
  <si>
    <t>2_1</t>
  </si>
  <si>
    <t>2_2</t>
  </si>
  <si>
    <t>2_3</t>
  </si>
  <si>
    <t>2_4</t>
  </si>
  <si>
    <t>2_5</t>
  </si>
  <si>
    <t>3_1</t>
  </si>
  <si>
    <t>3_2</t>
  </si>
  <si>
    <t>3_3</t>
  </si>
  <si>
    <t>3_4</t>
  </si>
  <si>
    <t>3_5</t>
  </si>
  <si>
    <t>4_1</t>
  </si>
  <si>
    <t>4_2</t>
  </si>
  <si>
    <t>4_3</t>
  </si>
  <si>
    <t>4_4</t>
  </si>
  <si>
    <t>4_5</t>
  </si>
  <si>
    <t>5_1</t>
  </si>
  <si>
    <t>5_2</t>
  </si>
  <si>
    <t>5_3</t>
  </si>
  <si>
    <t>5_4</t>
  </si>
  <si>
    <t>5_5</t>
  </si>
  <si>
    <t xml:space="preserve">vevrolg stap uitsplisten per subscript (motief, modaliteit) </t>
  </si>
  <si>
    <t xml:space="preserve">aka trip types </t>
  </si>
  <si>
    <t>Elke od pair is een trip type en elke trip type is een variabelen?</t>
  </si>
  <si>
    <t>city road</t>
  </si>
  <si>
    <t xml:space="preserve">semi city road </t>
  </si>
  <si>
    <t xml:space="preserve">rural road </t>
  </si>
  <si>
    <t xml:space="preserve">semi rural road </t>
  </si>
  <si>
    <t>ORIGIN</t>
  </si>
  <si>
    <t>Movements[ODtype1_4]</t>
  </si>
  <si>
    <t>Movements[ODtype1_5]</t>
  </si>
  <si>
    <t>Movements[ODtype 1_1]</t>
  </si>
  <si>
    <t>Movements[ODtype 1_2]</t>
  </si>
  <si>
    <t>Movements[ODtype 1_3]</t>
  </si>
  <si>
    <t>x mlj</t>
  </si>
  <si>
    <t>1: Zeersterkstedelijk</t>
  </si>
  <si>
    <t xml:space="preserve">provincial road </t>
  </si>
  <si>
    <t>deze uitbreiden voor mode en evenuteel motive en dist class</t>
  </si>
  <si>
    <t>Movements Car[ODtype 1_1]</t>
  </si>
  <si>
    <t>car,OV,bike</t>
  </si>
  <si>
    <t>agents</t>
  </si>
  <si>
    <t>agents met walk</t>
  </si>
  <si>
    <t>nieuwe input values [20-05]</t>
  </si>
  <si>
    <t>From data analysis in spss</t>
  </si>
  <si>
    <t>dist class</t>
  </si>
  <si>
    <t xml:space="preserve">afstandsweging </t>
  </si>
  <si>
    <t>weging (factorV)</t>
  </si>
  <si>
    <t>average distance</t>
  </si>
  <si>
    <t>up to 7,5</t>
  </si>
  <si>
    <t>7,5-15</t>
  </si>
  <si>
    <t>15-40</t>
  </si>
  <si>
    <t xml:space="preserve">40 above </t>
  </si>
  <si>
    <t>travel time free flow [uur]</t>
  </si>
  <si>
    <t>bus/tram/metro</t>
  </si>
  <si>
    <t>metro/sprinter</t>
  </si>
  <si>
    <t xml:space="preserve">variable cost PT </t>
  </si>
  <si>
    <t>formule voor afstand/tijd/snelheid</t>
  </si>
  <si>
    <t xml:space="preserve">fixed cost pt basistarief </t>
  </si>
  <si>
    <t>spss</t>
  </si>
  <si>
    <t xml:space="preserve">formule </t>
  </si>
  <si>
    <t>https://www.fietsersbond.nl/ons-werk/mobiliteit/fietsen-cijfers/</t>
  </si>
  <si>
    <t xml:space="preserve">gemiddelde fietsnelgheid fietserbpond: - gemiddels is 15.8 -inde stad licht date echter lager </t>
  </si>
  <si>
    <t>https://www.ns.nl/zakelijk/mobiliteitsadvies/kosten-besparen.html#:~:text=Naast%20de%20lagere%20prijs%20per,%E2%82%AC%200%2C12%20per%20km.</t>
  </si>
  <si>
    <t>0,2 vol</t>
  </si>
  <si>
    <t>0,12 korting</t>
  </si>
  <si>
    <t>source</t>
  </si>
  <si>
    <t xml:space="preserve"> https://www.ov-chipkaart.nl/zo-werkt-reizen/tarieven/kilometertarief.htm</t>
  </si>
  <si>
    <t>rest van het OV km tarief verschilt nog dees per regio</t>
  </si>
  <si>
    <t xml:space="preserve">Commerciele snelheid PT obv dienstrgeeling </t>
  </si>
  <si>
    <t xml:space="preserve">Aanname </t>
  </si>
  <si>
    <t>Bron zoeken</t>
  </si>
  <si>
    <t xml:space="preserve">WAARSCHIJNLIJK MAAKT DE VOLGORDE NIET UIT --&gt; VOOR DE VOLGENDE ITERTATIE </t>
  </si>
  <si>
    <t>STAAN verkeerd om; -- aanpassen in andere excel =</t>
  </si>
  <si>
    <t>bron voor de commerciele snelheden in cel b17: waaier van brogt</t>
  </si>
  <si>
    <t>Comerciele snelheden ov</t>
  </si>
  <si>
    <t>lokaal</t>
  </si>
  <si>
    <t>regionaal</t>
  </si>
  <si>
    <t>Bus</t>
  </si>
  <si>
    <t>tram</t>
  </si>
  <si>
    <t>sneltram</t>
  </si>
  <si>
    <t>tramtrein</t>
  </si>
  <si>
    <t>stoptrein(sprinter)</t>
  </si>
  <si>
    <t>sneltrein</t>
  </si>
  <si>
    <t>[km/h]</t>
  </si>
  <si>
    <t>&gt;</t>
  </si>
  <si>
    <t>PT(in-vehicle) reistijd opv dienstregeling/explotatiesnelheid [uur]</t>
  </si>
  <si>
    <t xml:space="preserve">oude in vehicle time </t>
  </si>
  <si>
    <t>reistijd obv formule  [uur]</t>
  </si>
  <si>
    <t>Agents</t>
  </si>
  <si>
    <t>"--&gt;"</t>
  </si>
  <si>
    <t>without walk</t>
  </si>
  <si>
    <t xml:space="preserve">Twwede iteratie op eigen laptop deze keer </t>
  </si>
  <si>
    <t xml:space="preserve">PT en bike omgedraaid </t>
  </si>
  <si>
    <t>zone 1</t>
  </si>
  <si>
    <t>zone 2</t>
  </si>
  <si>
    <t>zone 3</t>
  </si>
  <si>
    <t xml:space="preserve">zone 4 </t>
  </si>
  <si>
    <t>zone 5</t>
  </si>
  <si>
    <t>zie OD matrix excel</t>
  </si>
  <si>
    <t xml:space="preserve">stedelijkheid graad </t>
  </si>
  <si>
    <t>Aan de hand van vot deze bepalen?</t>
  </si>
  <si>
    <t>STED_A</t>
  </si>
  <si>
    <t>STED_B</t>
  </si>
  <si>
    <t>STED_C</t>
  </si>
  <si>
    <t>STED_D</t>
  </si>
  <si>
    <t>STED_E</t>
  </si>
  <si>
    <t>gemiddelde parameter waarde</t>
  </si>
  <si>
    <t>ov</t>
  </si>
  <si>
    <t>auto (pas)</t>
  </si>
  <si>
    <t>auto (samen)</t>
  </si>
  <si>
    <t>Werken </t>
  </si>
  <si>
    <t>zakelijk</t>
  </si>
  <si>
    <t>overig </t>
  </si>
  <si>
    <t>soc_rec</t>
  </si>
  <si>
    <t>winkel</t>
  </si>
  <si>
    <t>school</t>
  </si>
  <si>
    <t>BICYCLE</t>
  </si>
  <si>
    <t>CAR</t>
  </si>
  <si>
    <t>CAR PAS</t>
  </si>
  <si>
    <t>CAR TOTAL</t>
  </si>
  <si>
    <t>beta fiets sted 1</t>
  </si>
  <si>
    <t>beta fiets sted 2</t>
  </si>
  <si>
    <t>beta fiets sted 3</t>
  </si>
  <si>
    <t>beta fiets sted 4</t>
  </si>
  <si>
    <t>beta fiets sted 5</t>
  </si>
  <si>
    <t>beta pt sted 1</t>
  </si>
  <si>
    <t>beta pt sted 2</t>
  </si>
  <si>
    <t>beta pt sted 3</t>
  </si>
  <si>
    <t>beta pt sted 4</t>
  </si>
  <si>
    <t>beta pt sted 5</t>
  </si>
  <si>
    <t>beta auto sted 1</t>
  </si>
  <si>
    <t>beta auto sted 2</t>
  </si>
  <si>
    <t>beta auto sted 3</t>
  </si>
  <si>
    <t>beta auto sted 4</t>
  </si>
  <si>
    <t>beta auto sted 5</t>
  </si>
  <si>
    <t xml:space="preserve">invoegen proberen? </t>
  </si>
  <si>
    <t>0.98</t>
  </si>
  <si>
    <t>https://www.ov-chipkaart.nl/zo-werkt-reizen/tarieven/instap-en-basistarief.htm</t>
  </si>
  <si>
    <t>wegintensiteit</t>
  </si>
  <si>
    <t>filezwaarte</t>
  </si>
  <si>
    <t>wegcapaciteit factor</t>
  </si>
  <si>
    <t>Goudappel model</t>
  </si>
  <si>
    <t>wegintensitiet/ file zwaarte</t>
  </si>
  <si>
    <t>is initial fille zwaart</t>
  </si>
  <si>
    <t>initial omreken factor fillezzwaarte</t>
  </si>
  <si>
    <t>De vehicle omreken factor van 1.94 is trips/ vehicles?</t>
  </si>
  <si>
    <t>oftewel aantal …..</t>
  </si>
  <si>
    <t xml:space="preserve">prijs per liter </t>
  </si>
  <si>
    <t>source: https://opendata.cbs.nl/statline/#/CBS/nl/dataset/80416NED/table?fromstatweb</t>
  </si>
  <si>
    <t>huidige data tot nu toe</t>
  </si>
  <si>
    <t>Perioden</t>
  </si>
  <si>
    <t>Benzine Euro95 (euro/liter)</t>
  </si>
  <si>
    <t>Diesel (euro/liter)</t>
  </si>
  <si>
    <t>Lpg (euro/liter)</t>
  </si>
  <si>
    <t>2019 dinsdag 1 januari</t>
  </si>
  <si>
    <t>2019 vrijdag 1 februari</t>
  </si>
  <si>
    <t>2019 vrijdag 1 maart</t>
  </si>
  <si>
    <t>2019 maandag 1 april</t>
  </si>
  <si>
    <t>2019 woensdag 1 mei</t>
  </si>
  <si>
    <t>2019 zaterdag 1 juni</t>
  </si>
  <si>
    <t>2019 maandag 1 juli</t>
  </si>
  <si>
    <t>2019 donderdag 1 augustus</t>
  </si>
  <si>
    <t>2019 zondag 1 september</t>
  </si>
  <si>
    <t>2019 dinsdag 1 oktober</t>
  </si>
  <si>
    <t>2019 vrijdag 1 november</t>
  </si>
  <si>
    <t>2019 zondag 1 december</t>
  </si>
  <si>
    <t>2020 woensdag 1 januari</t>
  </si>
  <si>
    <t>2020 zaterdag 1 februari</t>
  </si>
  <si>
    <t>2020 zondag 1 maart</t>
  </si>
  <si>
    <t>2020 woensdag 1 april</t>
  </si>
  <si>
    <t>2020 vrijdag 1 mei</t>
  </si>
  <si>
    <t>2020 maandag 1 juni</t>
  </si>
  <si>
    <t>2020 woensdag 1 juli</t>
  </si>
  <si>
    <t>2020 zaterdag 1 augustus</t>
  </si>
  <si>
    <t>2020 dinsdag 1 september</t>
  </si>
  <si>
    <t>2020 donderdag 1 oktober</t>
  </si>
  <si>
    <t>2020 zondag 1 november</t>
  </si>
  <si>
    <t>2020 dinsdag 1 december</t>
  </si>
  <si>
    <t>2021 vrijdag 1 januari</t>
  </si>
  <si>
    <t>2021 maandag 1 februari</t>
  </si>
  <si>
    <t>2021 maandag 1 maart</t>
  </si>
  <si>
    <t>2021 donderdag 1 april</t>
  </si>
  <si>
    <t>2021 zaterdag 1 mei</t>
  </si>
  <si>
    <t>2021 dinsdag 1 juni</t>
  </si>
  <si>
    <t>2021 donderdag 1 juli</t>
  </si>
  <si>
    <t>2021 zondag 1 augustus</t>
  </si>
  <si>
    <t>2021 woensdag 1 september</t>
  </si>
  <si>
    <t>2021 vrijdag 1 oktober</t>
  </si>
  <si>
    <t>2021 maandag 1 november</t>
  </si>
  <si>
    <t>2021 woensdag 1 december</t>
  </si>
  <si>
    <t>2022 zaterdag 1 januari</t>
  </si>
  <si>
    <t>2022 dinsdag 1 februari</t>
  </si>
  <si>
    <t>2022 dinsdag 1 maart</t>
  </si>
  <si>
    <t>2022 vrijdag 1 april</t>
  </si>
  <si>
    <t>2022 zondag 1 mei</t>
  </si>
  <si>
    <t>2022 woensdag 1 juni</t>
  </si>
  <si>
    <t>Huidge brandtsofprijzen 2019-2022(CBS )</t>
  </si>
  <si>
    <t>Brandstof     Gemiddeld verbruik auto</t>
  </si>
  <si>
    <t>Benzine                     1 op 15</t>
  </si>
  <si>
    <t>Diesel                        1 op 21</t>
  </si>
  <si>
    <t>Gas                           1 op 12,5</t>
  </si>
  <si>
    <t>https://gemiddelden.nl/verbruik/gemiddeld-verbruik-auto/</t>
  </si>
  <si>
    <t>source (CBS?)</t>
  </si>
  <si>
    <t>1 liter op 15 km</t>
  </si>
  <si>
    <t>overige var aurtokosten (onderhoud, belasting etc)</t>
  </si>
  <si>
    <t xml:space="preserve">Variale car cost </t>
  </si>
  <si>
    <t>development pt ticket price</t>
  </si>
  <si>
    <t xml:space="preserve">sourrce: zie rechterkant document </t>
  </si>
  <si>
    <t>source: zie pbl WLO cijfers boven</t>
  </si>
  <si>
    <t>jaar</t>
  </si>
  <si>
    <t>benzin (euro/L)</t>
  </si>
  <si>
    <t>Diesel (euro/L)</t>
  </si>
  <si>
    <t>LPG (euro/L)</t>
  </si>
  <si>
    <t>verbuik</t>
  </si>
  <si>
    <t>Brandstofprijs per km</t>
  </si>
  <si>
    <t>AVG Brandstofprijs per km</t>
  </si>
  <si>
    <t>Tabel 11 Ontwikkeling variabele autokosten per km (index 2018=100)</t>
  </si>
  <si>
    <t>bron: WLO 2025 en notite wagenaprk WLO</t>
  </si>
  <si>
    <t>hoog</t>
  </si>
  <si>
    <t>laag</t>
  </si>
  <si>
    <t>gem</t>
  </si>
  <si>
    <t>index</t>
  </si>
  <si>
    <t>ORIGINELE prognose 2018</t>
  </si>
  <si>
    <t>Bijgeschaalde prognose 2022</t>
  </si>
  <si>
    <t>ACTUALISATIE</t>
  </si>
  <si>
    <t>interpoleren</t>
  </si>
  <si>
    <t>interpoleren formule</t>
  </si>
  <si>
    <t>benzine</t>
  </si>
  <si>
    <t>(2018 = 2019)</t>
  </si>
  <si>
    <t>intrapoleren</t>
  </si>
  <si>
    <t>Brandstofkoste WLO 2015 (fosiel)</t>
  </si>
  <si>
    <t xml:space="preserve">Brandstof kosten elektrisch </t>
  </si>
  <si>
    <t>https://www.anwb.nl/auto/elektrisch-rijden/wat-kost-het-opladen-van-een-elektrische-auto</t>
  </si>
  <si>
    <t xml:space="preserve">Thuisladen </t>
  </si>
  <si>
    <t>openbara</t>
  </si>
  <si>
    <t>snelladen</t>
  </si>
  <si>
    <t>mix 60-30-10</t>
  </si>
  <si>
    <t>mix90-10(geen thuislader</t>
  </si>
  <si>
    <t>average [euro/km]</t>
  </si>
  <si>
    <t>benzin (euro/km)</t>
  </si>
  <si>
    <t>Diesel (euro/km)</t>
  </si>
  <si>
    <t>LPG (euro/km)</t>
  </si>
  <si>
    <t>brandsftofkosten WLO 2015 (elektrisch)</t>
  </si>
  <si>
    <t>FOSIEL</t>
  </si>
  <si>
    <t>ELCTRIC</t>
  </si>
  <si>
    <t>electric (euro/km</t>
  </si>
  <si>
    <t>EV</t>
  </si>
  <si>
    <t xml:space="preserve">Verhouding wagenpark </t>
  </si>
  <si>
    <t>source: https://www.cbs.nl/nl-nl/visualisaties/verkeer-en-vervoer/vervoermiddelen-en-infrastructuur/personenautos</t>
  </si>
  <si>
    <t xml:space="preserve">benzine </t>
  </si>
  <si>
    <t>diesel</t>
  </si>
  <si>
    <t>EV/hybrid</t>
  </si>
  <si>
    <t>LPG</t>
  </si>
  <si>
    <t>ontwikkeling</t>
  </si>
  <si>
    <t>lpg</t>
  </si>
  <si>
    <t>*aaname</t>
  </si>
  <si>
    <t>brandstofkosten EV</t>
  </si>
  <si>
    <t>brandstofkosten ICE</t>
  </si>
  <si>
    <t>ICE</t>
  </si>
  <si>
    <t>Verhouding wagenpark</t>
  </si>
  <si>
    <t>bron: CBS boven</t>
  </si>
  <si>
    <t>TOT</t>
  </si>
  <si>
    <t>absolute aantal (ICE/EV)</t>
  </si>
  <si>
    <t>bron: https://opendata.cbs.nl/#/CBS/nl/dataset/71405ned/table?dl=3DBE9</t>
  </si>
  <si>
    <t>percenatge ICE</t>
  </si>
  <si>
    <t>percenatge EV</t>
  </si>
  <si>
    <t>correct toekomstwaarde opzoeken</t>
  </si>
  <si>
    <t>input variable car cost</t>
  </si>
  <si>
    <t>Distribution ICE</t>
  </si>
  <si>
    <t>Distribution EV</t>
  </si>
  <si>
    <t xml:space="preserve">inwoner aantallen per stedelijkheid </t>
  </si>
  <si>
    <t xml:space="preserve">inwoner antal per stedelijkheid </t>
  </si>
  <si>
    <t xml:space="preserve">inwoner aantal </t>
  </si>
  <si>
    <t>percentage/ verdeling</t>
  </si>
  <si>
    <t>Totaal</t>
  </si>
  <si>
    <t>[https://opendata.cbs.nl/#/CBS/nl/dataset/84929NED/table]</t>
  </si>
  <si>
    <t xml:space="preserve">Neiuwbouw percentage er stedelijk heid </t>
  </si>
  <si>
    <t xml:space="preserve">gemidddedlde percenatge </t>
  </si>
  <si>
    <t>gem aantallen</t>
  </si>
  <si>
    <t xml:space="preserve"> absolute aantallen</t>
  </si>
  <si>
    <t>groei huizenmarkt per sted</t>
  </si>
  <si>
    <t>CBS 2021</t>
  </si>
  <si>
    <t>[https://www.cbs.nl/nl-nl/nieuws/2022/04/bijna-69-duizend-nieuwbouwwoningen-in-2021]</t>
  </si>
  <si>
    <t>Nieuwbouw</t>
  </si>
  <si>
    <t>Sloop</t>
  </si>
  <si>
    <t>7 815</t>
  </si>
  <si>
    <t>71 548</t>
  </si>
  <si>
    <t>26 525</t>
  </si>
  <si>
    <t>10 684</t>
  </si>
  <si>
    <t>11 203</t>
  </si>
  <si>
    <t>76 872</t>
  </si>
  <si>
    <t>7 892</t>
  </si>
  <si>
    <t>69 985</t>
  </si>
  <si>
    <t>22 855</t>
  </si>
  <si>
    <t>10 245</t>
  </si>
  <si>
    <t>8 286</t>
  </si>
  <si>
    <t>74 543</t>
  </si>
  <si>
    <t>7 966</t>
  </si>
  <si>
    <t>79 250</t>
  </si>
  <si>
    <t>8 046</t>
  </si>
  <si>
    <t>sloop van woningen algemeen</t>
  </si>
  <si>
    <t>beginstadn voorad</t>
  </si>
  <si>
    <t>overige toevoegingen</t>
  </si>
  <si>
    <t>https://opendata.cbs.nl/#/CBS/nl/dataset/82235NED/table</t>
  </si>
  <si>
    <t>overige ontrekkingten</t>
  </si>
  <si>
    <t>correctie</t>
  </si>
  <si>
    <t>saldo vooraad</t>
  </si>
  <si>
    <t>eindstand vooraad</t>
  </si>
  <si>
    <t>nieuw</t>
  </si>
  <si>
    <t>oud</t>
  </si>
  <si>
    <t>verhouding</t>
  </si>
  <si>
    <t xml:space="preserve">sloop percenatge </t>
  </si>
  <si>
    <t>gemi</t>
  </si>
  <si>
    <t xml:space="preserve">auto other </t>
  </si>
  <si>
    <t>euro/min</t>
  </si>
  <si>
    <t>euro/uur</t>
  </si>
  <si>
    <t>PT commuting</t>
  </si>
  <si>
    <t>PT educational</t>
  </si>
  <si>
    <t>PT other</t>
  </si>
  <si>
    <t>origineel</t>
  </si>
  <si>
    <t>updated</t>
  </si>
  <si>
    <t>beta TT bike commuting</t>
  </si>
  <si>
    <t>beta TT bike educational</t>
  </si>
  <si>
    <t>beta TT bike soc-rec</t>
  </si>
  <si>
    <t>beta TT bike shop</t>
  </si>
  <si>
    <t>beta TT bike other</t>
  </si>
  <si>
    <t>beta TT car commuting</t>
  </si>
  <si>
    <t>TT --&gt; Travel time</t>
  </si>
  <si>
    <t>TC --&gt; Travel cost</t>
  </si>
  <si>
    <t>beta TT car educational</t>
  </si>
  <si>
    <t>beta TT car soc-rec</t>
  </si>
  <si>
    <t>beta TT car shop</t>
  </si>
  <si>
    <t>beta TT car other</t>
  </si>
  <si>
    <t xml:space="preserve">kan beter verwertk worden in de utility functie </t>
  </si>
  <si>
    <t>motives</t>
  </si>
  <si>
    <t>* commutng</t>
  </si>
  <si>
    <t>* Educational</t>
  </si>
  <si>
    <t>* Shopping and personal care (shop)</t>
  </si>
  <si>
    <t>* Social recreational (soc-rec)</t>
  </si>
  <si>
    <t>* other motives (other)</t>
  </si>
  <si>
    <t>* Commuting</t>
  </si>
  <si>
    <t>beta TC car commuting</t>
  </si>
  <si>
    <t>beta TC car Educational</t>
  </si>
  <si>
    <t>beta TC car soc-rec</t>
  </si>
  <si>
    <t>beta TC car shop</t>
  </si>
  <si>
    <t>beta TC car other</t>
  </si>
  <si>
    <t>beta TT (total) pt shop</t>
  </si>
  <si>
    <t>beta TT (total) pt other</t>
  </si>
  <si>
    <t>beta TT (In-vehicle) PT commuting</t>
  </si>
  <si>
    <t>beta TT (wait/walktime) PT commuting</t>
  </si>
  <si>
    <t>beta TT (total) PT soc-rec</t>
  </si>
  <si>
    <t>beta TT(acces/egress) PT commuting</t>
  </si>
  <si>
    <t>beta TT (In-vehicle) PT educational</t>
  </si>
  <si>
    <t>beta TT (wait/walktime) PT educational</t>
  </si>
  <si>
    <t>beta TT(acces/egress) PT educational</t>
  </si>
  <si>
    <t xml:space="preserve">Sensitivities are derived from estimated choice models (octavius), there are updated and corrected based on general elasticities and VoT from the literature. </t>
  </si>
  <si>
    <t>beta TC PT soc-rec</t>
  </si>
  <si>
    <t>beta TC PT shop</t>
  </si>
  <si>
    <t>beta TC PT other</t>
  </si>
  <si>
    <t>beta TC PT commuting</t>
  </si>
  <si>
    <t>beta TC PT edu</t>
  </si>
  <si>
    <t>Beta TT walk commuting</t>
  </si>
  <si>
    <t>Beta TT walk educational</t>
  </si>
  <si>
    <t>Beta TT walk social recreational</t>
  </si>
  <si>
    <t>BetaTT walk shopping personal care</t>
  </si>
  <si>
    <t>Beta TT walk other motive</t>
  </si>
  <si>
    <t>OUDE waarden??</t>
  </si>
  <si>
    <t>?</t>
  </si>
  <si>
    <t>bron</t>
  </si>
  <si>
    <t xml:space="preserve">update of parameters with NRM data </t>
  </si>
  <si>
    <t>-</t>
  </si>
  <si>
    <t>driver</t>
  </si>
  <si>
    <t>passenger</t>
  </si>
  <si>
    <t>NRM2004</t>
  </si>
  <si>
    <t>elasticitetien GM</t>
  </si>
  <si>
    <t>elasticiteit reizen</t>
  </si>
  <si>
    <t>elasticiteit kilometers</t>
  </si>
  <si>
    <t>*kruiswaarde op basis van vergeljking met auto</t>
  </si>
  <si>
    <t>Kruis elas</t>
  </si>
  <si>
    <t>commute</t>
  </si>
  <si>
    <t>business</t>
  </si>
  <si>
    <t>education</t>
  </si>
  <si>
    <t>auto travel cost</t>
  </si>
  <si>
    <t>Auto travel time</t>
  </si>
  <si>
    <t>car pax</t>
  </si>
  <si>
    <t>shop</t>
  </si>
  <si>
    <t>other home</t>
  </si>
  <si>
    <t>(other work)</t>
  </si>
  <si>
    <t>car?</t>
  </si>
  <si>
    <t>elasticitieten van het LMS (2012)</t>
  </si>
  <si>
    <t>elasticitieten van het LMS (2021)</t>
  </si>
  <si>
    <t>Directe elasticiteti reizen</t>
  </si>
  <si>
    <t>Technische Documentatie Groeimodel (GM)</t>
  </si>
  <si>
    <t>Audit hoofdocument LMS</t>
  </si>
  <si>
    <t>p. 25</t>
  </si>
  <si>
    <t>Directe elasticiteti KM</t>
  </si>
  <si>
    <t>Kruis elasticiteti reizen</t>
  </si>
  <si>
    <t>woon edu</t>
  </si>
  <si>
    <t>woon werk</t>
  </si>
  <si>
    <t>woon business</t>
  </si>
  <si>
    <t>woon shop</t>
  </si>
  <si>
    <t>HOV</t>
  </si>
  <si>
    <t>Hoogwaardihgopenbaar vevroer??</t>
  </si>
  <si>
    <t>Kruis elasticiteti KM</t>
  </si>
  <si>
    <t>ELASICITIETEN VAN lms Gm MODEL INVOEGEN; LUKT HET NIET DAT LOPEN EIEKEN OP DE VERSCHILLEN BINNEN ELAS TUSSEN WLAK EN FIETS IN LMS</t>
  </si>
  <si>
    <t>hoV</t>
  </si>
  <si>
    <t>hov]</t>
  </si>
  <si>
    <t>CAR TOT</t>
  </si>
  <si>
    <t xml:space="preserve">Template invoer in vensim </t>
  </si>
  <si>
    <t>LMs2012</t>
  </si>
  <si>
    <t>Gm (km)</t>
  </si>
  <si>
    <t>GM(verpl)</t>
  </si>
  <si>
    <t>kruis</t>
  </si>
  <si>
    <t>LMs2021</t>
  </si>
  <si>
    <t>hoofddocument directe elas</t>
  </si>
  <si>
    <t>Verhouding Bike/walk</t>
  </si>
  <si>
    <t>TT_LMS_kruis_vrpl</t>
  </si>
  <si>
    <t>TT_LMS_kruis_km</t>
  </si>
  <si>
    <t>TT_LMS2012_kruis_vrpl</t>
  </si>
  <si>
    <t xml:space="preserve">Octavius_betas </t>
  </si>
  <si>
    <t>verschil LMS2021</t>
  </si>
  <si>
    <t>verschil LMS2012</t>
  </si>
  <si>
    <t>Walk</t>
  </si>
  <si>
    <t>Wlak LMs2021</t>
  </si>
  <si>
    <t>TELE</t>
  </si>
  <si>
    <t>TELE?</t>
  </si>
  <si>
    <t>[distance class] = 6, 10, 17, 25 min  (Total = waiting time + acces/egress time)</t>
  </si>
  <si>
    <t>= 5, 8, 12, 15 acess/egress</t>
  </si>
  <si>
    <t>= 1, 2, 7, 10 waiting</t>
  </si>
  <si>
    <t xml:space="preserve">Source: </t>
  </si>
  <si>
    <t xml:space="preserve">No longer waiting time than 10 minutes. Traveller use planning apps (9292OV, NS planner) when timetable is more than 10 minutes apart between train or BTM vehicles. </t>
  </si>
  <si>
    <t xml:space="preserve">* acess en egress tijden langer bij rural areas </t>
  </si>
  <si>
    <t xml:space="preserve">Berekening thuiswerk uren initial </t>
  </si>
  <si>
    <t xml:space="preserve">gemiddlde duur werkweek </t>
  </si>
  <si>
    <t xml:space="preserve">28-35 uur </t>
  </si>
  <si>
    <t>32 uur</t>
  </si>
  <si>
    <t xml:space="preserve">thuiswerk voor covid </t>
  </si>
  <si>
    <t>3 uur (KiM)</t>
  </si>
  <si>
    <t xml:space="preserve">4 uur (cpb </t>
  </si>
  <si>
    <t>hamersma(2021)</t>
  </si>
  <si>
    <t>https://www.cpb.nl/sites/default/files/omnidownload/CPB-Achtergronddocument-Thuiswerken-voor-tijdens-en-na-de-coronacrisis_1.pdf</t>
  </si>
  <si>
    <t>uur</t>
  </si>
  <si>
    <t xml:space="preserve">percentage thuiswerk ritten voor covid </t>
  </si>
  <si>
    <t xml:space="preserve">Percentage thuis </t>
  </si>
  <si>
    <t xml:space="preserve">initial thuiswerken total </t>
  </si>
  <si>
    <t>We hebben helaas geen informatie over het aantal uren thuisonderwijs van voor en tijdens de COVID-periode. We kunnen er echter vanuit gaan dat het aantal thuisonderwijsuren tijdens COVID flink is toegenomen</t>
  </si>
  <si>
    <t xml:space="preserve">Geen initiele gevevens EDU: dus we gaan uit van de tele werk percenatges </t>
  </si>
  <si>
    <t>kIM(hamersma 2021) pagina 43</t>
  </si>
  <si>
    <t xml:space="preserve">Tele initial numbers </t>
  </si>
  <si>
    <t>* commute</t>
  </si>
  <si>
    <t>354.444 M</t>
  </si>
  <si>
    <t>*Edu</t>
  </si>
  <si>
    <t>137.962 M</t>
  </si>
  <si>
    <t>Tvt</t>
  </si>
  <si>
    <t>GA</t>
  </si>
  <si>
    <t>Total movements</t>
  </si>
  <si>
    <t>miljard</t>
  </si>
  <si>
    <t>Short</t>
  </si>
  <si>
    <t>edu</t>
  </si>
  <si>
    <t xml:space="preserve">Ruwe schatting </t>
  </si>
  <si>
    <t xml:space="preserve">Wegcapcaitieit </t>
  </si>
  <si>
    <t>auto rit per maand</t>
  </si>
  <si>
    <t>618.185 M</t>
  </si>
  <si>
    <t xml:space="preserve">voertuig km per maand </t>
  </si>
  <si>
    <t>B</t>
  </si>
  <si>
    <t>miljard ritten per maand</t>
  </si>
  <si>
    <t>*met fcator 1,94</t>
  </si>
  <si>
    <t>* zonder factor 1,94</t>
  </si>
  <si>
    <t>Doel</t>
  </si>
  <si>
    <t xml:space="preserve">RWS document </t>
  </si>
  <si>
    <t>miljard per jaar</t>
  </si>
  <si>
    <t xml:space="preserve">miljard per maand </t>
  </si>
  <si>
    <t>percentage tele</t>
  </si>
  <si>
    <t xml:space="preserve">distribution of tele between dist classes </t>
  </si>
  <si>
    <t>tot com</t>
  </si>
  <si>
    <t>tot edu</t>
  </si>
  <si>
    <t>miljoen</t>
  </si>
  <si>
    <t>base year movement</t>
  </si>
  <si>
    <t>new base year movement + with tele</t>
  </si>
  <si>
    <t xml:space="preserve">new agents </t>
  </si>
  <si>
    <t xml:space="preserve">initial congestion level/filezwaarte </t>
  </si>
  <si>
    <t>km min</t>
  </si>
  <si>
    <t>maand</t>
  </si>
  <si>
    <t xml:space="preserve">Totale afgelde kilometers/ driven distance </t>
  </si>
  <si>
    <t>mld</t>
  </si>
  <si>
    <t>veh km</t>
  </si>
  <si>
    <t>capaciteit/ flow of the network</t>
  </si>
  <si>
    <t>mlj</t>
  </si>
  <si>
    <t>veh min</t>
  </si>
  <si>
    <t xml:space="preserve">maand </t>
  </si>
  <si>
    <t xml:space="preserve">Capacity calculationn; also present in SD model </t>
  </si>
  <si>
    <t>https://www.pwc.nl/nl/assets/documents/pwc-onderzoek-elektrisch-rijden.pdf</t>
  </si>
  <si>
    <t>Wlo sceario wagenpark</t>
  </si>
  <si>
    <t>(van meerwijk et al, 2021)</t>
  </si>
  <si>
    <t xml:space="preserve">WLO Waarde update 2021 over de verhouding </t>
  </si>
  <si>
    <t xml:space="preserve">ice </t>
  </si>
  <si>
    <t>ev</t>
  </si>
  <si>
    <t xml:space="preserve">average </t>
  </si>
  <si>
    <t>(Jongen en Verstraten, 2021)</t>
  </si>
  <si>
    <r>
      <t xml:space="preserve">CBS. (2022). </t>
    </r>
    <r>
      <rPr>
        <i/>
        <sz val="11"/>
        <color theme="1"/>
        <rFont val="Calibri"/>
        <family val="2"/>
        <scheme val="minor"/>
      </rPr>
      <t>StatLine - Kerncijfers van diverse bevolkingsprognoses en waarneming</t>
    </r>
    <r>
      <rPr>
        <sz val="11"/>
        <color theme="1"/>
        <rFont val="Calibri"/>
        <family val="2"/>
        <scheme val="minor"/>
      </rPr>
      <t>. CBS Statline. https://opendata.cbs.nl/statline/#/CBS/nl/dataset/70737ned/table?ts=1643900765028</t>
    </r>
  </si>
  <si>
    <r>
      <t xml:space="preserve">CBS. (2019). </t>
    </r>
    <r>
      <rPr>
        <i/>
        <sz val="11"/>
        <color theme="1"/>
        <rFont val="Calibri"/>
        <family val="2"/>
        <scheme val="minor"/>
      </rPr>
      <t>StatLine - Bevolking; geslacht, leeftijd en burgerlijke staat, 1 januari</t>
    </r>
    <r>
      <rPr>
        <sz val="11"/>
        <color theme="1"/>
        <rFont val="Calibri"/>
        <family val="2"/>
        <scheme val="minor"/>
      </rPr>
      <t>. CBS Statline. https://opendata.cbs.nl/statline/#/CBS/nl/dataset/7461BEV/table?fromstatweb</t>
    </r>
  </si>
  <si>
    <t xml:space="preserve">sources: initial en growth </t>
  </si>
  <si>
    <t xml:space="preserve">1: very high urban </t>
  </si>
  <si>
    <t>Sted 1: very highly urban</t>
  </si>
  <si>
    <t>Sted 2:highly urban</t>
  </si>
  <si>
    <t>Sted 3: moderately urban</t>
  </si>
  <si>
    <t>Sted 4: little urban</t>
  </si>
  <si>
    <t>Sted 5: none urban</t>
  </si>
  <si>
    <t xml:space="preserve">Stedelijkheid </t>
  </si>
  <si>
    <t>feitelijke reistijd auto [min]</t>
  </si>
  <si>
    <t>in vehicle travel time [uur]</t>
  </si>
  <si>
    <t>in vehicle travel time [min]</t>
  </si>
  <si>
    <t>PT  travel time acess/egress  [min]</t>
  </si>
  <si>
    <t>PT  travel time acess/egress  [uur]</t>
  </si>
  <si>
    <t>Commerciele snelheid PT</t>
  </si>
  <si>
    <t>PT wait time [min]</t>
  </si>
  <si>
    <t>PT wait time [uur]</t>
  </si>
  <si>
    <t>Total acess/egress and wait time [uur]</t>
  </si>
  <si>
    <t>LANDELIJK GEMIDDELDE</t>
  </si>
  <si>
    <t>Reistijd fietsen [uur]</t>
  </si>
  <si>
    <t>Reistijd fietsen [min]</t>
  </si>
  <si>
    <t>Reistijd lopen [min]</t>
  </si>
  <si>
    <t>Verplaatsingen in the base year dummy</t>
  </si>
  <si>
    <t xml:space="preserve">verhoudingen voor stedelijkheid </t>
  </si>
  <si>
    <t>kim hamersma 2021</t>
  </si>
  <si>
    <t>middel</t>
  </si>
  <si>
    <t>very high</t>
  </si>
  <si>
    <t>high</t>
  </si>
  <si>
    <t>moderate</t>
  </si>
  <si>
    <t>little</t>
  </si>
  <si>
    <t>none</t>
  </si>
  <si>
    <t>schaal van 100</t>
  </si>
  <si>
    <t>https://www.crow.nl/duurzame-mobiliteit/home/duurzaam-economisch-groeipotentieel/nabijheid-en-netwerken</t>
  </si>
  <si>
    <r>
      <t xml:space="preserve">CROW. (2022). </t>
    </r>
    <r>
      <rPr>
        <i/>
        <sz val="11"/>
        <color theme="1"/>
        <rFont val="Calibri"/>
        <family val="2"/>
        <scheme val="minor"/>
      </rPr>
      <t>Duurzame mobiliteit</t>
    </r>
    <r>
      <rPr>
        <sz val="11"/>
        <color theme="1"/>
        <rFont val="Calibri"/>
        <family val="2"/>
        <scheme val="minor"/>
      </rPr>
      <t>. https://www.crow.nl/duurzame-mobiliteit/home/duurzaam-economisch-groeipotentieel/nabijheid-en-netwerken</t>
    </r>
  </si>
  <si>
    <t>Nog even dubbelchecken</t>
  </si>
  <si>
    <t>Aaname over de free flow speed</t>
  </si>
  <si>
    <t xml:space="preserve">Stedelijk gebied ligt de free flow speed lager bij korte verplaatsingen </t>
  </si>
  <si>
    <t>&lt;7.5 km</t>
  </si>
  <si>
    <t>7.5-15 km</t>
  </si>
  <si>
    <t>15-40 km</t>
  </si>
  <si>
    <t>40&gt; km</t>
  </si>
  <si>
    <t xml:space="preserve">Congestion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</si>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</sst>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
    <numFmt numFmtId="165" formatCode="0.000"/>
    <numFmt numFmtId="166" formatCode="###0"/>
    <numFmt numFmtId="167" formatCode="0.0000"/>
    <numFmt numFmtId="168" formatCode="0.000000000"/>
    <numFmt numFmtId="169" formatCode="0E+00"/>
    <numFmt numFmtId="170" formatCode="0.0000000"/>
    <numFmt numFmtId="171" formatCode="0.00000000000"/>
    <numFmt numFmtId="172" formatCode="0.000000000000"/>
    <numFmt numFmtId="173" formatCode="###0.000"/>
    <numFmt numFmtId="174" formatCode="0.00000000"/>
  </numFmts>
  <fonts count="53">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color rgb="FF000000"/>
      <name val="Calibri"/>
      <family val="2"/>
      <scheme val="minor"/>
    </font>
    <font>
      <sz val="12"/>
      <color rgb="FF000000"/>
      <name val="Calibri"/>
      <family val="2"/>
      <scheme val="minor"/>
    </font>
    <font>
      <sz val="11"/>
      <color theme="5"/>
      <name val="Calibri"/>
      <family val="2"/>
      <scheme val="minor"/>
    </font>
    <font>
      <sz val="11"/>
      <color rgb="FFFF0000"/>
      <name val="Calibri"/>
      <family val="2"/>
      <scheme val="minor"/>
    </font>
    <font>
      <b/>
      <sz val="11"/>
      <color rgb="FF000000"/>
      <name val="Calibri"/>
      <family val="2"/>
      <scheme val="minor"/>
    </font>
    <font>
      <sz val="11"/>
      <color rgb="FFFF6600"/>
      <name val="Calibri"/>
      <family val="2"/>
      <scheme val="minor"/>
    </font>
    <font>
      <b/>
      <sz val="14"/>
      <color rgb="FF010205"/>
      <name val="Arial Bold"/>
      <family val="2"/>
    </font>
    <font>
      <sz val="12"/>
      <color rgb="FF264A60"/>
      <name val="Arial"/>
      <family val="2"/>
    </font>
    <font>
      <b/>
      <sz val="12"/>
      <color rgb="FF264A60"/>
      <name val="Arial"/>
      <family val="2"/>
    </font>
    <font>
      <sz val="12"/>
      <color rgb="FF010205"/>
      <name val="Arial"/>
      <family val="2"/>
    </font>
    <font>
      <sz val="12"/>
      <color theme="1"/>
      <name val="Arial"/>
      <family val="2"/>
    </font>
    <font>
      <sz val="12"/>
      <color theme="1"/>
      <name val="Calibri"/>
      <family val="2"/>
      <scheme val="minor"/>
    </font>
    <font>
      <sz val="14"/>
      <color theme="1"/>
      <name val="Calibri"/>
      <family val="2"/>
      <scheme val="minor"/>
    </font>
    <font>
      <b/>
      <sz val="8"/>
      <color rgb="FF264A60"/>
      <name val="Arial"/>
      <family val="2"/>
    </font>
    <font>
      <sz val="8"/>
      <name val="Calibri"/>
      <family val="2"/>
      <scheme val="minor"/>
    </font>
    <font>
      <b/>
      <sz val="11"/>
      <color rgb="FFFF0000"/>
      <name val="Calibri"/>
      <family val="2"/>
      <scheme val="minor"/>
    </font>
    <font>
      <b/>
      <u/>
      <sz val="18"/>
      <color theme="1"/>
      <name val="Calibri"/>
      <family val="2"/>
      <scheme val="minor"/>
    </font>
    <font>
      <i/>
      <sz val="11"/>
      <color rgb="FF000000"/>
      <name val="Calibri"/>
      <family val="2"/>
      <scheme val="minor"/>
    </font>
    <font>
      <b/>
      <u/>
      <sz val="12"/>
      <color rgb="FFFF0000"/>
      <name val="Calibri"/>
      <family val="2"/>
      <scheme val="minor"/>
    </font>
    <font>
      <sz val="11"/>
      <name val="Calibri"/>
      <family val="2"/>
      <scheme val="minor"/>
    </font>
    <font>
      <sz val="11"/>
      <color rgb="FF006100"/>
      <name val="Calibri"/>
      <family val="2"/>
      <scheme val="minor"/>
    </font>
    <font>
      <sz val="12"/>
      <color rgb="FFFF0000"/>
      <name val="Arial"/>
      <family val="2"/>
    </font>
    <font>
      <sz val="10"/>
      <name val="Arial"/>
      <family val="2"/>
    </font>
    <font>
      <sz val="11"/>
      <color theme="9"/>
      <name val="Calibri"/>
      <family val="2"/>
      <scheme val="minor"/>
    </font>
    <font>
      <sz val="10"/>
      <color theme="1"/>
      <name val="Calibri"/>
      <family val="2"/>
      <scheme val="minor"/>
    </font>
    <font>
      <sz val="8"/>
      <color theme="9"/>
      <name val="Calibri"/>
      <family val="2"/>
      <scheme val="minor"/>
    </font>
    <font>
      <b/>
      <u/>
      <sz val="14"/>
      <color theme="1"/>
      <name val="Calibri"/>
      <family val="2"/>
      <scheme val="minor"/>
    </font>
    <font>
      <u/>
      <sz val="11"/>
      <color theme="10"/>
      <name val="Calibri"/>
      <family val="2"/>
      <scheme val="minor"/>
    </font>
    <font>
      <b/>
      <sz val="9"/>
      <color rgb="FF000000"/>
      <name val="Helvetica Neue"/>
    </font>
    <font>
      <sz val="9"/>
      <color rgb="FF000000"/>
      <name val="Helvetica Neue"/>
    </font>
    <font>
      <b/>
      <sz val="9"/>
      <color rgb="FF333333"/>
      <name val="Droid Sans"/>
    </font>
    <font>
      <sz val="9"/>
      <color rgb="FF333333"/>
      <name val="Droid Sans"/>
    </font>
    <font>
      <u/>
      <sz val="11"/>
      <color theme="1"/>
      <name val="Calibri"/>
      <family val="2"/>
      <scheme val="minor"/>
    </font>
    <font>
      <b/>
      <sz val="9"/>
      <color rgb="FF545453"/>
      <name val="Segoe UI"/>
      <family val="2"/>
    </font>
    <font>
      <sz val="9"/>
      <color rgb="FF545453"/>
      <name val="Segoe UI"/>
      <family val="2"/>
    </font>
    <font>
      <sz val="10"/>
      <name val="Segoe UI"/>
      <family val="2"/>
    </font>
    <font>
      <sz val="11"/>
      <color theme="1"/>
      <name val="Arial"/>
      <family val="2"/>
    </font>
    <font>
      <b/>
      <sz val="11"/>
      <color theme="1"/>
      <name val="Arial"/>
      <family val="2"/>
    </font>
    <font>
      <i/>
      <sz val="11"/>
      <color theme="1"/>
      <name val="Calibri"/>
      <family val="2"/>
      <scheme val="minor"/>
    </font>
    <font>
      <b/>
      <sz val="11"/>
      <color theme="9"/>
      <name val="Calibri"/>
      <family val="2"/>
      <scheme val="minor"/>
    </font>
    <font>
      <sz val="10"/>
      <color rgb="FF000000"/>
      <name val="Helvetica Neue"/>
      <family val="2"/>
    </font>
    <font>
      <b/>
      <sz val="10"/>
      <color rgb="FF000000"/>
      <name val="Helvetica Neue"/>
      <family val="2"/>
    </font>
    <font>
      <sz val="10"/>
      <color rgb="FF000000"/>
      <name val="Helvetica Neue"/>
    </font>
    <font>
      <b/>
      <u/>
      <sz val="16"/>
      <color theme="1"/>
      <name val="Calibri"/>
      <family val="2"/>
      <scheme val="minor"/>
    </font>
    <font>
      <sz val="9"/>
      <color indexed="81"/>
      <name val="Tahoma"/>
      <family val="2"/>
    </font>
    <font>
      <b/>
      <sz val="9"/>
      <color indexed="81"/>
      <name val="Tahoma"/>
      <family val="2"/>
    </font>
    <font>
      <sz val="10"/>
      <color theme="1"/>
      <name val="Arial"/>
      <family val="2"/>
    </font>
    <font>
      <sz val="9"/>
      <color theme="1"/>
      <name val="Arial"/>
      <family val="2"/>
    </font>
    <font>
      <b/>
      <sz val="11"/>
      <name val="Calibri"/>
      <family val="2"/>
      <scheme val="minor"/>
    </font>
  </fonts>
  <fills count="25">
    <fill>
      <patternFill patternType="none"/>
    </fill>
    <fill>
      <patternFill patternType="gray125"/>
    </fill>
    <fill>
      <patternFill patternType="solid">
        <fgColor rgb="FFFFCC99"/>
      </patternFill>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rgb="FFE0E0E0"/>
      </patternFill>
    </fill>
    <fill>
      <patternFill patternType="solid">
        <fgColor rgb="FFF9F9FB"/>
      </patternFill>
    </fill>
    <fill>
      <patternFill patternType="solid">
        <fgColor rgb="FFFF0000"/>
        <bgColor indexed="64"/>
      </patternFill>
    </fill>
    <fill>
      <patternFill patternType="solid">
        <fgColor theme="4" tint="0.79998168889431442"/>
        <bgColor indexed="64"/>
      </patternFill>
    </fill>
    <fill>
      <patternFill patternType="solid">
        <fgColor theme="9"/>
        <bgColor indexed="64"/>
      </patternFill>
    </fill>
    <fill>
      <patternFill patternType="solid">
        <fgColor theme="5" tint="0.79998168889431442"/>
        <bgColor indexed="6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rgb="FFC6EFCE"/>
      </patternFill>
    </fill>
    <fill>
      <patternFill patternType="solid">
        <fgColor theme="5" tint="0.59999389629810485"/>
        <bgColor indexed="64"/>
      </patternFill>
    </fill>
    <fill>
      <patternFill patternType="solid">
        <fgColor rgb="FFFFFFFF"/>
        <bgColor indexed="64"/>
      </patternFill>
    </fill>
    <fill>
      <patternFill patternType="solid">
        <fgColor rgb="FFF9F9F9"/>
        <bgColor indexed="64"/>
      </patternFill>
    </fill>
    <fill>
      <patternFill patternType="solid">
        <fgColor rgb="FFB0B3B2"/>
        <bgColor indexed="64"/>
      </patternFill>
    </fill>
    <fill>
      <patternFill patternType="solid">
        <fgColor rgb="FFD4D4D4"/>
        <bgColor indexed="64"/>
      </patternFill>
    </fill>
    <fill>
      <patternFill patternType="solid">
        <fgColor theme="9" tint="0.79998168889431442"/>
        <bgColor indexed="64"/>
      </patternFill>
    </fill>
    <fill>
      <patternFill patternType="solid">
        <fgColor rgb="FFFFD7CB"/>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000"/>
        <bgColor indexed="64"/>
      </patternFill>
    </fill>
  </fills>
  <borders count="61">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rgb="FFE0E0E0"/>
      </right>
      <top/>
      <bottom/>
      <diagonal/>
    </border>
    <border>
      <left style="thin">
        <color rgb="FFE0E0E0"/>
      </left>
      <right style="thin">
        <color rgb="FFE0E0E0"/>
      </right>
      <top/>
      <bottom/>
      <diagonal/>
    </border>
    <border>
      <left style="thin">
        <color rgb="FFE0E0E0"/>
      </left>
      <right/>
      <top/>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style="thin">
        <color rgb="FFAEAEAE"/>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style="thin">
        <color rgb="FFE0E0E0"/>
      </right>
      <top/>
      <bottom style="thin">
        <color rgb="FFAEAEAE"/>
      </bottom>
      <diagonal/>
    </border>
    <border>
      <left style="thin">
        <color rgb="FFE0E0E0"/>
      </left>
      <right/>
      <top style="thin">
        <color rgb="FFAEAEAE"/>
      </top>
      <bottom style="thin">
        <color rgb="FFAEAEAE"/>
      </bottom>
      <diagonal/>
    </border>
    <border>
      <left/>
      <right/>
      <top style="thin">
        <color rgb="FFAEAEAE"/>
      </top>
      <bottom/>
      <diagonal/>
    </border>
    <border>
      <left style="thin">
        <color rgb="FFE0E0E0"/>
      </left>
      <right style="thin">
        <color rgb="FFE0E0E0"/>
      </right>
      <top style="thin">
        <color rgb="FFAEAEAE"/>
      </top>
      <bottom/>
      <diagonal/>
    </border>
    <border>
      <left style="thin">
        <color rgb="FFE0E0E0"/>
      </left>
      <right/>
      <top style="thin">
        <color rgb="FFAEAEAE"/>
      </top>
      <bottom/>
      <diagonal/>
    </border>
    <border>
      <left/>
      <right/>
      <top style="thin">
        <color indexed="64"/>
      </top>
      <bottom style="thin">
        <color rgb="FFAEAEAE"/>
      </bottom>
      <diagonal/>
    </border>
    <border>
      <left style="thin">
        <color rgb="FFE0E0E0"/>
      </left>
      <right style="thin">
        <color rgb="FFE0E0E0"/>
      </right>
      <top style="thin">
        <color indexed="64"/>
      </top>
      <bottom style="thin">
        <color rgb="FFAEAEAE"/>
      </bottom>
      <diagonal/>
    </border>
    <border>
      <left style="thin">
        <color rgb="FFE0E0E0"/>
      </left>
      <right/>
      <top style="thin">
        <color indexed="64"/>
      </top>
      <bottom style="thin">
        <color rgb="FFAEAEAE"/>
      </bottom>
      <diagonal/>
    </border>
    <border>
      <left/>
      <right/>
      <top style="thin">
        <color indexed="64"/>
      </top>
      <bottom style="thin">
        <color indexed="64"/>
      </bottom>
      <diagonal/>
    </border>
    <border>
      <left/>
      <right/>
      <top/>
      <bottom style="thin">
        <color rgb="FF95B3D7"/>
      </bottom>
      <diagonal/>
    </border>
    <border>
      <left/>
      <right/>
      <top/>
      <bottom style="thin">
        <color theme="4" tint="0.3999755851924192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rgb="FFE0E0E0"/>
      </right>
      <top/>
      <bottom style="thin">
        <color rgb="FFAEAEAE"/>
      </bottom>
      <diagonal/>
    </border>
    <border>
      <left style="thin">
        <color indexed="64"/>
      </left>
      <right/>
      <top/>
      <bottom style="thin">
        <color indexed="64"/>
      </bottom>
      <diagonal/>
    </border>
    <border>
      <left/>
      <right style="dotted">
        <color rgb="FFEEEEEE"/>
      </right>
      <top/>
      <bottom style="medium">
        <color rgb="FFEEEEEE"/>
      </bottom>
      <diagonal/>
    </border>
    <border>
      <left style="medium">
        <color rgb="FFEEEEEE"/>
      </left>
      <right style="dotted">
        <color rgb="FFEEEEEE"/>
      </right>
      <top style="medium">
        <color rgb="FFEEEEEE"/>
      </top>
      <bottom style="medium">
        <color rgb="FFEEEEEE"/>
      </bottom>
      <diagonal/>
    </border>
    <border>
      <left/>
      <right style="dotted">
        <color rgb="FFEEEEEE"/>
      </right>
      <top style="medium">
        <color rgb="FFEEEEEE"/>
      </top>
      <bottom style="medium">
        <color rgb="FFEEEEEE"/>
      </bottom>
      <diagonal/>
    </border>
    <border>
      <left/>
      <right style="medium">
        <color rgb="FFEEEEEE"/>
      </right>
      <top style="medium">
        <color rgb="FFEEEEEE"/>
      </top>
      <bottom style="medium">
        <color rgb="FFEEEEEE"/>
      </bottom>
      <diagonal/>
    </border>
    <border>
      <left style="medium">
        <color rgb="FFEEEEEE"/>
      </left>
      <right style="dotted">
        <color rgb="FFEEEEEE"/>
      </right>
      <top/>
      <bottom style="medium">
        <color rgb="FFEEEEEE"/>
      </bottom>
      <diagonal/>
    </border>
    <border>
      <left/>
      <right style="medium">
        <color rgb="FFEEEEEE"/>
      </right>
      <top/>
      <bottom style="medium">
        <color rgb="FFEEEEEE"/>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indexed="64"/>
      </bottom>
      <diagonal/>
    </border>
    <border>
      <left style="thin">
        <color indexed="64"/>
      </left>
      <right style="thin">
        <color indexed="64"/>
      </right>
      <top style="thin">
        <color indexed="64"/>
      </top>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style="thin">
        <color rgb="FFA5A5A5"/>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81">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0" applyNumberFormat="0" applyBorder="0" applyAlignment="0" applyProtection="0"/>
    <xf numFmtId="0" fontId="26" fillId="0" borderId="0"/>
    <xf numFmtId="0" fontId="31" fillId="0" borderId="0" applyNumberFormat="0" applyFill="0" applyBorder="0" applyAlignment="0" applyProtection="0"/>
  </cellStyleXfs>
  <cellXfs count="379">
    <xf numFmtId="0" fontId="0" fillId="0" borderId="0" xfId="0"/>
    <xf numFmtId="11" fontId="0" fillId="0" borderId="0" xfId="0" applyNumberFormat="1"/>
    <xf numFmtId="2" fontId="0" fillId="0" borderId="0" xfId="0" applyNumberFormat="1"/>
    <xf numFmtId="0" fontId="4" fillId="0" borderId="0" xfId="0" applyFont="1"/>
    <xf numFmtId="0" fontId="5" fillId="0" borderId="0" xfId="0" applyFont="1"/>
    <xf numFmtId="0" fontId="3" fillId="0" borderId="0" xfId="0" applyFont="1"/>
    <xf numFmtId="0" fontId="0" fillId="0" borderId="2" xfId="0" applyBorder="1"/>
    <xf numFmtId="0" fontId="2" fillId="2" borderId="1" xfId="1"/>
    <xf numFmtId="0" fontId="2" fillId="2" borderId="1" xfId="1" applyNumberFormat="1"/>
    <xf numFmtId="0" fontId="2" fillId="2" borderId="1" xfId="1" applyNumberFormat="1" applyAlignment="1">
      <alignment horizontal="left"/>
    </xf>
    <xf numFmtId="0" fontId="0" fillId="0" borderId="3" xfId="0" applyBorder="1"/>
    <xf numFmtId="0" fontId="4" fillId="0" borderId="0" xfId="0" applyFont="1" applyAlignment="1">
      <alignment horizontal="left"/>
    </xf>
    <xf numFmtId="165" fontId="4" fillId="0" borderId="0" xfId="0" applyNumberFormat="1" applyFont="1" applyAlignment="1">
      <alignment horizontal="left"/>
    </xf>
    <xf numFmtId="0" fontId="1" fillId="4" borderId="4" xfId="3" applyBorder="1"/>
    <xf numFmtId="0" fontId="1" fillId="4" borderId="5" xfId="3" applyBorder="1"/>
    <xf numFmtId="0" fontId="1" fillId="4" borderId="6" xfId="3" applyBorder="1"/>
    <xf numFmtId="0" fontId="1" fillId="4" borderId="7" xfId="3" applyBorder="1"/>
    <xf numFmtId="0" fontId="1" fillId="4" borderId="0" xfId="3" applyBorder="1"/>
    <xf numFmtId="0" fontId="1" fillId="4" borderId="8" xfId="3" applyBorder="1"/>
    <xf numFmtId="0" fontId="1" fillId="4" borderId="9" xfId="3" applyBorder="1"/>
    <xf numFmtId="0" fontId="1" fillId="4" borderId="11" xfId="3" applyBorder="1"/>
    <xf numFmtId="0" fontId="1" fillId="3" borderId="0" xfId="2"/>
    <xf numFmtId="0" fontId="1" fillId="3" borderId="4" xfId="2" applyBorder="1"/>
    <xf numFmtId="0" fontId="1" fillId="3" borderId="5" xfId="2" applyBorder="1"/>
    <xf numFmtId="0" fontId="1" fillId="3" borderId="6" xfId="2" applyBorder="1"/>
    <xf numFmtId="0" fontId="1" fillId="3" borderId="7" xfId="2" applyBorder="1"/>
    <xf numFmtId="1" fontId="1" fillId="3" borderId="0" xfId="2" applyNumberFormat="1" applyBorder="1"/>
    <xf numFmtId="0" fontId="1" fillId="3" borderId="8" xfId="2" applyBorder="1"/>
    <xf numFmtId="0" fontId="1" fillId="3" borderId="0" xfId="2" applyBorder="1"/>
    <xf numFmtId="0" fontId="1" fillId="3" borderId="9" xfId="2" applyBorder="1"/>
    <xf numFmtId="0" fontId="1" fillId="3" borderId="10" xfId="2" applyBorder="1"/>
    <xf numFmtId="0" fontId="1" fillId="3" borderId="11" xfId="2" applyBorder="1"/>
    <xf numFmtId="0" fontId="1" fillId="4" borderId="0" xfId="3"/>
    <xf numFmtId="0" fontId="0" fillId="0" borderId="12" xfId="0" applyBorder="1"/>
    <xf numFmtId="0" fontId="4" fillId="5" borderId="0" xfId="0" applyFont="1" applyFill="1"/>
    <xf numFmtId="0" fontId="0" fillId="5" borderId="0" xfId="0" applyFill="1"/>
    <xf numFmtId="0" fontId="7" fillId="5" borderId="0" xfId="0" applyFont="1" applyFill="1"/>
    <xf numFmtId="0" fontId="9" fillId="0" borderId="0" xfId="0" applyFont="1"/>
    <xf numFmtId="0" fontId="11" fillId="0" borderId="14" xfId="17" applyFont="1" applyBorder="1" applyAlignment="1">
      <alignment horizontal="center" wrapText="1"/>
    </xf>
    <xf numFmtId="0" fontId="11" fillId="0" borderId="15" xfId="18" applyFont="1" applyBorder="1" applyAlignment="1">
      <alignment horizontal="center" wrapText="1"/>
    </xf>
    <xf numFmtId="0" fontId="12" fillId="0" borderId="0" xfId="18" applyFont="1" applyAlignment="1">
      <alignment horizontal="center" wrapText="1"/>
    </xf>
    <xf numFmtId="0" fontId="11" fillId="0" borderId="0" xfId="18" applyFont="1" applyAlignment="1">
      <alignment horizontal="center" wrapText="1"/>
    </xf>
    <xf numFmtId="0" fontId="11" fillId="0" borderId="18" xfId="23" applyFont="1" applyBorder="1" applyAlignment="1">
      <alignment horizontal="center" wrapText="1"/>
    </xf>
    <xf numFmtId="0" fontId="11" fillId="0" borderId="19" xfId="24" applyFont="1" applyBorder="1" applyAlignment="1">
      <alignment horizontal="center" wrapText="1"/>
    </xf>
    <xf numFmtId="0" fontId="11" fillId="6" borderId="20" xfId="27" applyFont="1" applyFill="1" applyBorder="1" applyAlignment="1">
      <alignment horizontal="left" vertical="top" wrapText="1"/>
    </xf>
    <xf numFmtId="166" fontId="13" fillId="7" borderId="22" xfId="29" applyNumberFormat="1" applyFont="1" applyFill="1" applyBorder="1" applyAlignment="1">
      <alignment horizontal="right" vertical="top"/>
    </xf>
    <xf numFmtId="166" fontId="13" fillId="7" borderId="23" xfId="30" applyNumberFormat="1" applyFont="1" applyFill="1" applyBorder="1" applyAlignment="1">
      <alignment horizontal="right" vertical="top"/>
    </xf>
    <xf numFmtId="166" fontId="0" fillId="0" borderId="0" xfId="0" applyNumberFormat="1"/>
    <xf numFmtId="166" fontId="14" fillId="5" borderId="0" xfId="0" applyNumberFormat="1" applyFont="1" applyFill="1"/>
    <xf numFmtId="0" fontId="11" fillId="6" borderId="24" xfId="33" applyFont="1" applyFill="1" applyBorder="1" applyAlignment="1">
      <alignment horizontal="left" vertical="top" wrapText="1"/>
    </xf>
    <xf numFmtId="166" fontId="13" fillId="7" borderId="25" xfId="35" applyNumberFormat="1" applyFont="1" applyFill="1" applyBorder="1" applyAlignment="1">
      <alignment horizontal="right" vertical="top"/>
    </xf>
    <xf numFmtId="166" fontId="13" fillId="7" borderId="26" xfId="35" applyNumberFormat="1" applyFont="1" applyFill="1" applyBorder="1" applyAlignment="1">
      <alignment horizontal="right" vertical="top"/>
    </xf>
    <xf numFmtId="166" fontId="13" fillId="7" borderId="27" xfId="36" applyNumberFormat="1" applyFont="1" applyFill="1" applyBorder="1" applyAlignment="1">
      <alignment horizontal="right" vertical="top"/>
    </xf>
    <xf numFmtId="0" fontId="11" fillId="6" borderId="28" xfId="33" applyFont="1" applyFill="1" applyBorder="1" applyAlignment="1">
      <alignment horizontal="left" vertical="top" wrapText="1"/>
    </xf>
    <xf numFmtId="166" fontId="13" fillId="7" borderId="29" xfId="35" applyNumberFormat="1" applyFont="1" applyFill="1" applyBorder="1" applyAlignment="1">
      <alignment horizontal="right" vertical="top"/>
    </xf>
    <xf numFmtId="166" fontId="13" fillId="7" borderId="14" xfId="35" applyNumberFormat="1" applyFont="1" applyFill="1" applyBorder="1" applyAlignment="1">
      <alignment horizontal="right" vertical="top"/>
    </xf>
    <xf numFmtId="166" fontId="13" fillId="7" borderId="30" xfId="36" applyNumberFormat="1" applyFont="1" applyFill="1" applyBorder="1" applyAlignment="1">
      <alignment horizontal="right" vertical="top"/>
    </xf>
    <xf numFmtId="0" fontId="11" fillId="6" borderId="31" xfId="33" applyFont="1" applyFill="1" applyBorder="1" applyAlignment="1">
      <alignment horizontal="left" vertical="top" wrapText="1"/>
    </xf>
    <xf numFmtId="166" fontId="13" fillId="7" borderId="32" xfId="35" applyNumberFormat="1" applyFont="1" applyFill="1" applyBorder="1" applyAlignment="1">
      <alignment horizontal="right" vertical="top"/>
    </xf>
    <xf numFmtId="166" fontId="13" fillId="7" borderId="33" xfId="36" applyNumberFormat="1" applyFont="1" applyFill="1" applyBorder="1" applyAlignment="1">
      <alignment horizontal="right" vertical="top"/>
    </xf>
    <xf numFmtId="0" fontId="11" fillId="6" borderId="0" xfId="37" applyFont="1" applyFill="1" applyAlignment="1">
      <alignment horizontal="left" vertical="top" wrapText="1"/>
    </xf>
    <xf numFmtId="0" fontId="15" fillId="0" borderId="3" xfId="0" applyFont="1" applyBorder="1"/>
    <xf numFmtId="0" fontId="16" fillId="0" borderId="0" xfId="0" applyFont="1"/>
    <xf numFmtId="2" fontId="0" fillId="0" borderId="34" xfId="0" applyNumberFormat="1" applyBorder="1"/>
    <xf numFmtId="0" fontId="8" fillId="0" borderId="0" xfId="0" applyFont="1"/>
    <xf numFmtId="165" fontId="0" fillId="0" borderId="0" xfId="0" applyNumberFormat="1"/>
    <xf numFmtId="0" fontId="8" fillId="0" borderId="35" xfId="0" applyFont="1" applyBorder="1"/>
    <xf numFmtId="0" fontId="0" fillId="8" borderId="0" xfId="0" applyFill="1"/>
    <xf numFmtId="0" fontId="1" fillId="8" borderId="4" xfId="3" applyFill="1" applyBorder="1"/>
    <xf numFmtId="0" fontId="1" fillId="8" borderId="5" xfId="3" applyFill="1" applyBorder="1"/>
    <xf numFmtId="0" fontId="1" fillId="8" borderId="6" xfId="3" applyFill="1" applyBorder="1"/>
    <xf numFmtId="0" fontId="1" fillId="8" borderId="7" xfId="3" applyFill="1" applyBorder="1"/>
    <xf numFmtId="0" fontId="1" fillId="8" borderId="0" xfId="3" applyFill="1" applyBorder="1"/>
    <xf numFmtId="0" fontId="1" fillId="8" borderId="8" xfId="3" applyFill="1" applyBorder="1"/>
    <xf numFmtId="0" fontId="1" fillId="8" borderId="9" xfId="3" applyFill="1" applyBorder="1"/>
    <xf numFmtId="0" fontId="1" fillId="8" borderId="10" xfId="3" applyFill="1" applyBorder="1"/>
    <xf numFmtId="0" fontId="1" fillId="8" borderId="11" xfId="3" applyFill="1" applyBorder="1"/>
    <xf numFmtId="0" fontId="1" fillId="8" borderId="0" xfId="3" applyFill="1"/>
    <xf numFmtId="1" fontId="1" fillId="4" borderId="0" xfId="3" applyNumberFormat="1"/>
    <xf numFmtId="0" fontId="0" fillId="9" borderId="0" xfId="0" applyFill="1"/>
    <xf numFmtId="1" fontId="1" fillId="4" borderId="0" xfId="3" applyNumberFormat="1" applyBorder="1"/>
    <xf numFmtId="1" fontId="1" fillId="4" borderId="8" xfId="3" applyNumberFormat="1" applyBorder="1"/>
    <xf numFmtId="1" fontId="1" fillId="4" borderId="10" xfId="3" applyNumberFormat="1" applyBorder="1"/>
    <xf numFmtId="1" fontId="1" fillId="4" borderId="11" xfId="3" applyNumberFormat="1" applyBorder="1"/>
    <xf numFmtId="0" fontId="0" fillId="10" borderId="0" xfId="0" applyFill="1"/>
    <xf numFmtId="2" fontId="0" fillId="0" borderId="3" xfId="0" applyNumberFormat="1" applyBorder="1"/>
    <xf numFmtId="0" fontId="0" fillId="0" borderId="34" xfId="0" applyBorder="1"/>
    <xf numFmtId="165" fontId="0" fillId="0" borderId="3" xfId="0" applyNumberFormat="1" applyBorder="1"/>
    <xf numFmtId="0" fontId="0" fillId="10" borderId="3" xfId="0" applyFill="1" applyBorder="1"/>
    <xf numFmtId="0" fontId="4" fillId="0" borderId="3" xfId="0" applyFont="1" applyBorder="1"/>
    <xf numFmtId="0" fontId="8" fillId="0" borderId="3" xfId="0" applyFont="1" applyBorder="1"/>
    <xf numFmtId="0" fontId="4" fillId="11" borderId="0" xfId="0" applyFont="1" applyFill="1"/>
    <xf numFmtId="165" fontId="4" fillId="11" borderId="0" xfId="0" applyNumberFormat="1" applyFont="1" applyFill="1" applyAlignment="1">
      <alignment horizontal="left"/>
    </xf>
    <xf numFmtId="0" fontId="0" fillId="11" borderId="0" xfId="0" applyFill="1"/>
    <xf numFmtId="1" fontId="0" fillId="0" borderId="0" xfId="0" applyNumberFormat="1"/>
    <xf numFmtId="0" fontId="3" fillId="12" borderId="36" xfId="0" applyFont="1" applyFill="1" applyBorder="1"/>
    <xf numFmtId="0" fontId="3" fillId="0" borderId="36" xfId="0" applyFont="1" applyBorder="1"/>
    <xf numFmtId="9" fontId="0" fillId="0" borderId="0" xfId="38" applyFont="1"/>
    <xf numFmtId="166" fontId="7" fillId="0" borderId="0" xfId="0" applyNumberFormat="1" applyFont="1"/>
    <xf numFmtId="0" fontId="17" fillId="0" borderId="0" xfId="18" applyFont="1" applyAlignment="1">
      <alignment horizontal="center" wrapText="1"/>
    </xf>
    <xf numFmtId="9" fontId="7" fillId="0" borderId="0" xfId="38" applyFont="1"/>
    <xf numFmtId="9" fontId="7" fillId="5" borderId="0" xfId="38" applyFont="1" applyFill="1"/>
    <xf numFmtId="0" fontId="3" fillId="5" borderId="0" xfId="0" applyFont="1" applyFill="1"/>
    <xf numFmtId="0" fontId="4" fillId="0" borderId="37" xfId="0" applyFont="1" applyBorder="1"/>
    <xf numFmtId="0" fontId="4" fillId="0" borderId="2" xfId="0" applyFont="1" applyBorder="1" applyAlignment="1">
      <alignment horizontal="left"/>
    </xf>
    <xf numFmtId="0" fontId="4" fillId="0" borderId="38" xfId="0" applyFont="1" applyBorder="1" applyAlignment="1">
      <alignment horizontal="left"/>
    </xf>
    <xf numFmtId="0" fontId="4" fillId="0" borderId="39" xfId="0" applyFont="1" applyBorder="1"/>
    <xf numFmtId="164" fontId="6" fillId="0" borderId="0" xfId="0" applyNumberFormat="1" applyFont="1" applyAlignment="1">
      <alignment horizontal="left"/>
    </xf>
    <xf numFmtId="164" fontId="6" fillId="0" borderId="40" xfId="0" applyNumberFormat="1" applyFont="1" applyBorder="1" applyAlignment="1">
      <alignment horizontal="left"/>
    </xf>
    <xf numFmtId="0" fontId="6" fillId="0" borderId="0" xfId="0" applyFont="1" applyAlignment="1">
      <alignment horizontal="left"/>
    </xf>
    <xf numFmtId="0" fontId="6" fillId="0" borderId="40" xfId="0" applyFont="1" applyBorder="1" applyAlignment="1">
      <alignment horizontal="left"/>
    </xf>
    <xf numFmtId="0" fontId="8" fillId="5" borderId="39" xfId="0" applyFont="1" applyFill="1" applyBorder="1"/>
    <xf numFmtId="164" fontId="6" fillId="5" borderId="0" xfId="0" applyNumberFormat="1" applyFont="1" applyFill="1" applyAlignment="1">
      <alignment horizontal="left"/>
    </xf>
    <xf numFmtId="164" fontId="6" fillId="5" borderId="40" xfId="0" applyNumberFormat="1" applyFont="1" applyFill="1" applyBorder="1" applyAlignment="1">
      <alignment horizontal="left"/>
    </xf>
    <xf numFmtId="0" fontId="11" fillId="0" borderId="13" xfId="51" applyFont="1" applyBorder="1" applyAlignment="1">
      <alignment horizontal="center" wrapText="1"/>
    </xf>
    <xf numFmtId="0" fontId="11" fillId="0" borderId="14" xfId="52" applyFont="1" applyBorder="1" applyAlignment="1">
      <alignment horizontal="center" wrapText="1"/>
    </xf>
    <xf numFmtId="0" fontId="11" fillId="0" borderId="17" xfId="57" applyFont="1" applyBorder="1" applyAlignment="1">
      <alignment horizontal="center" wrapText="1"/>
    </xf>
    <xf numFmtId="0" fontId="11" fillId="0" borderId="18" xfId="58" applyFont="1" applyBorder="1" applyAlignment="1">
      <alignment horizontal="center" wrapText="1"/>
    </xf>
    <xf numFmtId="0" fontId="11" fillId="6" borderId="20" xfId="62" applyFont="1" applyFill="1" applyBorder="1" applyAlignment="1">
      <alignment horizontal="left" vertical="top" wrapText="1"/>
    </xf>
    <xf numFmtId="166" fontId="13" fillId="7" borderId="21" xfId="63" applyNumberFormat="1" applyFont="1" applyFill="1" applyBorder="1" applyAlignment="1">
      <alignment horizontal="right" vertical="top"/>
    </xf>
    <xf numFmtId="166" fontId="13" fillId="7" borderId="22" xfId="64" applyNumberFormat="1" applyFont="1" applyFill="1" applyBorder="1" applyAlignment="1">
      <alignment horizontal="right" vertical="top"/>
    </xf>
    <xf numFmtId="0" fontId="11" fillId="6" borderId="24" xfId="68" applyFont="1" applyFill="1" applyBorder="1" applyAlignment="1">
      <alignment horizontal="left" vertical="top" wrapText="1"/>
    </xf>
    <xf numFmtId="166" fontId="13" fillId="7" borderId="42" xfId="69" applyNumberFormat="1" applyFont="1" applyFill="1" applyBorder="1" applyAlignment="1">
      <alignment horizontal="right" vertical="top"/>
    </xf>
    <xf numFmtId="166" fontId="13" fillId="7" borderId="25" xfId="70" applyNumberFormat="1" applyFont="1" applyFill="1" applyBorder="1" applyAlignment="1">
      <alignment horizontal="right" vertical="top"/>
    </xf>
    <xf numFmtId="0" fontId="4" fillId="8" borderId="0" xfId="0" applyFont="1" applyFill="1"/>
    <xf numFmtId="0" fontId="4" fillId="5" borderId="39" xfId="0" applyFont="1" applyFill="1" applyBorder="1"/>
    <xf numFmtId="0" fontId="8" fillId="0" borderId="2" xfId="0" applyFont="1" applyBorder="1"/>
    <xf numFmtId="0" fontId="4" fillId="0" borderId="2" xfId="0" applyFont="1" applyBorder="1"/>
    <xf numFmtId="164" fontId="0" fillId="0" borderId="0" xfId="0" applyNumberFormat="1"/>
    <xf numFmtId="164" fontId="0" fillId="0" borderId="3" xfId="0" applyNumberFormat="1" applyBorder="1"/>
    <xf numFmtId="164" fontId="0" fillId="0" borderId="2" xfId="0" applyNumberFormat="1" applyBorder="1"/>
    <xf numFmtId="0" fontId="8" fillId="13" borderId="3" xfId="0" applyFont="1" applyFill="1" applyBorder="1"/>
    <xf numFmtId="0" fontId="4" fillId="13" borderId="0" xfId="0" applyFont="1" applyFill="1"/>
    <xf numFmtId="0" fontId="0" fillId="13" borderId="0" xfId="0" applyFill="1"/>
    <xf numFmtId="0" fontId="4" fillId="13" borderId="3" xfId="0" applyFont="1" applyFill="1" applyBorder="1"/>
    <xf numFmtId="0" fontId="8" fillId="13" borderId="0" xfId="0" applyFont="1" applyFill="1"/>
    <xf numFmtId="0" fontId="7" fillId="0" borderId="0" xfId="0" applyFont="1"/>
    <xf numFmtId="0" fontId="8" fillId="0" borderId="39" xfId="0" applyFont="1" applyBorder="1"/>
    <xf numFmtId="0" fontId="19" fillId="0" borderId="39" xfId="0" applyFont="1" applyBorder="1"/>
    <xf numFmtId="0" fontId="7" fillId="0" borderId="39" xfId="0" applyFont="1" applyBorder="1"/>
    <xf numFmtId="0" fontId="20" fillId="0" borderId="0" xfId="0" applyFont="1"/>
    <xf numFmtId="0" fontId="22" fillId="0" borderId="3" xfId="0" applyFont="1" applyBorder="1"/>
    <xf numFmtId="165" fontId="0" fillId="0" borderId="0" xfId="0" applyNumberFormat="1" applyAlignment="1">
      <alignment horizontal="left"/>
    </xf>
    <xf numFmtId="1" fontId="7" fillId="0" borderId="0" xfId="0" applyNumberFormat="1" applyFont="1" applyAlignment="1">
      <alignment horizontal="left"/>
    </xf>
    <xf numFmtId="1" fontId="7" fillId="0" borderId="40" xfId="0" applyNumberFormat="1" applyFont="1" applyBorder="1" applyAlignment="1">
      <alignment horizontal="left"/>
    </xf>
    <xf numFmtId="164" fontId="7" fillId="0" borderId="0" xfId="0" applyNumberFormat="1" applyFont="1" applyAlignment="1">
      <alignment horizontal="left"/>
    </xf>
    <xf numFmtId="164" fontId="7" fillId="0" borderId="40" xfId="0" applyNumberFormat="1" applyFont="1" applyBorder="1" applyAlignment="1">
      <alignment horizontal="left"/>
    </xf>
    <xf numFmtId="0" fontId="23" fillId="0" borderId="0" xfId="0" applyFont="1" applyAlignment="1">
      <alignment horizontal="left"/>
    </xf>
    <xf numFmtId="0" fontId="23" fillId="0" borderId="40" xfId="0" applyFont="1" applyBorder="1" applyAlignment="1">
      <alignment horizontal="left"/>
    </xf>
    <xf numFmtId="164" fontId="23" fillId="0" borderId="0" xfId="0" applyNumberFormat="1" applyFont="1" applyAlignment="1">
      <alignment horizontal="left"/>
    </xf>
    <xf numFmtId="2" fontId="6" fillId="0" borderId="0" xfId="0" applyNumberFormat="1" applyFont="1" applyAlignment="1">
      <alignment horizontal="left"/>
    </xf>
    <xf numFmtId="0" fontId="11" fillId="0" borderId="0" xfId="53" applyFont="1" applyAlignment="1">
      <alignment horizontal="center" wrapText="1"/>
    </xf>
    <xf numFmtId="0" fontId="25" fillId="0" borderId="15" xfId="53" applyFont="1" applyBorder="1" applyAlignment="1">
      <alignment horizontal="center" wrapText="1"/>
    </xf>
    <xf numFmtId="0" fontId="25" fillId="0" borderId="19" xfId="59" applyFont="1" applyBorder="1" applyAlignment="1">
      <alignment horizontal="center" wrapText="1"/>
    </xf>
    <xf numFmtId="166" fontId="25" fillId="7" borderId="23" xfId="65" applyNumberFormat="1" applyFont="1" applyFill="1" applyBorder="1" applyAlignment="1">
      <alignment horizontal="right" vertical="top"/>
    </xf>
    <xf numFmtId="166" fontId="25" fillId="7" borderId="27" xfId="71" applyNumberFormat="1" applyFont="1" applyFill="1" applyBorder="1" applyAlignment="1">
      <alignment horizontal="right" vertical="top"/>
    </xf>
    <xf numFmtId="0" fontId="24" fillId="14" borderId="0" xfId="78"/>
    <xf numFmtId="49" fontId="0" fillId="0" borderId="0" xfId="0" applyNumberFormat="1"/>
    <xf numFmtId="49" fontId="0" fillId="0" borderId="3" xfId="0" applyNumberFormat="1" applyBorder="1"/>
    <xf numFmtId="0" fontId="26" fillId="0" borderId="0" xfId="79"/>
    <xf numFmtId="0" fontId="0" fillId="0" borderId="41" xfId="0" applyBorder="1"/>
    <xf numFmtId="0" fontId="0" fillId="0" borderId="40" xfId="0" applyBorder="1"/>
    <xf numFmtId="0" fontId="0" fillId="5" borderId="3" xfId="0" applyFill="1" applyBorder="1"/>
    <xf numFmtId="0" fontId="27" fillId="0" borderId="0" xfId="0" applyFont="1"/>
    <xf numFmtId="1" fontId="27" fillId="0" borderId="0" xfId="0" applyNumberFormat="1" applyFont="1" applyAlignment="1">
      <alignment horizontal="left"/>
    </xf>
    <xf numFmtId="164" fontId="27" fillId="0" borderId="0" xfId="0" applyNumberFormat="1" applyFont="1" applyAlignment="1">
      <alignment horizontal="left"/>
    </xf>
    <xf numFmtId="164" fontId="27" fillId="0" borderId="40" xfId="0" applyNumberFormat="1" applyFont="1" applyBorder="1" applyAlignment="1">
      <alignment horizontal="left"/>
    </xf>
    <xf numFmtId="0" fontId="27" fillId="0" borderId="0" xfId="0" applyFont="1" applyAlignment="1">
      <alignment horizontal="left"/>
    </xf>
    <xf numFmtId="0" fontId="27" fillId="0" borderId="40" xfId="0" applyFont="1" applyBorder="1" applyAlignment="1">
      <alignment horizontal="left"/>
    </xf>
    <xf numFmtId="167" fontId="6" fillId="0" borderId="0" xfId="0" applyNumberFormat="1" applyFont="1" applyAlignment="1">
      <alignment horizontal="left"/>
    </xf>
    <xf numFmtId="167" fontId="6" fillId="0" borderId="40" xfId="0" applyNumberFormat="1" applyFont="1" applyBorder="1" applyAlignment="1">
      <alignment horizontal="left"/>
    </xf>
    <xf numFmtId="165" fontId="27" fillId="0" borderId="0" xfId="0" applyNumberFormat="1" applyFont="1" applyAlignment="1">
      <alignment horizontal="left"/>
    </xf>
    <xf numFmtId="2" fontId="27" fillId="0" borderId="0" xfId="0" applyNumberFormat="1" applyFont="1" applyAlignment="1">
      <alignment horizontal="left"/>
    </xf>
    <xf numFmtId="0" fontId="4" fillId="0" borderId="0" xfId="0" applyFont="1" applyAlignment="1">
      <alignment wrapText="1"/>
    </xf>
    <xf numFmtId="1" fontId="0" fillId="13" borderId="0" xfId="0" applyNumberFormat="1" applyFill="1"/>
    <xf numFmtId="0" fontId="23" fillId="0" borderId="0" xfId="0" applyFont="1"/>
    <xf numFmtId="165" fontId="7" fillId="0" borderId="0" xfId="0" applyNumberFormat="1" applyFont="1" applyAlignment="1">
      <alignment horizontal="left"/>
    </xf>
    <xf numFmtId="165" fontId="3" fillId="0" borderId="0" xfId="0" applyNumberFormat="1" applyFont="1"/>
    <xf numFmtId="0" fontId="0" fillId="0" borderId="10" xfId="0" applyBorder="1"/>
    <xf numFmtId="0" fontId="0" fillId="15" borderId="0" xfId="0" applyFill="1"/>
    <xf numFmtId="0" fontId="0" fillId="0" borderId="37" xfId="0" applyBorder="1"/>
    <xf numFmtId="0" fontId="0" fillId="0" borderId="38" xfId="0" applyBorder="1"/>
    <xf numFmtId="0" fontId="0" fillId="0" borderId="39" xfId="0" applyBorder="1"/>
    <xf numFmtId="0" fontId="28" fillId="0" borderId="0" xfId="0" applyFont="1"/>
    <xf numFmtId="0" fontId="28" fillId="0" borderId="40" xfId="0" applyFont="1" applyBorder="1"/>
    <xf numFmtId="0" fontId="28" fillId="0" borderId="39" xfId="0" applyFont="1" applyBorder="1"/>
    <xf numFmtId="0" fontId="0" fillId="0" borderId="43" xfId="0" applyBorder="1"/>
    <xf numFmtId="0" fontId="29" fillId="0" borderId="0" xfId="0" applyFont="1" applyAlignment="1">
      <alignment horizontal="left"/>
    </xf>
    <xf numFmtId="0" fontId="30" fillId="5" borderId="0" xfId="0" applyFont="1" applyFill="1"/>
    <xf numFmtId="0" fontId="4" fillId="15" borderId="0" xfId="0" applyFont="1" applyFill="1"/>
    <xf numFmtId="3" fontId="4" fillId="15" borderId="0" xfId="0" applyNumberFormat="1" applyFont="1" applyFill="1"/>
    <xf numFmtId="1" fontId="4" fillId="15" borderId="0" xfId="0" applyNumberFormat="1" applyFont="1" applyFill="1"/>
    <xf numFmtId="0" fontId="31" fillId="0" borderId="0" xfId="80"/>
    <xf numFmtId="0" fontId="32" fillId="18" borderId="50" xfId="0" applyFont="1" applyFill="1" applyBorder="1" applyAlignment="1">
      <alignment vertical="center" wrapText="1"/>
    </xf>
    <xf numFmtId="0" fontId="32" fillId="19" borderId="50" xfId="0" applyFont="1" applyFill="1" applyBorder="1" applyAlignment="1">
      <alignment vertical="center" wrapText="1"/>
    </xf>
    <xf numFmtId="3" fontId="33" fillId="0" borderId="50" xfId="0" applyNumberFormat="1" applyFont="1" applyBorder="1" applyAlignment="1">
      <alignment vertical="center" wrapText="1"/>
    </xf>
    <xf numFmtId="0" fontId="33" fillId="0" borderId="50" xfId="0" applyFont="1" applyBorder="1" applyAlignment="1">
      <alignment vertical="center" wrapText="1"/>
    </xf>
    <xf numFmtId="0" fontId="34" fillId="16" borderId="45" xfId="0" applyFont="1" applyFill="1" applyBorder="1" applyAlignment="1">
      <alignment horizontal="left" vertical="center" wrapText="1"/>
    </xf>
    <xf numFmtId="0" fontId="34" fillId="16" borderId="46" xfId="0" applyFont="1" applyFill="1" applyBorder="1" applyAlignment="1">
      <alignment horizontal="left" vertical="center" wrapText="1"/>
    </xf>
    <xf numFmtId="0" fontId="34" fillId="16" borderId="47" xfId="0" applyFont="1" applyFill="1" applyBorder="1" applyAlignment="1">
      <alignment horizontal="left" vertical="center" wrapText="1"/>
    </xf>
    <xf numFmtId="0" fontId="35" fillId="17" borderId="48" xfId="0" applyFont="1" applyFill="1" applyBorder="1" applyAlignment="1">
      <alignment horizontal="left" vertical="center" wrapText="1"/>
    </xf>
    <xf numFmtId="20" fontId="35" fillId="17" borderId="44" xfId="0" applyNumberFormat="1" applyFont="1" applyFill="1" applyBorder="1" applyAlignment="1">
      <alignment horizontal="left" vertical="center" wrapText="1"/>
    </xf>
    <xf numFmtId="0" fontId="35" fillId="17" borderId="44" xfId="0" applyFont="1" applyFill="1" applyBorder="1" applyAlignment="1">
      <alignment horizontal="left" vertical="center" wrapText="1"/>
    </xf>
    <xf numFmtId="0" fontId="35" fillId="17" borderId="49" xfId="0" applyFont="1" applyFill="1" applyBorder="1" applyAlignment="1">
      <alignment horizontal="left" vertical="center" wrapText="1"/>
    </xf>
    <xf numFmtId="0" fontId="35" fillId="16" borderId="48" xfId="0" applyFont="1" applyFill="1" applyBorder="1" applyAlignment="1">
      <alignment horizontal="left" vertical="center" wrapText="1"/>
    </xf>
    <xf numFmtId="20" fontId="35" fillId="16" borderId="44" xfId="0" applyNumberFormat="1" applyFont="1" applyFill="1" applyBorder="1" applyAlignment="1">
      <alignment horizontal="left" vertical="center" wrapText="1"/>
    </xf>
    <xf numFmtId="0" fontId="35" fillId="16" borderId="44" xfId="0" applyFont="1" applyFill="1" applyBorder="1" applyAlignment="1">
      <alignment horizontal="left" vertical="center" wrapText="1"/>
    </xf>
    <xf numFmtId="0" fontId="35" fillId="16" borderId="49" xfId="0" applyFont="1" applyFill="1" applyBorder="1" applyAlignment="1">
      <alignment horizontal="left" vertical="center" wrapText="1"/>
    </xf>
    <xf numFmtId="0" fontId="36" fillId="0" borderId="0" xfId="0" applyFont="1"/>
    <xf numFmtId="0" fontId="37" fillId="0" borderId="0" xfId="0" applyFont="1"/>
    <xf numFmtId="0" fontId="38" fillId="0" borderId="0" xfId="0" applyFont="1"/>
    <xf numFmtId="168" fontId="39" fillId="0" borderId="0" xfId="0" applyNumberFormat="1" applyFont="1"/>
    <xf numFmtId="167" fontId="0" fillId="0" borderId="0" xfId="0" applyNumberFormat="1"/>
    <xf numFmtId="20" fontId="0" fillId="0" borderId="0" xfId="0" applyNumberFormat="1"/>
    <xf numFmtId="47" fontId="0" fillId="0" borderId="0" xfId="0" applyNumberFormat="1"/>
    <xf numFmtId="0" fontId="32" fillId="19" borderId="0" xfId="0" applyFont="1" applyFill="1" applyAlignment="1">
      <alignment vertical="center" wrapText="1"/>
    </xf>
    <xf numFmtId="3" fontId="33" fillId="0" borderId="0" xfId="0" applyNumberFormat="1" applyFont="1" applyAlignment="1">
      <alignment vertical="center" wrapText="1"/>
    </xf>
    <xf numFmtId="0" fontId="32" fillId="19" borderId="51" xfId="0" applyFont="1" applyFill="1" applyBorder="1" applyAlignment="1">
      <alignment vertical="center" wrapText="1"/>
    </xf>
    <xf numFmtId="0" fontId="32" fillId="19" borderId="52" xfId="0" applyFont="1" applyFill="1" applyBorder="1" applyAlignment="1">
      <alignment vertical="center" wrapText="1"/>
    </xf>
    <xf numFmtId="167" fontId="0" fillId="0" borderId="3" xfId="0" applyNumberFormat="1" applyBorder="1"/>
    <xf numFmtId="167" fontId="0" fillId="20" borderId="0" xfId="0" applyNumberFormat="1" applyFill="1"/>
    <xf numFmtId="0" fontId="40" fillId="0" borderId="0" xfId="0" applyFont="1"/>
    <xf numFmtId="0" fontId="41" fillId="0" borderId="0" xfId="0" applyFont="1"/>
    <xf numFmtId="169" fontId="0" fillId="0" borderId="0" xfId="0" applyNumberFormat="1"/>
    <xf numFmtId="0" fontId="0" fillId="0" borderId="53" xfId="0" applyBorder="1"/>
    <xf numFmtId="0" fontId="0" fillId="0" borderId="0" xfId="0" applyAlignment="1">
      <alignment vertical="center" wrapText="1"/>
    </xf>
    <xf numFmtId="0" fontId="42" fillId="0" borderId="39" xfId="0" applyFont="1" applyBorder="1"/>
    <xf numFmtId="165" fontId="42" fillId="0" borderId="39" xfId="0" applyNumberFormat="1" applyFont="1" applyBorder="1"/>
    <xf numFmtId="165" fontId="3" fillId="0" borderId="39" xfId="0" applyNumberFormat="1" applyFont="1" applyBorder="1"/>
    <xf numFmtId="165" fontId="0" fillId="0" borderId="39" xfId="0" applyNumberFormat="1" applyBorder="1"/>
    <xf numFmtId="0" fontId="36" fillId="0" borderId="39" xfId="0" applyFont="1" applyBorder="1"/>
    <xf numFmtId="0" fontId="0" fillId="20" borderId="0" xfId="0" applyFill="1"/>
    <xf numFmtId="167" fontId="0" fillId="21" borderId="0" xfId="0" applyNumberFormat="1" applyFill="1"/>
    <xf numFmtId="0" fontId="0" fillId="21" borderId="0" xfId="0" applyFill="1"/>
    <xf numFmtId="165" fontId="0" fillId="20" borderId="0" xfId="0" applyNumberFormat="1" applyFill="1"/>
    <xf numFmtId="0" fontId="43" fillId="0" borderId="0" xfId="0" applyFont="1" applyAlignment="1">
      <alignment horizontal="left"/>
    </xf>
    <xf numFmtId="0" fontId="43" fillId="0" borderId="40" xfId="0" applyFont="1" applyBorder="1" applyAlignment="1">
      <alignment horizontal="left"/>
    </xf>
    <xf numFmtId="0" fontId="43" fillId="0" borderId="0" xfId="0" applyFont="1"/>
    <xf numFmtId="0" fontId="44" fillId="0" borderId="0" xfId="0" applyFont="1" applyAlignment="1">
      <alignment vertical="top"/>
    </xf>
    <xf numFmtId="0" fontId="45" fillId="0" borderId="0" xfId="0" applyFont="1" applyAlignment="1">
      <alignment vertical="top"/>
    </xf>
    <xf numFmtId="49" fontId="46" fillId="0" borderId="0" xfId="0" applyNumberFormat="1" applyFont="1" applyAlignment="1">
      <alignment vertical="top"/>
    </xf>
    <xf numFmtId="167" fontId="46" fillId="0" borderId="0" xfId="0" applyNumberFormat="1" applyFont="1" applyAlignment="1">
      <alignment vertical="top"/>
    </xf>
    <xf numFmtId="49" fontId="46" fillId="0" borderId="54" xfId="0" applyNumberFormat="1" applyFont="1" applyBorder="1" applyAlignment="1">
      <alignment vertical="top"/>
    </xf>
    <xf numFmtId="49" fontId="46" fillId="0" borderId="55" xfId="0" applyNumberFormat="1" applyFont="1" applyBorder="1" applyAlignment="1">
      <alignment vertical="top"/>
    </xf>
    <xf numFmtId="0" fontId="46" fillId="0" borderId="0" xfId="0" applyFont="1" applyAlignment="1">
      <alignment vertical="top"/>
    </xf>
    <xf numFmtId="0" fontId="44" fillId="0" borderId="0" xfId="0" applyFont="1" applyAlignment="1">
      <alignment vertical="top" wrapText="1"/>
    </xf>
    <xf numFmtId="167" fontId="0" fillId="0" borderId="34" xfId="0" applyNumberFormat="1" applyBorder="1"/>
    <xf numFmtId="165" fontId="8" fillId="0" borderId="0" xfId="0" applyNumberFormat="1" applyFont="1" applyAlignment="1">
      <alignment horizontal="left"/>
    </xf>
    <xf numFmtId="0" fontId="23" fillId="22" borderId="0" xfId="0" applyFont="1" applyFill="1"/>
    <xf numFmtId="165" fontId="23" fillId="22" borderId="0" xfId="0" applyNumberFormat="1" applyFont="1" applyFill="1" applyAlignment="1">
      <alignment horizontal="left"/>
    </xf>
    <xf numFmtId="0" fontId="4" fillId="0" borderId="3" xfId="0" applyFont="1" applyBorder="1" applyAlignment="1">
      <alignment horizontal="left"/>
    </xf>
    <xf numFmtId="0" fontId="21" fillId="0" borderId="3" xfId="0" applyFont="1" applyBorder="1"/>
    <xf numFmtId="0" fontId="4" fillId="11" borderId="3" xfId="0" applyFont="1" applyFill="1" applyBorder="1"/>
    <xf numFmtId="165" fontId="4" fillId="11" borderId="3" xfId="0" applyNumberFormat="1" applyFont="1" applyFill="1" applyBorder="1" applyAlignment="1">
      <alignment horizontal="left"/>
    </xf>
    <xf numFmtId="0" fontId="42" fillId="0" borderId="0" xfId="0" applyFont="1"/>
    <xf numFmtId="0" fontId="47" fillId="0" borderId="0" xfId="0" applyFont="1"/>
    <xf numFmtId="165" fontId="6" fillId="5" borderId="0" xfId="0" applyNumberFormat="1" applyFont="1" applyFill="1" applyAlignment="1">
      <alignment horizontal="left"/>
    </xf>
    <xf numFmtId="165" fontId="6" fillId="5" borderId="40" xfId="0" applyNumberFormat="1" applyFont="1" applyFill="1" applyBorder="1" applyAlignment="1">
      <alignment horizontal="left"/>
    </xf>
    <xf numFmtId="0" fontId="7" fillId="11" borderId="0" xfId="0" applyFont="1" applyFill="1" applyAlignment="1">
      <alignment wrapText="1"/>
    </xf>
    <xf numFmtId="0" fontId="50" fillId="0" borderId="0" xfId="0" applyFont="1"/>
    <xf numFmtId="0" fontId="51" fillId="0" borderId="0" xfId="0" applyFont="1"/>
    <xf numFmtId="0" fontId="0" fillId="20" borderId="3" xfId="0" applyFill="1" applyBorder="1"/>
    <xf numFmtId="0" fontId="3"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3" fillId="5" borderId="7" xfId="0" applyFont="1" applyFill="1" applyBorder="1"/>
    <xf numFmtId="0" fontId="0" fillId="0" borderId="57" xfId="0" applyBorder="1"/>
    <xf numFmtId="0" fontId="0" fillId="11" borderId="7" xfId="0" applyFill="1" applyBorder="1"/>
    <xf numFmtId="165" fontId="3" fillId="0" borderId="8" xfId="0" applyNumberFormat="1" applyFont="1" applyBorder="1"/>
    <xf numFmtId="0" fontId="7" fillId="11" borderId="7" xfId="0" applyFont="1" applyFill="1" applyBorder="1"/>
    <xf numFmtId="165" fontId="0" fillId="0" borderId="8" xfId="0" applyNumberFormat="1" applyBorder="1"/>
    <xf numFmtId="0" fontId="0" fillId="11" borderId="9" xfId="0" applyFill="1" applyBorder="1"/>
    <xf numFmtId="165" fontId="3" fillId="0" borderId="11" xfId="0" applyNumberFormat="1" applyFont="1" applyBorder="1"/>
    <xf numFmtId="0" fontId="3" fillId="0" borderId="3" xfId="0" applyFont="1" applyBorder="1"/>
    <xf numFmtId="0" fontId="3" fillId="0" borderId="8" xfId="0" applyFont="1" applyBorder="1"/>
    <xf numFmtId="0" fontId="0" fillId="23" borderId="0" xfId="0" applyFill="1"/>
    <xf numFmtId="165" fontId="0" fillId="23" borderId="0" xfId="0" applyNumberFormat="1" applyFill="1"/>
    <xf numFmtId="165" fontId="3" fillId="23" borderId="8" xfId="0" applyNumberFormat="1" applyFont="1" applyFill="1" applyBorder="1"/>
    <xf numFmtId="0" fontId="3" fillId="23" borderId="0" xfId="0" applyFont="1" applyFill="1"/>
    <xf numFmtId="165" fontId="0" fillId="0" borderId="34" xfId="0" applyNumberFormat="1" applyBorder="1"/>
    <xf numFmtId="165" fontId="4" fillId="0" borderId="3" xfId="0" applyNumberFormat="1" applyFont="1" applyBorder="1" applyAlignment="1">
      <alignment horizontal="left"/>
    </xf>
    <xf numFmtId="171" fontId="4" fillId="0" borderId="0" xfId="0" applyNumberFormat="1" applyFont="1" applyAlignment="1">
      <alignment horizontal="left"/>
    </xf>
    <xf numFmtId="171" fontId="0" fillId="0" borderId="34" xfId="0" applyNumberFormat="1" applyBorder="1"/>
    <xf numFmtId="171" fontId="4" fillId="0" borderId="3" xfId="0" applyNumberFormat="1" applyFont="1" applyBorder="1" applyAlignment="1">
      <alignment horizontal="left"/>
    </xf>
    <xf numFmtId="171" fontId="0" fillId="0" borderId="3" xfId="0" applyNumberFormat="1" applyBorder="1"/>
    <xf numFmtId="171" fontId="23" fillId="22" borderId="0" xfId="0" applyNumberFormat="1" applyFont="1" applyFill="1" applyAlignment="1">
      <alignment horizontal="left"/>
    </xf>
    <xf numFmtId="171" fontId="0" fillId="0" borderId="0" xfId="0" applyNumberFormat="1"/>
    <xf numFmtId="171" fontId="4" fillId="11" borderId="0" xfId="0" applyNumberFormat="1" applyFont="1" applyFill="1" applyAlignment="1">
      <alignment horizontal="left"/>
    </xf>
    <xf numFmtId="171" fontId="4" fillId="11" borderId="3" xfId="0" applyNumberFormat="1" applyFont="1" applyFill="1" applyBorder="1" applyAlignment="1">
      <alignment horizontal="left"/>
    </xf>
    <xf numFmtId="171" fontId="7" fillId="0" borderId="0" xfId="0" applyNumberFormat="1" applyFont="1" applyAlignment="1">
      <alignment horizontal="left"/>
    </xf>
    <xf numFmtId="172" fontId="4" fillId="0" borderId="0" xfId="0" applyNumberFormat="1" applyFont="1" applyAlignment="1">
      <alignment horizontal="left"/>
    </xf>
    <xf numFmtId="170" fontId="0" fillId="0" borderId="0" xfId="0" applyNumberFormat="1" applyAlignment="1">
      <alignment horizontal="left"/>
    </xf>
    <xf numFmtId="0" fontId="7" fillId="0" borderId="0" xfId="0" applyFont="1" applyAlignment="1">
      <alignment horizontal="left"/>
    </xf>
    <xf numFmtId="170" fontId="3" fillId="0" borderId="0" xfId="0" applyNumberFormat="1" applyFont="1"/>
    <xf numFmtId="0" fontId="15" fillId="0" borderId="0" xfId="0" applyFont="1"/>
    <xf numFmtId="0" fontId="11" fillId="5" borderId="15" xfId="18" applyFont="1" applyFill="1" applyBorder="1" applyAlignment="1">
      <alignment horizontal="center" wrapText="1"/>
    </xf>
    <xf numFmtId="0" fontId="0" fillId="0" borderId="58" xfId="0" applyBorder="1"/>
    <xf numFmtId="0" fontId="0" fillId="0" borderId="59" xfId="0" applyBorder="1"/>
    <xf numFmtId="0" fontId="0" fillId="0" borderId="60" xfId="0" applyBorder="1"/>
    <xf numFmtId="0" fontId="3" fillId="0" borderId="56" xfId="0" applyFont="1" applyBorder="1"/>
    <xf numFmtId="173" fontId="0" fillId="0" borderId="0" xfId="0" applyNumberFormat="1"/>
    <xf numFmtId="1" fontId="3" fillId="0" borderId="0" xfId="0" applyNumberFormat="1" applyFont="1"/>
    <xf numFmtId="166" fontId="3" fillId="0" borderId="0" xfId="0" applyNumberFormat="1" applyFont="1"/>
    <xf numFmtId="174" fontId="0" fillId="0" borderId="0" xfId="0" applyNumberFormat="1"/>
    <xf numFmtId="0" fontId="19" fillId="0" borderId="0" xfId="0" applyFont="1"/>
    <xf numFmtId="0" fontId="52" fillId="0" borderId="0" xfId="0" applyFont="1"/>
    <xf numFmtId="2" fontId="0" fillId="21" borderId="0" xfId="0" applyNumberFormat="1" applyFill="1"/>
    <xf numFmtId="2" fontId="3" fillId="21" borderId="0" xfId="0" applyNumberFormat="1" applyFont="1" applyFill="1"/>
    <xf numFmtId="0" fontId="52" fillId="0" borderId="0" xfId="0" applyFont="1" applyAlignment="1">
      <alignment horizontal="left"/>
    </xf>
    <xf numFmtId="1" fontId="23" fillId="0" borderId="0" xfId="0" applyNumberFormat="1" applyFont="1" applyAlignment="1">
      <alignment horizontal="left"/>
    </xf>
    <xf numFmtId="0" fontId="4" fillId="0" borderId="43" xfId="0" applyFont="1" applyBorder="1"/>
    <xf numFmtId="0" fontId="8" fillId="0" borderId="43" xfId="0" applyFont="1" applyBorder="1"/>
    <xf numFmtId="0" fontId="19" fillId="0" borderId="43" xfId="0" applyFont="1" applyBorder="1"/>
    <xf numFmtId="0" fontId="8" fillId="5" borderId="43" xfId="0" applyFont="1" applyFill="1" applyBorder="1"/>
    <xf numFmtId="0" fontId="23" fillId="0" borderId="3" xfId="0" applyFont="1" applyBorder="1"/>
    <xf numFmtId="0" fontId="7" fillId="0" borderId="43" xfId="0" applyFont="1" applyBorder="1"/>
    <xf numFmtId="1" fontId="23" fillId="0" borderId="3" xfId="0" applyNumberFormat="1" applyFont="1" applyBorder="1" applyAlignment="1">
      <alignment horizontal="left"/>
    </xf>
    <xf numFmtId="0" fontId="52" fillId="0" borderId="41" xfId="0" applyFont="1" applyBorder="1" applyAlignment="1">
      <alignment horizontal="left"/>
    </xf>
    <xf numFmtId="0" fontId="23" fillId="0" borderId="41" xfId="0" applyFont="1" applyBorder="1" applyAlignment="1">
      <alignment horizontal="left"/>
    </xf>
    <xf numFmtId="165" fontId="3" fillId="0" borderId="3" xfId="0" applyNumberFormat="1" applyFont="1" applyBorder="1"/>
    <xf numFmtId="0" fontId="3" fillId="0" borderId="0" xfId="0" applyFont="1" applyAlignment="1">
      <alignment horizontal="left"/>
    </xf>
    <xf numFmtId="164" fontId="0" fillId="0" borderId="0" xfId="0" applyNumberFormat="1" applyAlignment="1">
      <alignment horizontal="left"/>
    </xf>
    <xf numFmtId="0" fontId="3" fillId="0" borderId="41" xfId="0" applyFont="1" applyBorder="1" applyAlignment="1">
      <alignment horizontal="left"/>
    </xf>
    <xf numFmtId="164" fontId="0" fillId="0" borderId="3" xfId="0" applyNumberFormat="1" applyBorder="1" applyAlignment="1">
      <alignment horizontal="left"/>
    </xf>
    <xf numFmtId="164" fontId="3" fillId="0" borderId="0" xfId="0" applyNumberFormat="1" applyFont="1"/>
    <xf numFmtId="164" fontId="3" fillId="0" borderId="3" xfId="0" applyNumberFormat="1" applyFont="1" applyBorder="1"/>
    <xf numFmtId="0" fontId="3" fillId="0" borderId="43" xfId="0" applyFont="1" applyBorder="1"/>
    <xf numFmtId="0" fontId="19" fillId="0" borderId="0" xfId="0" applyFont="1" applyAlignment="1">
      <alignment horizontal="left"/>
    </xf>
    <xf numFmtId="165" fontId="23" fillId="0" borderId="0" xfId="0" applyNumberFormat="1" applyFont="1"/>
    <xf numFmtId="2" fontId="23" fillId="0" borderId="0" xfId="0" applyNumberFormat="1" applyFont="1"/>
    <xf numFmtId="1" fontId="7" fillId="0" borderId="0" xfId="0" applyNumberFormat="1" applyFont="1"/>
    <xf numFmtId="0" fontId="7" fillId="0" borderId="3" xfId="0" applyFont="1" applyBorder="1"/>
    <xf numFmtId="0" fontId="0" fillId="24" borderId="3" xfId="0" applyFill="1" applyBorder="1"/>
    <xf numFmtId="0" fontId="8" fillId="24" borderId="43" xfId="0" applyFont="1" applyFill="1" applyBorder="1"/>
    <xf numFmtId="0" fontId="7" fillId="11" borderId="0" xfId="0" applyFont="1" applyFill="1"/>
    <xf numFmtId="0" fontId="7" fillId="11" borderId="3" xfId="0" applyFont="1" applyFill="1" applyBorder="1"/>
    <xf numFmtId="0" fontId="42" fillId="5" borderId="0" xfId="0" applyFont="1" applyFill="1"/>
    <xf numFmtId="165" fontId="3" fillId="0" borderId="2" xfId="0" applyNumberFormat="1" applyFont="1" applyBorder="1"/>
    <xf numFmtId="2" fontId="0" fillId="0" borderId="2" xfId="0" applyNumberFormat="1" applyBorder="1"/>
    <xf numFmtId="0" fontId="11" fillId="6" borderId="24" xfId="32" applyFont="1" applyFill="1" applyBorder="1" applyAlignment="1">
      <alignment horizontal="left" vertical="top" wrapText="1"/>
    </xf>
    <xf numFmtId="0" fontId="10" fillId="0" borderId="0" xfId="4" applyFont="1" applyAlignment="1">
      <alignment horizontal="center" vertical="center" wrapText="1"/>
    </xf>
    <xf numFmtId="0" fontId="10" fillId="0" borderId="0" xfId="5" applyFont="1" applyAlignment="1">
      <alignment horizontal="center" vertical="center" wrapText="1"/>
    </xf>
    <xf numFmtId="0" fontId="10" fillId="0" borderId="0" xfId="6" applyFont="1" applyAlignment="1">
      <alignment horizontal="center" vertical="center" wrapText="1"/>
    </xf>
    <xf numFmtId="0" fontId="11" fillId="0" borderId="0" xfId="7" applyFont="1" applyAlignment="1">
      <alignment horizontal="left" wrapText="1"/>
    </xf>
    <xf numFmtId="0" fontId="11" fillId="0" borderId="0" xfId="8" applyFont="1" applyAlignment="1">
      <alignment horizontal="left" wrapText="1"/>
    </xf>
    <xf numFmtId="0" fontId="11" fillId="0" borderId="0" xfId="9" applyFont="1" applyAlignment="1">
      <alignment horizontal="left" wrapText="1"/>
    </xf>
    <xf numFmtId="0" fontId="11" fillId="0" borderId="0" xfId="13" applyFont="1" applyAlignment="1">
      <alignment horizontal="left" wrapText="1"/>
    </xf>
    <xf numFmtId="0" fontId="11" fillId="0" borderId="0" xfId="14" applyFont="1" applyAlignment="1">
      <alignment horizontal="left" wrapText="1"/>
    </xf>
    <xf numFmtId="0" fontId="11" fillId="0" borderId="0" xfId="15" applyFont="1" applyAlignment="1">
      <alignment horizontal="left" wrapText="1"/>
    </xf>
    <xf numFmtId="0" fontId="11" fillId="0" borderId="16" xfId="19" applyFont="1" applyBorder="1" applyAlignment="1">
      <alignment horizontal="left" wrapText="1"/>
    </xf>
    <xf numFmtId="0" fontId="11" fillId="0" borderId="16" xfId="20" applyFont="1" applyBorder="1" applyAlignment="1">
      <alignment horizontal="left" wrapText="1"/>
    </xf>
    <xf numFmtId="0" fontId="11" fillId="0" borderId="16" xfId="21" applyFont="1" applyBorder="1" applyAlignment="1">
      <alignment horizontal="left" wrapText="1"/>
    </xf>
    <xf numFmtId="0" fontId="11" fillId="0" borderId="13" xfId="10" applyFont="1" applyBorder="1" applyAlignment="1">
      <alignment horizontal="center" wrapText="1"/>
    </xf>
    <xf numFmtId="0" fontId="11" fillId="0" borderId="14" xfId="11" applyFont="1" applyBorder="1" applyAlignment="1">
      <alignment horizontal="center" wrapText="1"/>
    </xf>
    <xf numFmtId="0" fontId="11" fillId="0" borderId="15" xfId="12" applyFont="1" applyBorder="1" applyAlignment="1">
      <alignment horizontal="center" wrapText="1"/>
    </xf>
    <xf numFmtId="0" fontId="11" fillId="6" borderId="20" xfId="25" applyFont="1" applyFill="1" applyBorder="1" applyAlignment="1">
      <alignment horizontal="left" vertical="top" wrapText="1"/>
    </xf>
    <xf numFmtId="0" fontId="11" fillId="6" borderId="24" xfId="31" applyFont="1" applyFill="1" applyBorder="1" applyAlignment="1">
      <alignment horizontal="left" vertical="top" wrapText="1"/>
    </xf>
    <xf numFmtId="0" fontId="11" fillId="6" borderId="20" xfId="26" applyFont="1" applyFill="1" applyBorder="1" applyAlignment="1">
      <alignment horizontal="left" vertical="top" wrapText="1"/>
    </xf>
    <xf numFmtId="0" fontId="11" fillId="6" borderId="24" xfId="67" applyFont="1" applyFill="1" applyBorder="1" applyAlignment="1">
      <alignment horizontal="left" vertical="top" wrapText="1"/>
    </xf>
    <xf numFmtId="0" fontId="10" fillId="0" borderId="0" xfId="39" applyFont="1" applyAlignment="1">
      <alignment horizontal="center" vertical="center" wrapText="1"/>
    </xf>
    <xf numFmtId="0" fontId="10" fillId="0" borderId="0" xfId="40" applyFont="1" applyAlignment="1">
      <alignment horizontal="center" vertical="center" wrapText="1"/>
    </xf>
    <xf numFmtId="0" fontId="10" fillId="0" borderId="0" xfId="41" applyFont="1" applyAlignment="1">
      <alignment horizontal="center" vertical="center" wrapText="1"/>
    </xf>
    <xf numFmtId="0" fontId="11" fillId="0" borderId="0" xfId="42" applyFont="1" applyAlignment="1">
      <alignment horizontal="left" wrapText="1"/>
    </xf>
    <xf numFmtId="0" fontId="11" fillId="0" borderId="0" xfId="43" applyFont="1" applyAlignment="1">
      <alignment horizontal="left" wrapText="1"/>
    </xf>
    <xf numFmtId="0" fontId="11" fillId="0" borderId="0" xfId="44" applyFont="1" applyAlignment="1">
      <alignment horizontal="left" wrapText="1"/>
    </xf>
    <xf numFmtId="0" fontId="11" fillId="0" borderId="0" xfId="48" applyFont="1" applyAlignment="1">
      <alignment horizontal="left" wrapText="1"/>
    </xf>
    <xf numFmtId="0" fontId="11" fillId="0" borderId="0" xfId="49" applyFont="1" applyAlignment="1">
      <alignment horizontal="left" wrapText="1"/>
    </xf>
    <xf numFmtId="0" fontId="11" fillId="0" borderId="0" xfId="50" applyFont="1" applyAlignment="1">
      <alignment horizontal="left" wrapText="1"/>
    </xf>
    <xf numFmtId="0" fontId="11" fillId="0" borderId="16" xfId="54" applyFont="1" applyBorder="1" applyAlignment="1">
      <alignment horizontal="left" wrapText="1"/>
    </xf>
    <xf numFmtId="0" fontId="11" fillId="0" borderId="16" xfId="55" applyFont="1" applyBorder="1" applyAlignment="1">
      <alignment horizontal="left" wrapText="1"/>
    </xf>
    <xf numFmtId="0" fontId="11" fillId="0" borderId="16" xfId="56" applyFont="1" applyBorder="1" applyAlignment="1">
      <alignment horizontal="left" wrapText="1"/>
    </xf>
    <xf numFmtId="0" fontId="11" fillId="0" borderId="13" xfId="45" applyFont="1" applyBorder="1" applyAlignment="1">
      <alignment horizontal="center" wrapText="1"/>
    </xf>
    <xf numFmtId="0" fontId="11" fillId="0" borderId="14" xfId="46" applyFont="1" applyBorder="1" applyAlignment="1">
      <alignment horizontal="center" wrapText="1"/>
    </xf>
    <xf numFmtId="0" fontId="11" fillId="0" borderId="15" xfId="47" applyFont="1" applyBorder="1" applyAlignment="1">
      <alignment horizontal="center" wrapText="1"/>
    </xf>
    <xf numFmtId="0" fontId="11" fillId="6" borderId="20" xfId="60" applyFont="1" applyFill="1" applyBorder="1" applyAlignment="1">
      <alignment horizontal="left" vertical="top" wrapText="1"/>
    </xf>
    <xf numFmtId="0" fontId="11" fillId="6" borderId="24" xfId="66" applyFont="1" applyFill="1" applyBorder="1" applyAlignment="1">
      <alignment horizontal="left" vertical="top" wrapText="1"/>
    </xf>
    <xf numFmtId="0" fontId="11" fillId="6" borderId="20" xfId="61" applyFont="1" applyFill="1" applyBorder="1" applyAlignment="1">
      <alignment horizontal="left" vertical="top" wrapText="1"/>
    </xf>
  </cellXfs>
  <cellStyles count="81">
    <cellStyle name="20% - Accent1" xfId="2" builtinId="30"/>
    <cellStyle name="20% - Accent2" xfId="3" builtinId="34"/>
    <cellStyle name="Good" xfId="78" builtinId="26"/>
    <cellStyle name="Hyperlink" xfId="80" builtinId="8"/>
    <cellStyle name="Input" xfId="1" builtinId="20"/>
    <cellStyle name="Normal" xfId="0" builtinId="0"/>
    <cellStyle name="Per cent" xfId="38" builtinId="5"/>
    <cellStyle name="Standaard_OD" xfId="79" xr:uid="{2F7D13C0-668D-4765-9590-B31FE666C4A1}"/>
    <cellStyle name="style1648552410131" xfId="5" xr:uid="{F7902C5B-8D90-4CC7-89B1-BEBC7C3A79B7}"/>
    <cellStyle name="style1648552410193" xfId="6" xr:uid="{C91ECA69-9AFE-4224-B171-0D7B4C27F24B}"/>
    <cellStyle name="style1648552410256" xfId="4" xr:uid="{8630C216-1B96-4650-A97F-488FF2D86820}"/>
    <cellStyle name="style1648552410303" xfId="7" xr:uid="{7B624E63-AE6F-4A91-9A4E-FE115DB27A75}"/>
    <cellStyle name="style1648552410350" xfId="8" xr:uid="{118087CB-E11A-4E03-B38D-89EC5951CD11}"/>
    <cellStyle name="style1648552410381" xfId="9" xr:uid="{AD1A988D-D524-428B-9FEE-60571ABDB20E}"/>
    <cellStyle name="style1648552410444" xfId="13" xr:uid="{3DC246B2-EAFC-46A9-BC6F-F8B14B11BB08}"/>
    <cellStyle name="style1648552410506" xfId="14" xr:uid="{E6AD9BFE-9E04-4C5B-98BF-5EB04023B6F8}"/>
    <cellStyle name="style1648552410556" xfId="15" xr:uid="{E429CDA8-40D7-4BAD-B4C5-917CA6E12638}"/>
    <cellStyle name="style1648552410619" xfId="19" xr:uid="{F1BAD71C-986D-499D-9C11-5DB178FC9421}"/>
    <cellStyle name="style1648552410671" xfId="20" xr:uid="{4F1CF1D2-F0CB-4A64-AAB9-3B6CDA13B9DB}"/>
    <cellStyle name="style1648552410741" xfId="21" xr:uid="{4198CC77-B2C9-4494-9056-432D62ED284E}"/>
    <cellStyle name="style1648552410803" xfId="10" xr:uid="{E89845E2-1ABB-4367-ACBE-01B558854ADE}"/>
    <cellStyle name="style1648552410866" xfId="11" xr:uid="{ABA7C140-03D9-42A4-B258-D8AF22D5DD5D}"/>
    <cellStyle name="style1648552410934" xfId="12" xr:uid="{F0B45692-75E3-4415-A0B2-42B029CE09AC}"/>
    <cellStyle name="style1648552410991" xfId="16" xr:uid="{C2A86836-62F1-4B59-9AB1-6342AA116768}"/>
    <cellStyle name="style1648552411040" xfId="17" xr:uid="{C689A642-8959-43B8-B4D5-EACEC6E810F1}"/>
    <cellStyle name="style1648552411103" xfId="18" xr:uid="{49B57E09-2BF2-48AD-B764-A060C029D4E3}"/>
    <cellStyle name="style1648552411181" xfId="22" xr:uid="{165626E7-B99B-44F9-9448-48B44AE775F6}"/>
    <cellStyle name="style1648552411234" xfId="23" xr:uid="{A72120C4-12D2-40E6-9751-383EAF2CAF0A}"/>
    <cellStyle name="style1648552411290" xfId="24" xr:uid="{3E638EAA-7330-4EE6-9D06-03A3E546D745}"/>
    <cellStyle name="style1648552411353" xfId="25" xr:uid="{6B456311-4C27-460F-BD01-1EE7DB93C143}"/>
    <cellStyle name="style1648552411415" xfId="31" xr:uid="{533D5FC7-F415-4F31-B8BF-AB64CF073B8F}"/>
    <cellStyle name="style1648552411524" xfId="26" xr:uid="{C03447EE-2C21-4F54-BBAF-E6B35E385D3F}"/>
    <cellStyle name="style1648552411587" xfId="32" xr:uid="{09B349D4-072B-4D16-9F7D-4C55041D78AB}"/>
    <cellStyle name="style1648552411635" xfId="27" xr:uid="{722A80A6-B7F1-4987-B295-151C7BEFB184}"/>
    <cellStyle name="style1648552411681" xfId="33" xr:uid="{85917F64-1EE9-4F66-B623-141C4E1CF963}"/>
    <cellStyle name="style1648552411806" xfId="37" xr:uid="{E576E25F-08E8-4EF5-A840-4A8E820EA0E9}"/>
    <cellStyle name="style1648552411854" xfId="28" xr:uid="{CD21FDA9-182E-44A8-853F-EA5002ECDFFE}"/>
    <cellStyle name="style1648552411916" xfId="29" xr:uid="{1C2B362C-A6D0-4104-AB71-CC8FA022989F}"/>
    <cellStyle name="style1648552411979" xfId="30" xr:uid="{BA64B450-C8F1-4C6B-8596-81C41D3A1867}"/>
    <cellStyle name="style1648552412037" xfId="34" xr:uid="{E54DEBCF-172F-4DEF-BCB1-9FE53206F404}"/>
    <cellStyle name="style1648552412088" xfId="35" xr:uid="{B1794D93-5DDA-4B25-9DF7-A09793140EAC}"/>
    <cellStyle name="style1648552412151" xfId="36" xr:uid="{F8171A51-A101-47AA-9543-9920B0991F47}"/>
    <cellStyle name="style1648556910824" xfId="40" xr:uid="{3413AFA3-1F6C-4EF4-92D0-B5F07C913266}"/>
    <cellStyle name="style1648556911039" xfId="41" xr:uid="{B124952E-49EC-42C2-B43F-07BC90451473}"/>
    <cellStyle name="style1648556911114" xfId="39" xr:uid="{53F1A97C-4C1D-4A3A-A5D9-9D6ACB031812}"/>
    <cellStyle name="style1648556911187" xfId="42" xr:uid="{372A95B2-48B9-4D87-8586-6AB12693970B}"/>
    <cellStyle name="style1648556911239" xfId="43" xr:uid="{C6375BF0-7D2C-4CB8-B998-DE3EBF653107}"/>
    <cellStyle name="style1648556911285" xfId="44" xr:uid="{4B1168AF-E33C-4145-9D68-712B6E277E0E}"/>
    <cellStyle name="style1648556911339" xfId="48" xr:uid="{A4BBD78D-C26A-4150-A7E2-F8E16564EDD7}"/>
    <cellStyle name="style1648556911410" xfId="49" xr:uid="{8C845608-61B4-462B-9E17-B7E4B9DC8A51}"/>
    <cellStyle name="style1648556911457" xfId="50" xr:uid="{465DEA57-B0AC-42B3-9A8A-3E9D13B2F03B}"/>
    <cellStyle name="style1648556911520" xfId="54" xr:uid="{C289FD3F-07FF-4129-901F-CD4545E100FB}"/>
    <cellStyle name="style1648556911567" xfId="55" xr:uid="{387F0241-AFDB-4FC6-BF68-463B466006BA}"/>
    <cellStyle name="style1648556911629" xfId="56" xr:uid="{A1395941-4B24-4644-8C3E-5FFCBEE38D8A}"/>
    <cellStyle name="style1648556911676" xfId="45" xr:uid="{9E423208-F7F0-4F38-AD5B-0D66009B2601}"/>
    <cellStyle name="style1648556911723" xfId="46" xr:uid="{972B54A4-24A3-4974-8AD7-5178D228898F}"/>
    <cellStyle name="style1648556911770" xfId="47" xr:uid="{2E3CFC11-4FD4-42EC-B46E-A478D6D92418}"/>
    <cellStyle name="style1648556911817" xfId="51" xr:uid="{9ED75D45-F35C-4621-B117-CB992042DC7B}"/>
    <cellStyle name="style1648556911880" xfId="52" xr:uid="{F56CDDA7-798E-4B71-8E4C-EEE35302E30F}"/>
    <cellStyle name="style1648556911942" xfId="53" xr:uid="{8CF818A8-D623-40AB-B9AD-28E256C1288B}"/>
    <cellStyle name="style1648556912005" xfId="57" xr:uid="{28602AB6-7668-4C21-A4BC-29E8D5F0BA65}"/>
    <cellStyle name="style1648556912052" xfId="58" xr:uid="{91574AEA-BEDB-4A3A-9E29-518726552B16}"/>
    <cellStyle name="style1648556912130" xfId="59" xr:uid="{F136FB66-90EC-4D1F-9410-06CF7607370F}"/>
    <cellStyle name="style1648556912177" xfId="60" xr:uid="{53FADB66-CD53-47C4-820F-827A62735BBF}"/>
    <cellStyle name="style1648556912240" xfId="66" xr:uid="{4DE6683F-3044-4C10-A4D4-D1C8160B5ADA}"/>
    <cellStyle name="style1648556912286" xfId="72" xr:uid="{11C9CB36-8489-4E8E-8D34-832D6D5A74F1}"/>
    <cellStyle name="style1648556912333" xfId="61" xr:uid="{E35511DE-2D87-4533-943D-2005D159EE16}"/>
    <cellStyle name="style1648556912380" xfId="67" xr:uid="{D9B9B2B0-60F3-44D9-A39E-53BC31823896}"/>
    <cellStyle name="style1648556912428" xfId="62" xr:uid="{3508C00C-F2D3-43D8-B829-1E436B4CCBAA}"/>
    <cellStyle name="style1648556912474" xfId="68" xr:uid="{BAFA0CB9-C448-4285-82C3-577E3D8F4494}"/>
    <cellStyle name="style1648556912541" xfId="73" xr:uid="{5FA7C7E6-CBB8-4648-94B3-AF7D24657C20}"/>
    <cellStyle name="style1648556912599" xfId="74" xr:uid="{578CBBA7-9EB3-401E-A257-105AB53D5C03}"/>
    <cellStyle name="style1648556912642" xfId="63" xr:uid="{2A4CDBF0-06AB-41E5-A4EB-80716CD7C20C}"/>
    <cellStyle name="style1648556912693" xfId="64" xr:uid="{1F8DBB84-B5DB-4C1B-8EE7-D76906FE7727}"/>
    <cellStyle name="style1648556912742" xfId="65" xr:uid="{A1911C6E-C5D6-4892-AC56-EC53E4D61524}"/>
    <cellStyle name="style1648556912787" xfId="69" xr:uid="{48BC592B-F065-4ED0-8B93-9F487E80FB9C}"/>
    <cellStyle name="style1648556912834" xfId="70" xr:uid="{D9D753CC-FC4D-4277-BD94-D7569655ED9B}"/>
    <cellStyle name="style1648556912865" xfId="71" xr:uid="{99707927-3B41-40B4-847B-4E58A912C1DD}"/>
    <cellStyle name="style1648556912948" xfId="75" xr:uid="{087DD287-96D5-4E64-B93E-D31E2050E224}"/>
    <cellStyle name="style1648556912980" xfId="76" xr:uid="{E99753A8-9B3D-403D-BC2E-6AC79B07BC13}"/>
    <cellStyle name="style1648556913027" xfId="77" xr:uid="{32ABFAE9-55F8-49DB-BEE3-1110A053817C}"/>
  </cellStyles>
  <dxfs count="0"/>
  <tableStyles count="0" defaultTableStyle="TableStyleMedium2" defaultPivotStyle="PivotStyleLight16"/>
  <colors>
    <mruColors>
      <color rgb="FFFFD7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draaiknoppen!$B$7</c:f>
              <c:strCache>
                <c:ptCount val="1"/>
                <c:pt idx="0">
                  <c:v>orginieel population </c:v>
                </c:pt>
              </c:strCache>
            </c:strRef>
          </c:tx>
          <c:spPr>
            <a:ln w="28575" cap="rnd">
              <a:solidFill>
                <a:schemeClr val="accent1"/>
              </a:solidFill>
              <a:round/>
            </a:ln>
            <a:effectLst/>
          </c:spPr>
          <c:marker>
            <c:symbol val="none"/>
          </c:marker>
          <c:cat>
            <c:numRef>
              <c:f>draaiknoppen!$A$8:$A$25</c:f>
              <c:numCache>
                <c:formatCode>General</c:formatCode>
                <c:ptCount val="18"/>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2025</c:v>
                </c:pt>
                <c:pt idx="13">
                  <c:v>2030</c:v>
                </c:pt>
                <c:pt idx="14">
                  <c:v>2040</c:v>
                </c:pt>
                <c:pt idx="15">
                  <c:v>2050</c:v>
                </c:pt>
              </c:numCache>
            </c:numRef>
          </c:cat>
          <c:val>
            <c:numRef>
              <c:f>draaiknoppen!$B$8:$B$25</c:f>
              <c:numCache>
                <c:formatCode>General</c:formatCode>
                <c:ptCount val="18"/>
                <c:pt idx="0">
                  <c:v>16575000</c:v>
                </c:pt>
                <c:pt idx="1">
                  <c:v>16655800</c:v>
                </c:pt>
                <c:pt idx="2">
                  <c:v>16730300</c:v>
                </c:pt>
                <c:pt idx="3">
                  <c:v>16779600</c:v>
                </c:pt>
                <c:pt idx="4">
                  <c:v>16829300</c:v>
                </c:pt>
                <c:pt idx="5">
                  <c:v>16900700</c:v>
                </c:pt>
                <c:pt idx="6">
                  <c:v>16979100</c:v>
                </c:pt>
                <c:pt idx="7">
                  <c:v>17081500</c:v>
                </c:pt>
                <c:pt idx="8">
                  <c:v>17181100</c:v>
                </c:pt>
                <c:pt idx="9">
                  <c:v>17282200</c:v>
                </c:pt>
                <c:pt idx="10">
                  <c:v>17407600</c:v>
                </c:pt>
                <c:pt idx="11">
                  <c:v>17475400</c:v>
                </c:pt>
                <c:pt idx="12">
                  <c:v>17870000</c:v>
                </c:pt>
                <c:pt idx="13">
                  <c:v>18479500</c:v>
                </c:pt>
                <c:pt idx="14">
                  <c:v>19211000</c:v>
                </c:pt>
                <c:pt idx="15">
                  <c:v>19628200</c:v>
                </c:pt>
              </c:numCache>
            </c:numRef>
          </c:val>
          <c:smooth val="0"/>
          <c:extLst>
            <c:ext xmlns:c16="http://schemas.microsoft.com/office/drawing/2014/chart" uri="{C3380CC4-5D6E-409C-BE32-E72D297353CC}">
              <c16:uniqueId val="{00000000-AC3E-451E-A139-975FD6FB9DBF}"/>
            </c:ext>
          </c:extLst>
        </c:ser>
        <c:ser>
          <c:idx val="1"/>
          <c:order val="1"/>
          <c:tx>
            <c:strRef>
              <c:f>draaiknoppen!$D$4</c:f>
              <c:strCache>
                <c:ptCount val="1"/>
                <c:pt idx="0">
                  <c:v>population</c:v>
                </c:pt>
              </c:strCache>
            </c:strRef>
          </c:tx>
          <c:spPr>
            <a:ln w="28575" cap="rnd">
              <a:solidFill>
                <a:schemeClr val="accent2"/>
              </a:solidFill>
              <a:round/>
            </a:ln>
            <a:effectLst/>
          </c:spPr>
          <c:marker>
            <c:symbol val="none"/>
          </c:marker>
          <c:cat>
            <c:numRef>
              <c:f>draaiknoppen!$A$8:$A$25</c:f>
              <c:numCache>
                <c:formatCode>General</c:formatCode>
                <c:ptCount val="18"/>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2025</c:v>
                </c:pt>
                <c:pt idx="13">
                  <c:v>2030</c:v>
                </c:pt>
                <c:pt idx="14">
                  <c:v>2040</c:v>
                </c:pt>
                <c:pt idx="15">
                  <c:v>2050</c:v>
                </c:pt>
              </c:numCache>
            </c:numRef>
          </c:cat>
          <c:val>
            <c:numRef>
              <c:f>draaiknoppen!$E$4:$S$4</c:f>
              <c:numCache>
                <c:formatCode>General</c:formatCode>
                <c:ptCount val="15"/>
                <c:pt idx="0">
                  <c:v>16575000</c:v>
                </c:pt>
                <c:pt idx="1">
                  <c:v>16655800</c:v>
                </c:pt>
                <c:pt idx="2">
                  <c:v>16730300</c:v>
                </c:pt>
                <c:pt idx="3">
                  <c:v>16779600</c:v>
                </c:pt>
                <c:pt idx="4">
                  <c:v>16829300</c:v>
                </c:pt>
                <c:pt idx="5">
                  <c:v>16900700</c:v>
                </c:pt>
                <c:pt idx="6">
                  <c:v>16979100</c:v>
                </c:pt>
                <c:pt idx="7">
                  <c:v>17081500</c:v>
                </c:pt>
                <c:pt idx="8">
                  <c:v>17181100</c:v>
                </c:pt>
                <c:pt idx="9">
                  <c:v>17282200</c:v>
                </c:pt>
                <c:pt idx="10">
                  <c:v>17407600</c:v>
                </c:pt>
                <c:pt idx="11">
                  <c:v>17475400</c:v>
                </c:pt>
                <c:pt idx="12">
                  <c:v>17870000</c:v>
                </c:pt>
                <c:pt idx="13">
                  <c:v>18479500</c:v>
                </c:pt>
                <c:pt idx="14">
                  <c:v>19211000</c:v>
                </c:pt>
              </c:numCache>
            </c:numRef>
          </c:val>
          <c:smooth val="0"/>
          <c:extLst>
            <c:ext xmlns:c16="http://schemas.microsoft.com/office/drawing/2014/chart" uri="{C3380CC4-5D6E-409C-BE32-E72D297353CC}">
              <c16:uniqueId val="{00000001-0D4B-404B-80DB-F5E7116B41EC}"/>
            </c:ext>
          </c:extLst>
        </c:ser>
        <c:dLbls>
          <c:showLegendKey val="0"/>
          <c:showVal val="0"/>
          <c:showCatName val="0"/>
          <c:showSerName val="0"/>
          <c:showPercent val="0"/>
          <c:showBubbleSize val="0"/>
        </c:dLbls>
        <c:smooth val="0"/>
        <c:axId val="1027883008"/>
        <c:axId val="1027885504"/>
      </c:lineChart>
      <c:dateAx>
        <c:axId val="102788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027885504"/>
        <c:crosses val="autoZero"/>
        <c:auto val="0"/>
        <c:lblOffset val="100"/>
        <c:baseTimeUnit val="days"/>
      </c:dateAx>
      <c:valAx>
        <c:axId val="102788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027883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Subsidy ticjet</a:t>
            </a:r>
            <a:r>
              <a:rPr lang="en-US" baseline="0"/>
              <a:t> price  PT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1"/>
          <c:order val="0"/>
          <c:tx>
            <c:strRef>
              <c:f>Calc_var_car!$B$20</c:f>
              <c:strCache>
                <c:ptCount val="1"/>
                <c:pt idx="0">
                  <c:v>euro/km</c:v>
                </c:pt>
              </c:strCache>
            </c:strRef>
          </c:tx>
          <c:spPr>
            <a:ln w="28575" cap="rnd">
              <a:solidFill>
                <a:schemeClr val="accent2"/>
              </a:solidFill>
              <a:round/>
            </a:ln>
            <a:effectLst/>
          </c:spPr>
          <c:marker>
            <c:symbol val="none"/>
          </c:marker>
          <c:cat>
            <c:numRef>
              <c:f>draaiknoppen!$A$74:$A$95</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draaiknoppen!$B$74:$B$95</c:f>
              <c:numCache>
                <c:formatCode>General</c:formatCode>
                <c:ptCount val="22"/>
                <c:pt idx="0">
                  <c:v>0</c:v>
                </c:pt>
                <c:pt idx="1">
                  <c:v>0</c:v>
                </c:pt>
                <c:pt idx="2">
                  <c:v>0</c:v>
                </c:pt>
                <c:pt idx="3">
                  <c:v>0</c:v>
                </c:pt>
                <c:pt idx="4">
                  <c:v>0</c:v>
                </c:pt>
                <c:pt idx="5">
                  <c:v>0.03</c:v>
                </c:pt>
                <c:pt idx="6">
                  <c:v>0.03</c:v>
                </c:pt>
                <c:pt idx="7">
                  <c:v>0.03</c:v>
                </c:pt>
                <c:pt idx="8">
                  <c:v>0.02</c:v>
                </c:pt>
                <c:pt idx="9">
                  <c:v>0.01</c:v>
                </c:pt>
                <c:pt idx="10">
                  <c:v>0.01</c:v>
                </c:pt>
                <c:pt idx="11">
                  <c:v>0.01</c:v>
                </c:pt>
                <c:pt idx="12">
                  <c:v>0.01</c:v>
                </c:pt>
                <c:pt idx="13">
                  <c:v>0.01</c:v>
                </c:pt>
                <c:pt idx="14">
                  <c:v>0.01</c:v>
                </c:pt>
                <c:pt idx="15">
                  <c:v>0.01</c:v>
                </c:pt>
                <c:pt idx="16">
                  <c:v>0.01</c:v>
                </c:pt>
                <c:pt idx="17">
                  <c:v>0.01</c:v>
                </c:pt>
                <c:pt idx="18">
                  <c:v>0.01</c:v>
                </c:pt>
                <c:pt idx="19">
                  <c:v>0.01</c:v>
                </c:pt>
                <c:pt idx="20">
                  <c:v>0.01</c:v>
                </c:pt>
                <c:pt idx="21">
                  <c:v>0.01</c:v>
                </c:pt>
              </c:numCache>
            </c:numRef>
          </c:val>
          <c:smooth val="0"/>
          <c:extLst>
            <c:ext xmlns:c16="http://schemas.microsoft.com/office/drawing/2014/chart" uri="{C3380CC4-5D6E-409C-BE32-E72D297353CC}">
              <c16:uniqueId val="{00000000-A2EA-47C9-A943-0475CD9AAE9D}"/>
            </c:ext>
          </c:extLst>
        </c:ser>
        <c:dLbls>
          <c:showLegendKey val="0"/>
          <c:showVal val="0"/>
          <c:showCatName val="0"/>
          <c:showSerName val="0"/>
          <c:showPercent val="0"/>
          <c:showBubbleSize val="0"/>
        </c:dLbls>
        <c:smooth val="0"/>
        <c:axId val="1282928480"/>
        <c:axId val="1282929312"/>
      </c:lineChart>
      <c:catAx>
        <c:axId val="128292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282929312"/>
        <c:crosses val="autoZero"/>
        <c:auto val="1"/>
        <c:lblAlgn val="ctr"/>
        <c:lblOffset val="100"/>
        <c:noMultiLvlLbl val="0"/>
      </c:catAx>
      <c:valAx>
        <c:axId val="1282929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282928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Brandstofkosten/</a:t>
            </a:r>
            <a:r>
              <a:rPr lang="en-US" baseline="0"/>
              <a:t> var car cost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1"/>
          <c:order val="0"/>
          <c:tx>
            <c:strRef>
              <c:f>Calc_var_car!$B$20</c:f>
              <c:strCache>
                <c:ptCount val="1"/>
                <c:pt idx="0">
                  <c:v>euro/km</c:v>
                </c:pt>
              </c:strCache>
            </c:strRef>
          </c:tx>
          <c:spPr>
            <a:ln w="28575" cap="rnd">
              <a:solidFill>
                <a:schemeClr val="accent2"/>
              </a:solidFill>
              <a:round/>
            </a:ln>
            <a:effectLst/>
          </c:spPr>
          <c:marker>
            <c:symbol val="none"/>
          </c:marker>
          <c:cat>
            <c:numRef>
              <c:f>Calc_var_car!$I$21:$I$42</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Calc_var_car!$B$21:$B$42</c:f>
              <c:numCache>
                <c:formatCode>0.0000</c:formatCode>
                <c:ptCount val="22"/>
                <c:pt idx="0">
                  <c:v>0.1033127296383034</c:v>
                </c:pt>
                <c:pt idx="1">
                  <c:v>9.8265123601353088E-2</c:v>
                </c:pt>
                <c:pt idx="2">
                  <c:v>0.11287252233498135</c:v>
                </c:pt>
                <c:pt idx="3">
                  <c:v>0.13357031485818374</c:v>
                </c:pt>
                <c:pt idx="4">
                  <c:v>0.13231809315638829</c:v>
                </c:pt>
                <c:pt idx="5">
                  <c:v>0.13106587145459278</c:v>
                </c:pt>
                <c:pt idx="6">
                  <c:v>0.12981364975279733</c:v>
                </c:pt>
                <c:pt idx="7">
                  <c:v>0.12856142805100187</c:v>
                </c:pt>
                <c:pt idx="8">
                  <c:v>0.12730920634920639</c:v>
                </c:pt>
                <c:pt idx="9">
                  <c:v>0.12605698464741094</c:v>
                </c:pt>
                <c:pt idx="10">
                  <c:v>0.12480476294561547</c:v>
                </c:pt>
                <c:pt idx="11">
                  <c:v>0.12355254124381998</c:v>
                </c:pt>
                <c:pt idx="12">
                  <c:v>0.12261754903981269</c:v>
                </c:pt>
                <c:pt idx="13">
                  <c:v>0.12168255683580539</c:v>
                </c:pt>
                <c:pt idx="14">
                  <c:v>0.1207475646317981</c:v>
                </c:pt>
                <c:pt idx="15">
                  <c:v>0.11981257242779084</c:v>
                </c:pt>
                <c:pt idx="16">
                  <c:v>0.11887758022378354</c:v>
                </c:pt>
                <c:pt idx="17">
                  <c:v>0.11794258801977625</c:v>
                </c:pt>
                <c:pt idx="18">
                  <c:v>0.11700759581576897</c:v>
                </c:pt>
                <c:pt idx="19">
                  <c:v>0.11607260361176168</c:v>
                </c:pt>
                <c:pt idx="20">
                  <c:v>0.1151376114077544</c:v>
                </c:pt>
                <c:pt idx="21">
                  <c:v>0.11420261920374709</c:v>
                </c:pt>
              </c:numCache>
            </c:numRef>
          </c:val>
          <c:smooth val="0"/>
          <c:extLst>
            <c:ext xmlns:c16="http://schemas.microsoft.com/office/drawing/2014/chart" uri="{C3380CC4-5D6E-409C-BE32-E72D297353CC}">
              <c16:uniqueId val="{00000000-6EB6-4B63-A698-84A8EAA3C5F6}"/>
            </c:ext>
          </c:extLst>
        </c:ser>
        <c:ser>
          <c:idx val="0"/>
          <c:order val="1"/>
          <c:tx>
            <c:strRef>
              <c:f>Calc_var_car!$J$20</c:f>
              <c:strCache>
                <c:ptCount val="1"/>
                <c:pt idx="0">
                  <c:v>euro/km</c:v>
                </c:pt>
              </c:strCache>
            </c:strRef>
          </c:tx>
          <c:spPr>
            <a:ln w="28575" cap="rnd">
              <a:solidFill>
                <a:schemeClr val="accent1"/>
              </a:solidFill>
              <a:round/>
            </a:ln>
            <a:effectLst/>
          </c:spPr>
          <c:marker>
            <c:symbol val="none"/>
          </c:marker>
          <c:cat>
            <c:numRef>
              <c:f>Calc_var_car!$I$21:$I$42</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Calc_var_car!$J$21:$J$42</c:f>
              <c:numCache>
                <c:formatCode>0.000</c:formatCode>
                <c:ptCount val="22"/>
                <c:pt idx="0" formatCode="General">
                  <c:v>7.4999999999999997E-2</c:v>
                </c:pt>
                <c:pt idx="1">
                  <c:v>8.0600000000000005E-2</c:v>
                </c:pt>
                <c:pt idx="2">
                  <c:v>8.6200000000000013E-2</c:v>
                </c:pt>
                <c:pt idx="3">
                  <c:v>9.180000000000002E-2</c:v>
                </c:pt>
                <c:pt idx="4">
                  <c:v>9.1168875000000024E-2</c:v>
                </c:pt>
                <c:pt idx="5">
                  <c:v>9.0537750000000028E-2</c:v>
                </c:pt>
                <c:pt idx="6">
                  <c:v>8.9906625000000032E-2</c:v>
                </c:pt>
                <c:pt idx="7">
                  <c:v>8.9275500000000035E-2</c:v>
                </c:pt>
                <c:pt idx="8">
                  <c:v>8.8644375000000039E-2</c:v>
                </c:pt>
                <c:pt idx="9">
                  <c:v>8.8013250000000043E-2</c:v>
                </c:pt>
                <c:pt idx="10">
                  <c:v>8.7382125000000047E-2</c:v>
                </c:pt>
                <c:pt idx="11">
                  <c:v>8.6751000000000023E-2</c:v>
                </c:pt>
                <c:pt idx="12">
                  <c:v>8.5511700000000024E-2</c:v>
                </c:pt>
                <c:pt idx="13">
                  <c:v>8.4272400000000025E-2</c:v>
                </c:pt>
                <c:pt idx="14">
                  <c:v>8.3033100000000026E-2</c:v>
                </c:pt>
                <c:pt idx="15">
                  <c:v>8.1793800000000028E-2</c:v>
                </c:pt>
                <c:pt idx="16">
                  <c:v>8.0554500000000029E-2</c:v>
                </c:pt>
                <c:pt idx="17">
                  <c:v>7.931520000000003E-2</c:v>
                </c:pt>
                <c:pt idx="18">
                  <c:v>7.8075900000000031E-2</c:v>
                </c:pt>
                <c:pt idx="19">
                  <c:v>7.6836600000000033E-2</c:v>
                </c:pt>
                <c:pt idx="20">
                  <c:v>7.5597300000000034E-2</c:v>
                </c:pt>
                <c:pt idx="21">
                  <c:v>7.4358000000000007E-2</c:v>
                </c:pt>
              </c:numCache>
            </c:numRef>
          </c:val>
          <c:smooth val="0"/>
          <c:extLst>
            <c:ext xmlns:c16="http://schemas.microsoft.com/office/drawing/2014/chart" uri="{C3380CC4-5D6E-409C-BE32-E72D297353CC}">
              <c16:uniqueId val="{00000002-57B0-426B-B05A-F32B283E9F3F}"/>
            </c:ext>
          </c:extLst>
        </c:ser>
        <c:dLbls>
          <c:showLegendKey val="0"/>
          <c:showVal val="0"/>
          <c:showCatName val="0"/>
          <c:showSerName val="0"/>
          <c:showPercent val="0"/>
          <c:showBubbleSize val="0"/>
        </c:dLbls>
        <c:smooth val="0"/>
        <c:axId val="1282928480"/>
        <c:axId val="1282929312"/>
      </c:lineChart>
      <c:catAx>
        <c:axId val="128292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282929312"/>
        <c:crosses val="autoZero"/>
        <c:auto val="1"/>
        <c:lblAlgn val="ctr"/>
        <c:lblOffset val="100"/>
        <c:noMultiLvlLbl val="0"/>
      </c:catAx>
      <c:valAx>
        <c:axId val="12829293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282928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Ontwikkelinf</a:t>
            </a:r>
            <a:r>
              <a:rPr lang="nl-NL" baseline="0"/>
              <a:t> brandstofkosten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0"/>
          <c:order val="0"/>
          <c:tx>
            <c:strRef>
              <c:f>Calc_var_car!$AC$28</c:f>
              <c:strCache>
                <c:ptCount val="1"/>
                <c:pt idx="0">
                  <c:v>Benzine Euro95 (euro/liter)</c:v>
                </c:pt>
              </c:strCache>
            </c:strRef>
          </c:tx>
          <c:spPr>
            <a:ln w="28575" cap="rnd">
              <a:solidFill>
                <a:schemeClr val="accent1"/>
              </a:solidFill>
              <a:round/>
            </a:ln>
            <a:effectLst/>
          </c:spPr>
          <c:marker>
            <c:symbol val="none"/>
          </c:marker>
          <c:cat>
            <c:strRef>
              <c:f>Calc_var_car!$AB$29:$AB$70</c:f>
              <c:strCache>
                <c:ptCount val="42"/>
                <c:pt idx="0">
                  <c:v>2019 dinsdag 1 januari</c:v>
                </c:pt>
                <c:pt idx="1">
                  <c:v>2019 vrijdag 1 februari</c:v>
                </c:pt>
                <c:pt idx="2">
                  <c:v>2019 vrijdag 1 maart</c:v>
                </c:pt>
                <c:pt idx="3">
                  <c:v>2019 maandag 1 april</c:v>
                </c:pt>
                <c:pt idx="4">
                  <c:v>2019 woensdag 1 mei</c:v>
                </c:pt>
                <c:pt idx="5">
                  <c:v>2019 zaterdag 1 juni</c:v>
                </c:pt>
                <c:pt idx="6">
                  <c:v>2019 maandag 1 juli</c:v>
                </c:pt>
                <c:pt idx="7">
                  <c:v>2019 donderdag 1 augustus</c:v>
                </c:pt>
                <c:pt idx="8">
                  <c:v>2019 zondag 1 september</c:v>
                </c:pt>
                <c:pt idx="9">
                  <c:v>2019 dinsdag 1 oktober</c:v>
                </c:pt>
                <c:pt idx="10">
                  <c:v>2019 vrijdag 1 november</c:v>
                </c:pt>
                <c:pt idx="11">
                  <c:v>2019 zondag 1 december</c:v>
                </c:pt>
                <c:pt idx="12">
                  <c:v>2020 woensdag 1 januari</c:v>
                </c:pt>
                <c:pt idx="13">
                  <c:v>2020 zaterdag 1 februari</c:v>
                </c:pt>
                <c:pt idx="14">
                  <c:v>2020 zondag 1 maart</c:v>
                </c:pt>
                <c:pt idx="15">
                  <c:v>2020 woensdag 1 april</c:v>
                </c:pt>
                <c:pt idx="16">
                  <c:v>2020 vrijdag 1 mei</c:v>
                </c:pt>
                <c:pt idx="17">
                  <c:v>2020 maandag 1 juni</c:v>
                </c:pt>
                <c:pt idx="18">
                  <c:v>2020 woensdag 1 juli</c:v>
                </c:pt>
                <c:pt idx="19">
                  <c:v>2020 zaterdag 1 augustus</c:v>
                </c:pt>
                <c:pt idx="20">
                  <c:v>2020 dinsdag 1 september</c:v>
                </c:pt>
                <c:pt idx="21">
                  <c:v>2020 donderdag 1 oktober</c:v>
                </c:pt>
                <c:pt idx="22">
                  <c:v>2020 zondag 1 november</c:v>
                </c:pt>
                <c:pt idx="23">
                  <c:v>2020 dinsdag 1 december</c:v>
                </c:pt>
                <c:pt idx="24">
                  <c:v>2021 vrijdag 1 januari</c:v>
                </c:pt>
                <c:pt idx="25">
                  <c:v>2021 maandag 1 februari</c:v>
                </c:pt>
                <c:pt idx="26">
                  <c:v>2021 maandag 1 maart</c:v>
                </c:pt>
                <c:pt idx="27">
                  <c:v>2021 donderdag 1 april</c:v>
                </c:pt>
                <c:pt idx="28">
                  <c:v>2021 zaterdag 1 mei</c:v>
                </c:pt>
                <c:pt idx="29">
                  <c:v>2021 dinsdag 1 juni</c:v>
                </c:pt>
                <c:pt idx="30">
                  <c:v>2021 donderdag 1 juli</c:v>
                </c:pt>
                <c:pt idx="31">
                  <c:v>2021 zondag 1 augustus</c:v>
                </c:pt>
                <c:pt idx="32">
                  <c:v>2021 woensdag 1 september</c:v>
                </c:pt>
                <c:pt idx="33">
                  <c:v>2021 vrijdag 1 oktober</c:v>
                </c:pt>
                <c:pt idx="34">
                  <c:v>2021 maandag 1 november</c:v>
                </c:pt>
                <c:pt idx="35">
                  <c:v>2021 woensdag 1 december</c:v>
                </c:pt>
                <c:pt idx="36">
                  <c:v>2022 zaterdag 1 januari</c:v>
                </c:pt>
                <c:pt idx="37">
                  <c:v>2022 dinsdag 1 februari</c:v>
                </c:pt>
                <c:pt idx="38">
                  <c:v>2022 dinsdag 1 maart</c:v>
                </c:pt>
                <c:pt idx="39">
                  <c:v>2022 vrijdag 1 april</c:v>
                </c:pt>
                <c:pt idx="40">
                  <c:v>2022 zondag 1 mei</c:v>
                </c:pt>
                <c:pt idx="41">
                  <c:v>2022 woensdag 1 juni</c:v>
                </c:pt>
              </c:strCache>
            </c:strRef>
          </c:cat>
          <c:val>
            <c:numRef>
              <c:f>Calc_var_car!$AC$29:$AC$70</c:f>
              <c:numCache>
                <c:formatCode>#,##0</c:formatCode>
                <c:ptCount val="42"/>
                <c:pt idx="0">
                  <c:v>1496</c:v>
                </c:pt>
                <c:pt idx="1">
                  <c:v>1554</c:v>
                </c:pt>
                <c:pt idx="2">
                  <c:v>1598</c:v>
                </c:pt>
                <c:pt idx="3">
                  <c:v>1665</c:v>
                </c:pt>
                <c:pt idx="4">
                  <c:v>1724</c:v>
                </c:pt>
                <c:pt idx="5">
                  <c:v>1716</c:v>
                </c:pt>
                <c:pt idx="6">
                  <c:v>1658</c:v>
                </c:pt>
                <c:pt idx="7">
                  <c:v>1674</c:v>
                </c:pt>
                <c:pt idx="8">
                  <c:v>1631</c:v>
                </c:pt>
                <c:pt idx="9">
                  <c:v>1655</c:v>
                </c:pt>
                <c:pt idx="10">
                  <c:v>1652</c:v>
                </c:pt>
                <c:pt idx="11">
                  <c:v>1661</c:v>
                </c:pt>
                <c:pt idx="12">
                  <c:v>1689</c:v>
                </c:pt>
                <c:pt idx="13">
                  <c:v>1665</c:v>
                </c:pt>
                <c:pt idx="14">
                  <c:v>1648</c:v>
                </c:pt>
                <c:pt idx="15">
                  <c:v>1492</c:v>
                </c:pt>
                <c:pt idx="16">
                  <c:v>1457</c:v>
                </c:pt>
                <c:pt idx="17">
                  <c:v>1510</c:v>
                </c:pt>
                <c:pt idx="18">
                  <c:v>1560</c:v>
                </c:pt>
                <c:pt idx="19">
                  <c:v>1549</c:v>
                </c:pt>
                <c:pt idx="20">
                  <c:v>1572</c:v>
                </c:pt>
                <c:pt idx="21">
                  <c:v>1566</c:v>
                </c:pt>
                <c:pt idx="22">
                  <c:v>1519</c:v>
                </c:pt>
                <c:pt idx="23">
                  <c:v>1546</c:v>
                </c:pt>
                <c:pt idx="24">
                  <c:v>1573</c:v>
                </c:pt>
                <c:pt idx="25">
                  <c:v>1635</c:v>
                </c:pt>
                <c:pt idx="26">
                  <c:v>1709</c:v>
                </c:pt>
                <c:pt idx="27">
                  <c:v>1736</c:v>
                </c:pt>
                <c:pt idx="28">
                  <c:v>1768</c:v>
                </c:pt>
                <c:pt idx="29">
                  <c:v>1768</c:v>
                </c:pt>
                <c:pt idx="30">
                  <c:v>1817</c:v>
                </c:pt>
                <c:pt idx="31">
                  <c:v>1838</c:v>
                </c:pt>
                <c:pt idx="32">
                  <c:v>1841</c:v>
                </c:pt>
                <c:pt idx="33">
                  <c:v>1874</c:v>
                </c:pt>
                <c:pt idx="34">
                  <c:v>1978</c:v>
                </c:pt>
                <c:pt idx="35">
                  <c:v>1994</c:v>
                </c:pt>
                <c:pt idx="36">
                  <c:v>1974</c:v>
                </c:pt>
                <c:pt idx="37">
                  <c:v>2015</c:v>
                </c:pt>
                <c:pt idx="38">
                  <c:v>2109</c:v>
                </c:pt>
                <c:pt idx="39">
                  <c:v>2119</c:v>
                </c:pt>
                <c:pt idx="40">
                  <c:v>2110</c:v>
                </c:pt>
                <c:pt idx="41">
                  <c:v>2311</c:v>
                </c:pt>
              </c:numCache>
            </c:numRef>
          </c:val>
          <c:smooth val="0"/>
          <c:extLst>
            <c:ext xmlns:c16="http://schemas.microsoft.com/office/drawing/2014/chart" uri="{C3380CC4-5D6E-409C-BE32-E72D297353CC}">
              <c16:uniqueId val="{00000000-E728-4391-9B1A-9CE3BE6F6726}"/>
            </c:ext>
          </c:extLst>
        </c:ser>
        <c:ser>
          <c:idx val="1"/>
          <c:order val="1"/>
          <c:tx>
            <c:strRef>
              <c:f>Calc_var_car!$AD$28</c:f>
              <c:strCache>
                <c:ptCount val="1"/>
                <c:pt idx="0">
                  <c:v>Diesel (euro/liter)</c:v>
                </c:pt>
              </c:strCache>
            </c:strRef>
          </c:tx>
          <c:spPr>
            <a:ln w="28575" cap="rnd">
              <a:solidFill>
                <a:schemeClr val="accent2"/>
              </a:solidFill>
              <a:round/>
            </a:ln>
            <a:effectLst/>
          </c:spPr>
          <c:marker>
            <c:symbol val="none"/>
          </c:marker>
          <c:cat>
            <c:strRef>
              <c:f>Calc_var_car!$AB$29:$AB$70</c:f>
              <c:strCache>
                <c:ptCount val="42"/>
                <c:pt idx="0">
                  <c:v>2019 dinsdag 1 januari</c:v>
                </c:pt>
                <c:pt idx="1">
                  <c:v>2019 vrijdag 1 februari</c:v>
                </c:pt>
                <c:pt idx="2">
                  <c:v>2019 vrijdag 1 maart</c:v>
                </c:pt>
                <c:pt idx="3">
                  <c:v>2019 maandag 1 april</c:v>
                </c:pt>
                <c:pt idx="4">
                  <c:v>2019 woensdag 1 mei</c:v>
                </c:pt>
                <c:pt idx="5">
                  <c:v>2019 zaterdag 1 juni</c:v>
                </c:pt>
                <c:pt idx="6">
                  <c:v>2019 maandag 1 juli</c:v>
                </c:pt>
                <c:pt idx="7">
                  <c:v>2019 donderdag 1 augustus</c:v>
                </c:pt>
                <c:pt idx="8">
                  <c:v>2019 zondag 1 september</c:v>
                </c:pt>
                <c:pt idx="9">
                  <c:v>2019 dinsdag 1 oktober</c:v>
                </c:pt>
                <c:pt idx="10">
                  <c:v>2019 vrijdag 1 november</c:v>
                </c:pt>
                <c:pt idx="11">
                  <c:v>2019 zondag 1 december</c:v>
                </c:pt>
                <c:pt idx="12">
                  <c:v>2020 woensdag 1 januari</c:v>
                </c:pt>
                <c:pt idx="13">
                  <c:v>2020 zaterdag 1 februari</c:v>
                </c:pt>
                <c:pt idx="14">
                  <c:v>2020 zondag 1 maart</c:v>
                </c:pt>
                <c:pt idx="15">
                  <c:v>2020 woensdag 1 april</c:v>
                </c:pt>
                <c:pt idx="16">
                  <c:v>2020 vrijdag 1 mei</c:v>
                </c:pt>
                <c:pt idx="17">
                  <c:v>2020 maandag 1 juni</c:v>
                </c:pt>
                <c:pt idx="18">
                  <c:v>2020 woensdag 1 juli</c:v>
                </c:pt>
                <c:pt idx="19">
                  <c:v>2020 zaterdag 1 augustus</c:v>
                </c:pt>
                <c:pt idx="20">
                  <c:v>2020 dinsdag 1 september</c:v>
                </c:pt>
                <c:pt idx="21">
                  <c:v>2020 donderdag 1 oktober</c:v>
                </c:pt>
                <c:pt idx="22">
                  <c:v>2020 zondag 1 november</c:v>
                </c:pt>
                <c:pt idx="23">
                  <c:v>2020 dinsdag 1 december</c:v>
                </c:pt>
                <c:pt idx="24">
                  <c:v>2021 vrijdag 1 januari</c:v>
                </c:pt>
                <c:pt idx="25">
                  <c:v>2021 maandag 1 februari</c:v>
                </c:pt>
                <c:pt idx="26">
                  <c:v>2021 maandag 1 maart</c:v>
                </c:pt>
                <c:pt idx="27">
                  <c:v>2021 donderdag 1 april</c:v>
                </c:pt>
                <c:pt idx="28">
                  <c:v>2021 zaterdag 1 mei</c:v>
                </c:pt>
                <c:pt idx="29">
                  <c:v>2021 dinsdag 1 juni</c:v>
                </c:pt>
                <c:pt idx="30">
                  <c:v>2021 donderdag 1 juli</c:v>
                </c:pt>
                <c:pt idx="31">
                  <c:v>2021 zondag 1 augustus</c:v>
                </c:pt>
                <c:pt idx="32">
                  <c:v>2021 woensdag 1 september</c:v>
                </c:pt>
                <c:pt idx="33">
                  <c:v>2021 vrijdag 1 oktober</c:v>
                </c:pt>
                <c:pt idx="34">
                  <c:v>2021 maandag 1 november</c:v>
                </c:pt>
                <c:pt idx="35">
                  <c:v>2021 woensdag 1 december</c:v>
                </c:pt>
                <c:pt idx="36">
                  <c:v>2022 zaterdag 1 januari</c:v>
                </c:pt>
                <c:pt idx="37">
                  <c:v>2022 dinsdag 1 februari</c:v>
                </c:pt>
                <c:pt idx="38">
                  <c:v>2022 dinsdag 1 maart</c:v>
                </c:pt>
                <c:pt idx="39">
                  <c:v>2022 vrijdag 1 april</c:v>
                </c:pt>
                <c:pt idx="40">
                  <c:v>2022 zondag 1 mei</c:v>
                </c:pt>
                <c:pt idx="41">
                  <c:v>2022 woensdag 1 juni</c:v>
                </c:pt>
              </c:strCache>
            </c:strRef>
          </c:cat>
          <c:val>
            <c:numRef>
              <c:f>Calc_var_car!$AD$29:$AD$70</c:f>
              <c:numCache>
                <c:formatCode>#,##0</c:formatCode>
                <c:ptCount val="42"/>
                <c:pt idx="0">
                  <c:v>1268</c:v>
                </c:pt>
                <c:pt idx="1">
                  <c:v>1323</c:v>
                </c:pt>
                <c:pt idx="2">
                  <c:v>1361</c:v>
                </c:pt>
                <c:pt idx="3">
                  <c:v>1358</c:v>
                </c:pt>
                <c:pt idx="4">
                  <c:v>1393</c:v>
                </c:pt>
                <c:pt idx="5">
                  <c:v>1374</c:v>
                </c:pt>
                <c:pt idx="6">
                  <c:v>1345</c:v>
                </c:pt>
                <c:pt idx="7">
                  <c:v>1347</c:v>
                </c:pt>
                <c:pt idx="8">
                  <c:v>1326</c:v>
                </c:pt>
                <c:pt idx="9">
                  <c:v>1382</c:v>
                </c:pt>
                <c:pt idx="10">
                  <c:v>1370</c:v>
                </c:pt>
                <c:pt idx="11">
                  <c:v>1380</c:v>
                </c:pt>
                <c:pt idx="12">
                  <c:v>1422</c:v>
                </c:pt>
                <c:pt idx="13">
                  <c:v>1366</c:v>
                </c:pt>
                <c:pt idx="14">
                  <c:v>1337</c:v>
                </c:pt>
                <c:pt idx="15">
                  <c:v>1236</c:v>
                </c:pt>
                <c:pt idx="16">
                  <c:v>1198</c:v>
                </c:pt>
                <c:pt idx="17">
                  <c:v>1193</c:v>
                </c:pt>
                <c:pt idx="18">
                  <c:v>1218</c:v>
                </c:pt>
                <c:pt idx="19">
                  <c:v>1207</c:v>
                </c:pt>
                <c:pt idx="20">
                  <c:v>1200</c:v>
                </c:pt>
                <c:pt idx="21">
                  <c:v>1166</c:v>
                </c:pt>
                <c:pt idx="22">
                  <c:v>1156</c:v>
                </c:pt>
                <c:pt idx="23">
                  <c:v>1223</c:v>
                </c:pt>
                <c:pt idx="24">
                  <c:v>1252</c:v>
                </c:pt>
                <c:pt idx="25">
                  <c:v>1310</c:v>
                </c:pt>
                <c:pt idx="26">
                  <c:v>1392</c:v>
                </c:pt>
                <c:pt idx="27">
                  <c:v>1385</c:v>
                </c:pt>
                <c:pt idx="28">
                  <c:v>1404</c:v>
                </c:pt>
                <c:pt idx="29">
                  <c:v>1405</c:v>
                </c:pt>
                <c:pt idx="30">
                  <c:v>1460</c:v>
                </c:pt>
                <c:pt idx="31">
                  <c:v>1463</c:v>
                </c:pt>
                <c:pt idx="32">
                  <c:v>1466</c:v>
                </c:pt>
                <c:pt idx="33">
                  <c:v>1539</c:v>
                </c:pt>
                <c:pt idx="34">
                  <c:v>1640</c:v>
                </c:pt>
                <c:pt idx="35">
                  <c:v>1622</c:v>
                </c:pt>
                <c:pt idx="36">
                  <c:v>1613</c:v>
                </c:pt>
                <c:pt idx="37">
                  <c:v>1717</c:v>
                </c:pt>
                <c:pt idx="38">
                  <c:v>1798</c:v>
                </c:pt>
                <c:pt idx="39">
                  <c:v>2041</c:v>
                </c:pt>
                <c:pt idx="40">
                  <c:v>2018</c:v>
                </c:pt>
                <c:pt idx="41">
                  <c:v>2012</c:v>
                </c:pt>
              </c:numCache>
            </c:numRef>
          </c:val>
          <c:smooth val="0"/>
          <c:extLst>
            <c:ext xmlns:c16="http://schemas.microsoft.com/office/drawing/2014/chart" uri="{C3380CC4-5D6E-409C-BE32-E72D297353CC}">
              <c16:uniqueId val="{00000001-E728-4391-9B1A-9CE3BE6F6726}"/>
            </c:ext>
          </c:extLst>
        </c:ser>
        <c:ser>
          <c:idx val="2"/>
          <c:order val="2"/>
          <c:tx>
            <c:strRef>
              <c:f>Calc_var_car!$AE$28</c:f>
              <c:strCache>
                <c:ptCount val="1"/>
                <c:pt idx="0">
                  <c:v>Lpg (euro/liter)</c:v>
                </c:pt>
              </c:strCache>
            </c:strRef>
          </c:tx>
          <c:spPr>
            <a:ln w="28575" cap="rnd">
              <a:solidFill>
                <a:schemeClr val="accent3"/>
              </a:solidFill>
              <a:round/>
            </a:ln>
            <a:effectLst/>
          </c:spPr>
          <c:marker>
            <c:symbol val="none"/>
          </c:marker>
          <c:cat>
            <c:strRef>
              <c:f>Calc_var_car!$AB$29:$AB$70</c:f>
              <c:strCache>
                <c:ptCount val="42"/>
                <c:pt idx="0">
                  <c:v>2019 dinsdag 1 januari</c:v>
                </c:pt>
                <c:pt idx="1">
                  <c:v>2019 vrijdag 1 februari</c:v>
                </c:pt>
                <c:pt idx="2">
                  <c:v>2019 vrijdag 1 maart</c:v>
                </c:pt>
                <c:pt idx="3">
                  <c:v>2019 maandag 1 april</c:v>
                </c:pt>
                <c:pt idx="4">
                  <c:v>2019 woensdag 1 mei</c:v>
                </c:pt>
                <c:pt idx="5">
                  <c:v>2019 zaterdag 1 juni</c:v>
                </c:pt>
                <c:pt idx="6">
                  <c:v>2019 maandag 1 juli</c:v>
                </c:pt>
                <c:pt idx="7">
                  <c:v>2019 donderdag 1 augustus</c:v>
                </c:pt>
                <c:pt idx="8">
                  <c:v>2019 zondag 1 september</c:v>
                </c:pt>
                <c:pt idx="9">
                  <c:v>2019 dinsdag 1 oktober</c:v>
                </c:pt>
                <c:pt idx="10">
                  <c:v>2019 vrijdag 1 november</c:v>
                </c:pt>
                <c:pt idx="11">
                  <c:v>2019 zondag 1 december</c:v>
                </c:pt>
                <c:pt idx="12">
                  <c:v>2020 woensdag 1 januari</c:v>
                </c:pt>
                <c:pt idx="13">
                  <c:v>2020 zaterdag 1 februari</c:v>
                </c:pt>
                <c:pt idx="14">
                  <c:v>2020 zondag 1 maart</c:v>
                </c:pt>
                <c:pt idx="15">
                  <c:v>2020 woensdag 1 april</c:v>
                </c:pt>
                <c:pt idx="16">
                  <c:v>2020 vrijdag 1 mei</c:v>
                </c:pt>
                <c:pt idx="17">
                  <c:v>2020 maandag 1 juni</c:v>
                </c:pt>
                <c:pt idx="18">
                  <c:v>2020 woensdag 1 juli</c:v>
                </c:pt>
                <c:pt idx="19">
                  <c:v>2020 zaterdag 1 augustus</c:v>
                </c:pt>
                <c:pt idx="20">
                  <c:v>2020 dinsdag 1 september</c:v>
                </c:pt>
                <c:pt idx="21">
                  <c:v>2020 donderdag 1 oktober</c:v>
                </c:pt>
                <c:pt idx="22">
                  <c:v>2020 zondag 1 november</c:v>
                </c:pt>
                <c:pt idx="23">
                  <c:v>2020 dinsdag 1 december</c:v>
                </c:pt>
                <c:pt idx="24">
                  <c:v>2021 vrijdag 1 januari</c:v>
                </c:pt>
                <c:pt idx="25">
                  <c:v>2021 maandag 1 februari</c:v>
                </c:pt>
                <c:pt idx="26">
                  <c:v>2021 maandag 1 maart</c:v>
                </c:pt>
                <c:pt idx="27">
                  <c:v>2021 donderdag 1 april</c:v>
                </c:pt>
                <c:pt idx="28">
                  <c:v>2021 zaterdag 1 mei</c:v>
                </c:pt>
                <c:pt idx="29">
                  <c:v>2021 dinsdag 1 juni</c:v>
                </c:pt>
                <c:pt idx="30">
                  <c:v>2021 donderdag 1 juli</c:v>
                </c:pt>
                <c:pt idx="31">
                  <c:v>2021 zondag 1 augustus</c:v>
                </c:pt>
                <c:pt idx="32">
                  <c:v>2021 woensdag 1 september</c:v>
                </c:pt>
                <c:pt idx="33">
                  <c:v>2021 vrijdag 1 oktober</c:v>
                </c:pt>
                <c:pt idx="34">
                  <c:v>2021 maandag 1 november</c:v>
                </c:pt>
                <c:pt idx="35">
                  <c:v>2021 woensdag 1 december</c:v>
                </c:pt>
                <c:pt idx="36">
                  <c:v>2022 zaterdag 1 januari</c:v>
                </c:pt>
                <c:pt idx="37">
                  <c:v>2022 dinsdag 1 februari</c:v>
                </c:pt>
                <c:pt idx="38">
                  <c:v>2022 dinsdag 1 maart</c:v>
                </c:pt>
                <c:pt idx="39">
                  <c:v>2022 vrijdag 1 april</c:v>
                </c:pt>
                <c:pt idx="40">
                  <c:v>2022 zondag 1 mei</c:v>
                </c:pt>
                <c:pt idx="41">
                  <c:v>2022 woensdag 1 juni</c:v>
                </c:pt>
              </c:strCache>
            </c:strRef>
          </c:cat>
          <c:val>
            <c:numRef>
              <c:f>Calc_var_car!$AE$29:$AE$70</c:f>
              <c:numCache>
                <c:formatCode>General</c:formatCode>
                <c:ptCount val="42"/>
                <c:pt idx="0">
                  <c:v>649</c:v>
                </c:pt>
                <c:pt idx="1">
                  <c:v>646</c:v>
                </c:pt>
                <c:pt idx="2">
                  <c:v>656</c:v>
                </c:pt>
                <c:pt idx="3">
                  <c:v>663</c:v>
                </c:pt>
                <c:pt idx="4">
                  <c:v>673</c:v>
                </c:pt>
                <c:pt idx="5">
                  <c:v>659</c:v>
                </c:pt>
                <c:pt idx="6">
                  <c:v>625</c:v>
                </c:pt>
                <c:pt idx="7">
                  <c:v>615</c:v>
                </c:pt>
                <c:pt idx="8">
                  <c:v>583</c:v>
                </c:pt>
                <c:pt idx="9">
                  <c:v>595</c:v>
                </c:pt>
                <c:pt idx="10">
                  <c:v>634</c:v>
                </c:pt>
                <c:pt idx="11">
                  <c:v>656</c:v>
                </c:pt>
                <c:pt idx="12">
                  <c:v>673</c:v>
                </c:pt>
                <c:pt idx="13">
                  <c:v>709</c:v>
                </c:pt>
                <c:pt idx="14">
                  <c:v>646</c:v>
                </c:pt>
                <c:pt idx="15">
                  <c:v>567</c:v>
                </c:pt>
                <c:pt idx="16">
                  <c:v>532</c:v>
                </c:pt>
                <c:pt idx="17">
                  <c:v>552</c:v>
                </c:pt>
                <c:pt idx="18">
                  <c:v>586</c:v>
                </c:pt>
                <c:pt idx="19">
                  <c:v>594</c:v>
                </c:pt>
                <c:pt idx="20">
                  <c:v>583</c:v>
                </c:pt>
                <c:pt idx="21">
                  <c:v>598</c:v>
                </c:pt>
                <c:pt idx="22">
                  <c:v>621</c:v>
                </c:pt>
                <c:pt idx="23">
                  <c:v>613</c:v>
                </c:pt>
                <c:pt idx="24">
                  <c:v>649</c:v>
                </c:pt>
                <c:pt idx="25">
                  <c:v>674</c:v>
                </c:pt>
                <c:pt idx="26">
                  <c:v>738</c:v>
                </c:pt>
                <c:pt idx="27">
                  <c:v>737</c:v>
                </c:pt>
                <c:pt idx="28">
                  <c:v>742</c:v>
                </c:pt>
                <c:pt idx="29">
                  <c:v>737</c:v>
                </c:pt>
                <c:pt idx="30">
                  <c:v>737</c:v>
                </c:pt>
                <c:pt idx="31">
                  <c:v>751</c:v>
                </c:pt>
                <c:pt idx="32">
                  <c:v>764</c:v>
                </c:pt>
                <c:pt idx="33">
                  <c:v>824</c:v>
                </c:pt>
                <c:pt idx="34">
                  <c:v>935</c:v>
                </c:pt>
                <c:pt idx="35">
                  <c:v>936</c:v>
                </c:pt>
                <c:pt idx="36">
                  <c:v>912</c:v>
                </c:pt>
                <c:pt idx="37">
                  <c:v>922</c:v>
                </c:pt>
                <c:pt idx="38">
                  <c:v>938</c:v>
                </c:pt>
                <c:pt idx="39" formatCode="#,##0">
                  <c:v>1126</c:v>
                </c:pt>
                <c:pt idx="40" formatCode="#,##0">
                  <c:v>1095</c:v>
                </c:pt>
                <c:pt idx="41" formatCode="#,##0">
                  <c:v>1039</c:v>
                </c:pt>
              </c:numCache>
            </c:numRef>
          </c:val>
          <c:smooth val="0"/>
          <c:extLst>
            <c:ext xmlns:c16="http://schemas.microsoft.com/office/drawing/2014/chart" uri="{C3380CC4-5D6E-409C-BE32-E72D297353CC}">
              <c16:uniqueId val="{00000002-E728-4391-9B1A-9CE3BE6F6726}"/>
            </c:ext>
          </c:extLst>
        </c:ser>
        <c:dLbls>
          <c:showLegendKey val="0"/>
          <c:showVal val="0"/>
          <c:showCatName val="0"/>
          <c:showSerName val="0"/>
          <c:showPercent val="0"/>
          <c:showBubbleSize val="0"/>
        </c:dLbls>
        <c:smooth val="0"/>
        <c:axId val="1332826527"/>
        <c:axId val="1332825695"/>
      </c:lineChart>
      <c:catAx>
        <c:axId val="133282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332825695"/>
        <c:crosses val="autoZero"/>
        <c:auto val="1"/>
        <c:lblAlgn val="ctr"/>
        <c:lblOffset val="100"/>
        <c:noMultiLvlLbl val="0"/>
      </c:catAx>
      <c:valAx>
        <c:axId val="13328256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332826527"/>
        <c:crosses val="autoZero"/>
        <c:crossBetween val="between"/>
      </c:valAx>
      <c:spPr>
        <a:noFill/>
        <a:ln>
          <a:solidFill>
            <a:schemeClr val="accent1"/>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overige</a:t>
            </a:r>
            <a:r>
              <a:rPr lang="en-US" baseline="0"/>
              <a:t> var auto kosten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0"/>
          <c:order val="0"/>
          <c:tx>
            <c:strRef>
              <c:f>Calc_var_car!$V$20</c:f>
              <c:strCache>
                <c:ptCount val="1"/>
                <c:pt idx="0">
                  <c:v>euro/km</c:v>
                </c:pt>
              </c:strCache>
            </c:strRef>
          </c:tx>
          <c:spPr>
            <a:ln w="28575" cap="rnd">
              <a:solidFill>
                <a:schemeClr val="accent1"/>
              </a:solidFill>
              <a:round/>
            </a:ln>
            <a:effectLst/>
          </c:spPr>
          <c:marker>
            <c:symbol val="none"/>
          </c:marker>
          <c:cat>
            <c:numRef>
              <c:f>Calc_var_car!$U$21:$U$42</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Calc_var_car!$V$21:$V$42</c:f>
              <c:numCache>
                <c:formatCode>0.0000</c:formatCode>
                <c:ptCount val="22"/>
                <c:pt idx="0">
                  <c:v>7.0000000000000007E-2</c:v>
                </c:pt>
                <c:pt idx="1">
                  <c:v>6.9809090909090918E-2</c:v>
                </c:pt>
                <c:pt idx="2">
                  <c:v>6.9618181818181829E-2</c:v>
                </c:pt>
                <c:pt idx="3">
                  <c:v>6.942727272727274E-2</c:v>
                </c:pt>
                <c:pt idx="4">
                  <c:v>6.9236363636363651E-2</c:v>
                </c:pt>
                <c:pt idx="5">
                  <c:v>6.9045454545454563E-2</c:v>
                </c:pt>
                <c:pt idx="6">
                  <c:v>6.8854545454545474E-2</c:v>
                </c:pt>
                <c:pt idx="7">
                  <c:v>6.8663636363636385E-2</c:v>
                </c:pt>
                <c:pt idx="8">
                  <c:v>6.8472727272727296E-2</c:v>
                </c:pt>
                <c:pt idx="9">
                  <c:v>6.8281818181818207E-2</c:v>
                </c:pt>
                <c:pt idx="10">
                  <c:v>6.8090909090909119E-2</c:v>
                </c:pt>
                <c:pt idx="11">
                  <c:v>6.7900000000000016E-2</c:v>
                </c:pt>
                <c:pt idx="12">
                  <c:v>6.7305000000000018E-2</c:v>
                </c:pt>
                <c:pt idx="13">
                  <c:v>6.6710000000000019E-2</c:v>
                </c:pt>
                <c:pt idx="14">
                  <c:v>6.6115000000000021E-2</c:v>
                </c:pt>
                <c:pt idx="15">
                  <c:v>6.5520000000000023E-2</c:v>
                </c:pt>
                <c:pt idx="16">
                  <c:v>6.4925000000000024E-2</c:v>
                </c:pt>
                <c:pt idx="17">
                  <c:v>6.4330000000000026E-2</c:v>
                </c:pt>
                <c:pt idx="18">
                  <c:v>6.3735000000000028E-2</c:v>
                </c:pt>
                <c:pt idx="19">
                  <c:v>6.3140000000000029E-2</c:v>
                </c:pt>
                <c:pt idx="20">
                  <c:v>6.2545000000000031E-2</c:v>
                </c:pt>
                <c:pt idx="21">
                  <c:v>6.1950000000000005E-2</c:v>
                </c:pt>
              </c:numCache>
            </c:numRef>
          </c:val>
          <c:smooth val="0"/>
          <c:extLst>
            <c:ext xmlns:c16="http://schemas.microsoft.com/office/drawing/2014/chart" uri="{C3380CC4-5D6E-409C-BE32-E72D297353CC}">
              <c16:uniqueId val="{00000000-94E8-4A3A-BA0D-A506656999B4}"/>
            </c:ext>
          </c:extLst>
        </c:ser>
        <c:dLbls>
          <c:showLegendKey val="0"/>
          <c:showVal val="0"/>
          <c:showCatName val="0"/>
          <c:showSerName val="0"/>
          <c:showPercent val="0"/>
          <c:showBubbleSize val="0"/>
        </c:dLbls>
        <c:smooth val="0"/>
        <c:axId val="1332860639"/>
        <c:axId val="1332871871"/>
      </c:lineChart>
      <c:catAx>
        <c:axId val="1332860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332871871"/>
        <c:crosses val="autoZero"/>
        <c:auto val="1"/>
        <c:lblAlgn val="ctr"/>
        <c:lblOffset val="100"/>
        <c:noMultiLvlLbl val="0"/>
      </c:catAx>
      <c:valAx>
        <c:axId val="133287187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332860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ontwikkeling brandstof prijzen actualisatie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0"/>
          <c:order val="0"/>
          <c:tx>
            <c:strRef>
              <c:f>Calc_var_car!$AX$71:$AX$72</c:f>
              <c:strCache>
                <c:ptCount val="2"/>
                <c:pt idx="0">
                  <c:v>AVG Brandstofprijs per km</c:v>
                </c:pt>
                <c:pt idx="1">
                  <c:v>benzin (euro/km)</c:v>
                </c:pt>
              </c:strCache>
            </c:strRef>
          </c:tx>
          <c:spPr>
            <a:ln w="28575" cap="rnd">
              <a:solidFill>
                <a:schemeClr val="accent1"/>
              </a:solidFill>
              <a:round/>
            </a:ln>
            <a:effectLst/>
          </c:spPr>
          <c:marker>
            <c:symbol val="none"/>
          </c:marker>
          <c:cat>
            <c:numRef>
              <c:f>Calc_var_car!$AW$73:$AW$94</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Calc_var_car!$AX$73:$AX$94</c:f>
              <c:numCache>
                <c:formatCode>0.000</c:formatCode>
                <c:ptCount val="22"/>
                <c:pt idx="0">
                  <c:v>0.10935555555555555</c:v>
                </c:pt>
                <c:pt idx="1">
                  <c:v>0.10429444444444443</c:v>
                </c:pt>
                <c:pt idx="2">
                  <c:v>0.11961666666666666</c:v>
                </c:pt>
                <c:pt idx="3">
                  <c:v>0.14042222222222225</c:v>
                </c:pt>
                <c:pt idx="4">
                  <c:v>0.13910576388888893</c:v>
                </c:pt>
                <c:pt idx="5">
                  <c:v>0.1377893055555556</c:v>
                </c:pt>
                <c:pt idx="6">
                  <c:v>0.13647284722222228</c:v>
                </c:pt>
                <c:pt idx="7">
                  <c:v>0.13515638888888895</c:v>
                </c:pt>
                <c:pt idx="8">
                  <c:v>0.13383993055555563</c:v>
                </c:pt>
                <c:pt idx="9">
                  <c:v>0.1325234722222223</c:v>
                </c:pt>
                <c:pt idx="10">
                  <c:v>0.13120701388888897</c:v>
                </c:pt>
                <c:pt idx="11">
                  <c:v>0.12989055555555559</c:v>
                </c:pt>
                <c:pt idx="12">
                  <c:v>0.12890760000000004</c:v>
                </c:pt>
                <c:pt idx="13">
                  <c:v>0.12792464444444449</c:v>
                </c:pt>
                <c:pt idx="14">
                  <c:v>0.12694168888888893</c:v>
                </c:pt>
                <c:pt idx="15">
                  <c:v>0.12595873333333338</c:v>
                </c:pt>
                <c:pt idx="16">
                  <c:v>0.12497577777777782</c:v>
                </c:pt>
                <c:pt idx="17">
                  <c:v>0.12399282222222227</c:v>
                </c:pt>
                <c:pt idx="18">
                  <c:v>0.12300986666666672</c:v>
                </c:pt>
                <c:pt idx="19">
                  <c:v>0.12202691111111116</c:v>
                </c:pt>
                <c:pt idx="20">
                  <c:v>0.12104395555555561</c:v>
                </c:pt>
                <c:pt idx="21">
                  <c:v>0.12006100000000003</c:v>
                </c:pt>
              </c:numCache>
            </c:numRef>
          </c:val>
          <c:smooth val="0"/>
          <c:extLst>
            <c:ext xmlns:c16="http://schemas.microsoft.com/office/drawing/2014/chart" uri="{C3380CC4-5D6E-409C-BE32-E72D297353CC}">
              <c16:uniqueId val="{00000000-7FDC-4CA9-8537-1A100F3E2CA9}"/>
            </c:ext>
          </c:extLst>
        </c:ser>
        <c:ser>
          <c:idx val="1"/>
          <c:order val="1"/>
          <c:tx>
            <c:strRef>
              <c:f>Calc_var_car!$AY$71:$AY$72</c:f>
              <c:strCache>
                <c:ptCount val="2"/>
                <c:pt idx="0">
                  <c:v>AVG Brandstofprijs per km</c:v>
                </c:pt>
                <c:pt idx="1">
                  <c:v>Diesel (euro/km)</c:v>
                </c:pt>
              </c:strCache>
            </c:strRef>
          </c:tx>
          <c:spPr>
            <a:ln w="28575" cap="rnd">
              <a:solidFill>
                <a:schemeClr val="accent2"/>
              </a:solidFill>
              <a:round/>
            </a:ln>
            <a:effectLst/>
          </c:spPr>
          <c:marker>
            <c:symbol val="none"/>
          </c:marker>
          <c:cat>
            <c:numRef>
              <c:f>Calc_var_car!$AW$73:$AW$94</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Calc_var_car!$AY$73:$AY$94</c:f>
              <c:numCache>
                <c:formatCode>0.000</c:formatCode>
                <c:ptCount val="22"/>
                <c:pt idx="0">
                  <c:v>6.4392857142857154E-2</c:v>
                </c:pt>
                <c:pt idx="1">
                  <c:v>5.9214285714285698E-2</c:v>
                </c:pt>
                <c:pt idx="2">
                  <c:v>6.8801587301587294E-2</c:v>
                </c:pt>
                <c:pt idx="3">
                  <c:v>8.888095238095238E-2</c:v>
                </c:pt>
                <c:pt idx="4">
                  <c:v>8.8047693452380948E-2</c:v>
                </c:pt>
                <c:pt idx="5">
                  <c:v>8.7214434523809517E-2</c:v>
                </c:pt>
                <c:pt idx="6">
                  <c:v>8.6381175595238086E-2</c:v>
                </c:pt>
                <c:pt idx="7">
                  <c:v>8.5547916666666654E-2</c:v>
                </c:pt>
                <c:pt idx="8">
                  <c:v>8.4714657738095223E-2</c:v>
                </c:pt>
                <c:pt idx="9">
                  <c:v>8.3881398809523791E-2</c:v>
                </c:pt>
                <c:pt idx="10">
                  <c:v>8.304813988095236E-2</c:v>
                </c:pt>
                <c:pt idx="11">
                  <c:v>8.2214880952380956E-2</c:v>
                </c:pt>
                <c:pt idx="12">
                  <c:v>8.1592714285714296E-2</c:v>
                </c:pt>
                <c:pt idx="13">
                  <c:v>8.0970547619047623E-2</c:v>
                </c:pt>
                <c:pt idx="14">
                  <c:v>8.0348380952380949E-2</c:v>
                </c:pt>
                <c:pt idx="15">
                  <c:v>7.9726214285714275E-2</c:v>
                </c:pt>
                <c:pt idx="16">
                  <c:v>7.9104047619047602E-2</c:v>
                </c:pt>
                <c:pt idx="17">
                  <c:v>7.8481880952380928E-2</c:v>
                </c:pt>
                <c:pt idx="18">
                  <c:v>7.7859714285714254E-2</c:v>
                </c:pt>
                <c:pt idx="19">
                  <c:v>7.7237547619047581E-2</c:v>
                </c:pt>
                <c:pt idx="20">
                  <c:v>7.6615380952380907E-2</c:v>
                </c:pt>
                <c:pt idx="21">
                  <c:v>7.5993214285714289E-2</c:v>
                </c:pt>
              </c:numCache>
            </c:numRef>
          </c:val>
          <c:smooth val="0"/>
          <c:extLst>
            <c:ext xmlns:c16="http://schemas.microsoft.com/office/drawing/2014/chart" uri="{C3380CC4-5D6E-409C-BE32-E72D297353CC}">
              <c16:uniqueId val="{00000001-7FDC-4CA9-8537-1A100F3E2CA9}"/>
            </c:ext>
          </c:extLst>
        </c:ser>
        <c:ser>
          <c:idx val="2"/>
          <c:order val="2"/>
          <c:tx>
            <c:strRef>
              <c:f>Calc_var_car!$AZ$71:$AZ$72</c:f>
              <c:strCache>
                <c:ptCount val="2"/>
                <c:pt idx="0">
                  <c:v>AVG Brandstofprijs per km</c:v>
                </c:pt>
                <c:pt idx="1">
                  <c:v>LPG (euro/km)</c:v>
                </c:pt>
              </c:strCache>
            </c:strRef>
          </c:tx>
          <c:spPr>
            <a:ln w="28575" cap="rnd">
              <a:solidFill>
                <a:schemeClr val="accent3"/>
              </a:solidFill>
              <a:round/>
            </a:ln>
            <a:effectLst/>
          </c:spPr>
          <c:marker>
            <c:symbol val="none"/>
          </c:marker>
          <c:cat>
            <c:numRef>
              <c:f>Calc_var_car!$AW$73:$AW$94</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Calc_var_car!$AZ$73:$AZ$94</c:f>
              <c:numCache>
                <c:formatCode>0.000</c:formatCode>
                <c:ptCount val="22"/>
                <c:pt idx="0">
                  <c:v>5.1026666666666665E-2</c:v>
                </c:pt>
                <c:pt idx="1">
                  <c:v>4.8493333333333333E-2</c:v>
                </c:pt>
                <c:pt idx="2">
                  <c:v>6.1493333333333323E-2</c:v>
                </c:pt>
                <c:pt idx="3">
                  <c:v>8.042666666666666E-2</c:v>
                </c:pt>
                <c:pt idx="4">
                  <c:v>7.9672666666666656E-2</c:v>
                </c:pt>
                <c:pt idx="5">
                  <c:v>7.8918666666666651E-2</c:v>
                </c:pt>
                <c:pt idx="6">
                  <c:v>7.8164666666666646E-2</c:v>
                </c:pt>
                <c:pt idx="7">
                  <c:v>7.7410666666666642E-2</c:v>
                </c:pt>
                <c:pt idx="8">
                  <c:v>7.6656666666666637E-2</c:v>
                </c:pt>
                <c:pt idx="9">
                  <c:v>7.5902666666666632E-2</c:v>
                </c:pt>
                <c:pt idx="10">
                  <c:v>7.5148666666666628E-2</c:v>
                </c:pt>
                <c:pt idx="11">
                  <c:v>7.4394666666666665E-2</c:v>
                </c:pt>
                <c:pt idx="12">
                  <c:v>7.3831679999999997E-2</c:v>
                </c:pt>
                <c:pt idx="13">
                  <c:v>7.3268693333333329E-2</c:v>
                </c:pt>
                <c:pt idx="14">
                  <c:v>7.2705706666666661E-2</c:v>
                </c:pt>
                <c:pt idx="15">
                  <c:v>7.2142719999999994E-2</c:v>
                </c:pt>
                <c:pt idx="16">
                  <c:v>7.1579733333333326E-2</c:v>
                </c:pt>
                <c:pt idx="17">
                  <c:v>7.1016746666666658E-2</c:v>
                </c:pt>
                <c:pt idx="18">
                  <c:v>7.045375999999999E-2</c:v>
                </c:pt>
                <c:pt idx="19">
                  <c:v>6.9890773333333323E-2</c:v>
                </c:pt>
                <c:pt idx="20">
                  <c:v>6.9327786666666655E-2</c:v>
                </c:pt>
                <c:pt idx="21">
                  <c:v>6.8764799999999987E-2</c:v>
                </c:pt>
              </c:numCache>
            </c:numRef>
          </c:val>
          <c:smooth val="0"/>
          <c:extLst>
            <c:ext xmlns:c16="http://schemas.microsoft.com/office/drawing/2014/chart" uri="{C3380CC4-5D6E-409C-BE32-E72D297353CC}">
              <c16:uniqueId val="{00000002-7FDC-4CA9-8537-1A100F3E2CA9}"/>
            </c:ext>
          </c:extLst>
        </c:ser>
        <c:ser>
          <c:idx val="3"/>
          <c:order val="3"/>
          <c:tx>
            <c:strRef>
              <c:f>Calc_var_car!$BA$71:$BA$72</c:f>
              <c:strCache>
                <c:ptCount val="2"/>
                <c:pt idx="0">
                  <c:v>AVG Brandstofprijs per km</c:v>
                </c:pt>
                <c:pt idx="1">
                  <c:v>electric (euro/km</c:v>
                </c:pt>
              </c:strCache>
            </c:strRef>
          </c:tx>
          <c:spPr>
            <a:ln w="28575" cap="rnd">
              <a:solidFill>
                <a:schemeClr val="accent4"/>
              </a:solidFill>
              <a:round/>
            </a:ln>
            <a:effectLst/>
          </c:spPr>
          <c:marker>
            <c:symbol val="none"/>
          </c:marker>
          <c:cat>
            <c:numRef>
              <c:f>Calc_var_car!$AW$73:$AW$94</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Calc_var_car!$BA$73:$BA$94</c:f>
              <c:numCache>
                <c:formatCode>0.000</c:formatCode>
                <c:ptCount val="22"/>
                <c:pt idx="0" formatCode="General">
                  <c:v>7.4999999999999997E-2</c:v>
                </c:pt>
                <c:pt idx="1">
                  <c:v>8.0600000000000005E-2</c:v>
                </c:pt>
                <c:pt idx="2">
                  <c:v>8.6200000000000013E-2</c:v>
                </c:pt>
                <c:pt idx="3">
                  <c:v>9.180000000000002E-2</c:v>
                </c:pt>
                <c:pt idx="4">
                  <c:v>9.1168875000000024E-2</c:v>
                </c:pt>
                <c:pt idx="5">
                  <c:v>9.0537750000000028E-2</c:v>
                </c:pt>
                <c:pt idx="6">
                  <c:v>8.9906625000000032E-2</c:v>
                </c:pt>
                <c:pt idx="7">
                  <c:v>8.9275500000000035E-2</c:v>
                </c:pt>
                <c:pt idx="8">
                  <c:v>8.8644375000000039E-2</c:v>
                </c:pt>
                <c:pt idx="9">
                  <c:v>8.8013250000000043E-2</c:v>
                </c:pt>
                <c:pt idx="10">
                  <c:v>8.7382125000000047E-2</c:v>
                </c:pt>
                <c:pt idx="11">
                  <c:v>8.6751000000000023E-2</c:v>
                </c:pt>
                <c:pt idx="12">
                  <c:v>8.5511700000000024E-2</c:v>
                </c:pt>
                <c:pt idx="13">
                  <c:v>8.4272400000000025E-2</c:v>
                </c:pt>
                <c:pt idx="14">
                  <c:v>8.3033100000000026E-2</c:v>
                </c:pt>
                <c:pt idx="15">
                  <c:v>8.1793800000000028E-2</c:v>
                </c:pt>
                <c:pt idx="16">
                  <c:v>8.0554500000000029E-2</c:v>
                </c:pt>
                <c:pt idx="17">
                  <c:v>7.931520000000003E-2</c:v>
                </c:pt>
                <c:pt idx="18">
                  <c:v>7.8075900000000031E-2</c:v>
                </c:pt>
                <c:pt idx="19">
                  <c:v>7.6836600000000033E-2</c:v>
                </c:pt>
                <c:pt idx="20">
                  <c:v>7.5597300000000034E-2</c:v>
                </c:pt>
                <c:pt idx="21">
                  <c:v>7.4358000000000007E-2</c:v>
                </c:pt>
              </c:numCache>
            </c:numRef>
          </c:val>
          <c:smooth val="0"/>
          <c:extLst>
            <c:ext xmlns:c16="http://schemas.microsoft.com/office/drawing/2014/chart" uri="{C3380CC4-5D6E-409C-BE32-E72D297353CC}">
              <c16:uniqueId val="{00000004-7FDC-4CA9-8537-1A100F3E2CA9}"/>
            </c:ext>
          </c:extLst>
        </c:ser>
        <c:dLbls>
          <c:showLegendKey val="0"/>
          <c:showVal val="0"/>
          <c:showCatName val="0"/>
          <c:showSerName val="0"/>
          <c:showPercent val="0"/>
          <c:showBubbleSize val="0"/>
        </c:dLbls>
        <c:smooth val="0"/>
        <c:axId val="1991017632"/>
        <c:axId val="1991014720"/>
      </c:lineChart>
      <c:catAx>
        <c:axId val="199101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991014720"/>
        <c:crosses val="autoZero"/>
        <c:auto val="1"/>
        <c:lblAlgn val="ctr"/>
        <c:lblOffset val="100"/>
        <c:noMultiLvlLbl val="0"/>
      </c:catAx>
      <c:valAx>
        <c:axId val="199101472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991017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Ontwikkeling</a:t>
            </a:r>
            <a:r>
              <a:rPr lang="nl-NL" baseline="0"/>
              <a:t> brandstof prijzen 2018</a:t>
            </a:r>
            <a:endParaRPr lang="nl-N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0"/>
          <c:order val="0"/>
          <c:tx>
            <c:strRef>
              <c:f>Calc_var_car!$AN$71:$AN$72</c:f>
              <c:strCache>
                <c:ptCount val="2"/>
                <c:pt idx="0">
                  <c:v>AVG Brandstofprijs per km</c:v>
                </c:pt>
                <c:pt idx="1">
                  <c:v>benzin (euro/km)</c:v>
                </c:pt>
              </c:strCache>
            </c:strRef>
          </c:tx>
          <c:spPr>
            <a:ln w="28575" cap="rnd">
              <a:solidFill>
                <a:schemeClr val="accent1"/>
              </a:solidFill>
              <a:round/>
            </a:ln>
            <a:effectLst/>
          </c:spPr>
          <c:marker>
            <c:symbol val="none"/>
          </c:marker>
          <c:cat>
            <c:numRef>
              <c:f>Calc_var_car!$AM$73:$AM$94</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Calc_var_car!$AN$73:$AN$94</c:f>
              <c:numCache>
                <c:formatCode>0.000</c:formatCode>
                <c:ptCount val="22"/>
                <c:pt idx="0">
                  <c:v>0.10935555555555555</c:v>
                </c:pt>
                <c:pt idx="1">
                  <c:v>0.10429444444444443</c:v>
                </c:pt>
                <c:pt idx="2">
                  <c:v>0.11961666666666666</c:v>
                </c:pt>
                <c:pt idx="3">
                  <c:v>0.14042222222222225</c:v>
                </c:pt>
                <c:pt idx="4">
                  <c:v>0.13551368055555557</c:v>
                </c:pt>
                <c:pt idx="5">
                  <c:v>0.13060513888888889</c:v>
                </c:pt>
                <c:pt idx="6">
                  <c:v>0.12569659722222221</c:v>
                </c:pt>
                <c:pt idx="7">
                  <c:v>0.12078805555555554</c:v>
                </c:pt>
                <c:pt idx="8">
                  <c:v>0.11587951388888887</c:v>
                </c:pt>
                <c:pt idx="9">
                  <c:v>0.1109709722222222</c:v>
                </c:pt>
                <c:pt idx="10">
                  <c:v>0.10606243055555553</c:v>
                </c:pt>
                <c:pt idx="11">
                  <c:v>0.10115388888888889</c:v>
                </c:pt>
                <c:pt idx="12">
                  <c:v>0.1003884</c:v>
                </c:pt>
                <c:pt idx="13">
                  <c:v>9.9622911111111115E-2</c:v>
                </c:pt>
                <c:pt idx="14">
                  <c:v>9.8857422222222227E-2</c:v>
                </c:pt>
                <c:pt idx="15">
                  <c:v>9.8091933333333339E-2</c:v>
                </c:pt>
                <c:pt idx="16">
                  <c:v>9.7326444444444452E-2</c:v>
                </c:pt>
                <c:pt idx="17">
                  <c:v>9.6560955555555564E-2</c:v>
                </c:pt>
                <c:pt idx="18">
                  <c:v>9.5795466666666676E-2</c:v>
                </c:pt>
                <c:pt idx="19">
                  <c:v>9.5029977777777788E-2</c:v>
                </c:pt>
                <c:pt idx="20">
                  <c:v>9.42644888888889E-2</c:v>
                </c:pt>
                <c:pt idx="21">
                  <c:v>9.3498999999999999E-2</c:v>
                </c:pt>
              </c:numCache>
            </c:numRef>
          </c:val>
          <c:smooth val="0"/>
          <c:extLst>
            <c:ext xmlns:c16="http://schemas.microsoft.com/office/drawing/2014/chart" uri="{C3380CC4-5D6E-409C-BE32-E72D297353CC}">
              <c16:uniqueId val="{00000000-2DAA-4BAA-9EAE-3556478FCFA0}"/>
            </c:ext>
          </c:extLst>
        </c:ser>
        <c:ser>
          <c:idx val="1"/>
          <c:order val="1"/>
          <c:tx>
            <c:strRef>
              <c:f>Calc_var_car!$AO$71:$AO$72</c:f>
              <c:strCache>
                <c:ptCount val="2"/>
                <c:pt idx="0">
                  <c:v>AVG Brandstofprijs per km</c:v>
                </c:pt>
                <c:pt idx="1">
                  <c:v>Diesel (euro/km)</c:v>
                </c:pt>
              </c:strCache>
            </c:strRef>
          </c:tx>
          <c:spPr>
            <a:ln w="28575" cap="rnd">
              <a:solidFill>
                <a:schemeClr val="accent2"/>
              </a:solidFill>
              <a:round/>
            </a:ln>
            <a:effectLst/>
          </c:spPr>
          <c:marker>
            <c:symbol val="none"/>
          </c:marker>
          <c:cat>
            <c:numRef>
              <c:f>Calc_var_car!$AM$73:$AM$94</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Calc_var_car!$AO$73:$AO$94</c:f>
              <c:numCache>
                <c:formatCode>0.000</c:formatCode>
                <c:ptCount val="22"/>
                <c:pt idx="0">
                  <c:v>6.4392857142857154E-2</c:v>
                </c:pt>
                <c:pt idx="1">
                  <c:v>5.9214285714285698E-2</c:v>
                </c:pt>
                <c:pt idx="2">
                  <c:v>6.8801587301587294E-2</c:v>
                </c:pt>
                <c:pt idx="3">
                  <c:v>8.888095238095238E-2</c:v>
                </c:pt>
                <c:pt idx="4">
                  <c:v>8.5216257440476187E-2</c:v>
                </c:pt>
                <c:pt idx="5">
                  <c:v>8.1551562499999994E-2</c:v>
                </c:pt>
                <c:pt idx="6">
                  <c:v>7.7886867559523801E-2</c:v>
                </c:pt>
                <c:pt idx="7">
                  <c:v>7.4222172619047608E-2</c:v>
                </c:pt>
                <c:pt idx="8">
                  <c:v>7.0557477678571415E-2</c:v>
                </c:pt>
                <c:pt idx="9">
                  <c:v>6.6892782738095222E-2</c:v>
                </c:pt>
                <c:pt idx="10">
                  <c:v>6.3228087797619029E-2</c:v>
                </c:pt>
                <c:pt idx="11">
                  <c:v>5.956339285714287E-2</c:v>
                </c:pt>
                <c:pt idx="12">
                  <c:v>5.9112642857142871E-2</c:v>
                </c:pt>
                <c:pt idx="13">
                  <c:v>5.8661892857142871E-2</c:v>
                </c:pt>
                <c:pt idx="14">
                  <c:v>5.8211142857142871E-2</c:v>
                </c:pt>
                <c:pt idx="15">
                  <c:v>5.7760392857142871E-2</c:v>
                </c:pt>
                <c:pt idx="16">
                  <c:v>5.7309642857142871E-2</c:v>
                </c:pt>
                <c:pt idx="17">
                  <c:v>5.6858892857142872E-2</c:v>
                </c:pt>
                <c:pt idx="18">
                  <c:v>5.6408142857142872E-2</c:v>
                </c:pt>
                <c:pt idx="19">
                  <c:v>5.5957392857142872E-2</c:v>
                </c:pt>
                <c:pt idx="20">
                  <c:v>5.5506642857142872E-2</c:v>
                </c:pt>
                <c:pt idx="21">
                  <c:v>5.5055892857142866E-2</c:v>
                </c:pt>
              </c:numCache>
            </c:numRef>
          </c:val>
          <c:smooth val="0"/>
          <c:extLst>
            <c:ext xmlns:c16="http://schemas.microsoft.com/office/drawing/2014/chart" uri="{C3380CC4-5D6E-409C-BE32-E72D297353CC}">
              <c16:uniqueId val="{00000001-2DAA-4BAA-9EAE-3556478FCFA0}"/>
            </c:ext>
          </c:extLst>
        </c:ser>
        <c:ser>
          <c:idx val="2"/>
          <c:order val="2"/>
          <c:tx>
            <c:strRef>
              <c:f>Calc_var_car!$AP$71:$AP$72</c:f>
              <c:strCache>
                <c:ptCount val="2"/>
                <c:pt idx="0">
                  <c:v>AVG Brandstofprijs per km</c:v>
                </c:pt>
                <c:pt idx="1">
                  <c:v>LPG (euro/km)</c:v>
                </c:pt>
              </c:strCache>
            </c:strRef>
          </c:tx>
          <c:spPr>
            <a:ln w="28575" cap="rnd">
              <a:solidFill>
                <a:schemeClr val="accent3"/>
              </a:solidFill>
              <a:round/>
            </a:ln>
            <a:effectLst/>
          </c:spPr>
          <c:marker>
            <c:symbol val="none"/>
          </c:marker>
          <c:cat>
            <c:numRef>
              <c:f>Calc_var_car!$AM$73:$AM$94</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Calc_var_car!$AP$73:$AP$94</c:f>
              <c:numCache>
                <c:formatCode>0.000</c:formatCode>
                <c:ptCount val="22"/>
                <c:pt idx="0">
                  <c:v>5.1026666666666665E-2</c:v>
                </c:pt>
                <c:pt idx="1">
                  <c:v>4.8493333333333333E-2</c:v>
                </c:pt>
                <c:pt idx="2">
                  <c:v>6.1493333333333323E-2</c:v>
                </c:pt>
                <c:pt idx="3">
                  <c:v>8.042666666666666E-2</c:v>
                </c:pt>
                <c:pt idx="4">
                  <c:v>7.6273291666666659E-2</c:v>
                </c:pt>
                <c:pt idx="5">
                  <c:v>7.2119916666666659E-2</c:v>
                </c:pt>
                <c:pt idx="6">
                  <c:v>6.7966541666666658E-2</c:v>
                </c:pt>
                <c:pt idx="7">
                  <c:v>6.3813166666666657E-2</c:v>
                </c:pt>
                <c:pt idx="8">
                  <c:v>5.9659791666666656E-2</c:v>
                </c:pt>
                <c:pt idx="9">
                  <c:v>5.5506416666666655E-2</c:v>
                </c:pt>
                <c:pt idx="10">
                  <c:v>5.1353041666666654E-2</c:v>
                </c:pt>
                <c:pt idx="11">
                  <c:v>4.7199666666666661E-2</c:v>
                </c:pt>
                <c:pt idx="12">
                  <c:v>4.6842479999999992E-2</c:v>
                </c:pt>
                <c:pt idx="13">
                  <c:v>4.6485293333333323E-2</c:v>
                </c:pt>
                <c:pt idx="14">
                  <c:v>4.6128106666666654E-2</c:v>
                </c:pt>
                <c:pt idx="15">
                  <c:v>4.5770919999999986E-2</c:v>
                </c:pt>
                <c:pt idx="16">
                  <c:v>4.5413733333333317E-2</c:v>
                </c:pt>
                <c:pt idx="17">
                  <c:v>4.5056546666666648E-2</c:v>
                </c:pt>
                <c:pt idx="18">
                  <c:v>4.469935999999998E-2</c:v>
                </c:pt>
                <c:pt idx="19">
                  <c:v>4.4342173333333311E-2</c:v>
                </c:pt>
                <c:pt idx="20">
                  <c:v>4.3984986666666642E-2</c:v>
                </c:pt>
                <c:pt idx="21">
                  <c:v>4.3627800000000001E-2</c:v>
                </c:pt>
              </c:numCache>
            </c:numRef>
          </c:val>
          <c:smooth val="0"/>
          <c:extLst>
            <c:ext xmlns:c16="http://schemas.microsoft.com/office/drawing/2014/chart" uri="{C3380CC4-5D6E-409C-BE32-E72D297353CC}">
              <c16:uniqueId val="{00000002-2DAA-4BAA-9EAE-3556478FCFA0}"/>
            </c:ext>
          </c:extLst>
        </c:ser>
        <c:dLbls>
          <c:showLegendKey val="0"/>
          <c:showVal val="0"/>
          <c:showCatName val="0"/>
          <c:showSerName val="0"/>
          <c:showPercent val="0"/>
          <c:showBubbleSize val="0"/>
        </c:dLbls>
        <c:smooth val="0"/>
        <c:axId val="2100064688"/>
        <c:axId val="2100066768"/>
      </c:lineChart>
      <c:catAx>
        <c:axId val="210006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100066768"/>
        <c:crosses val="autoZero"/>
        <c:auto val="1"/>
        <c:lblAlgn val="ctr"/>
        <c:lblOffset val="100"/>
        <c:noMultiLvlLbl val="0"/>
      </c:catAx>
      <c:valAx>
        <c:axId val="210006676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100064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Verhouding ICE /EV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0"/>
          <c:order val="0"/>
          <c:tx>
            <c:strRef>
              <c:f>Calc_var_car!$D$75</c:f>
              <c:strCache>
                <c:ptCount val="1"/>
                <c:pt idx="0">
                  <c:v>ICE</c:v>
                </c:pt>
              </c:strCache>
            </c:strRef>
          </c:tx>
          <c:spPr>
            <a:ln w="28575" cap="rnd">
              <a:solidFill>
                <a:schemeClr val="accent1"/>
              </a:solidFill>
              <a:round/>
            </a:ln>
            <a:effectLst/>
          </c:spPr>
          <c:marker>
            <c:symbol val="none"/>
          </c:marker>
          <c:cat>
            <c:numRef>
              <c:f>Calc_var_car!$C$76:$C$97</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Calc_var_car!$D$76:$D$97</c:f>
              <c:numCache>
                <c:formatCode>0.0000</c:formatCode>
                <c:ptCount val="22"/>
                <c:pt idx="0" formatCode="General">
                  <c:v>0.96443665662085665</c:v>
                </c:pt>
                <c:pt idx="1">
                  <c:v>0.95570486103922025</c:v>
                </c:pt>
                <c:pt idx="2">
                  <c:v>0.9435050919879675</c:v>
                </c:pt>
                <c:pt idx="3">
                  <c:v>0.92493999730631815</c:v>
                </c:pt>
                <c:pt idx="4">
                  <c:v>0.90932249764302842</c:v>
                </c:pt>
                <c:pt idx="5">
                  <c:v>0.89370499797973868</c:v>
                </c:pt>
                <c:pt idx="6">
                  <c:v>0.87808749831644883</c:v>
                </c:pt>
                <c:pt idx="7">
                  <c:v>0.8624699986531591</c:v>
                </c:pt>
                <c:pt idx="8">
                  <c:v>0.84685249898986936</c:v>
                </c:pt>
                <c:pt idx="9">
                  <c:v>0.83123499932657952</c:v>
                </c:pt>
                <c:pt idx="10">
                  <c:v>0.81561749966328967</c:v>
                </c:pt>
                <c:pt idx="11">
                  <c:v>0.8</c:v>
                </c:pt>
                <c:pt idx="12">
                  <c:v>0.78</c:v>
                </c:pt>
                <c:pt idx="13">
                  <c:v>0.76</c:v>
                </c:pt>
                <c:pt idx="14">
                  <c:v>0.74</c:v>
                </c:pt>
                <c:pt idx="15">
                  <c:v>0.72</c:v>
                </c:pt>
                <c:pt idx="16">
                  <c:v>0.7</c:v>
                </c:pt>
                <c:pt idx="17">
                  <c:v>0.67999999999999994</c:v>
                </c:pt>
                <c:pt idx="18">
                  <c:v>0.65999999999999992</c:v>
                </c:pt>
                <c:pt idx="19">
                  <c:v>0.6399999999999999</c:v>
                </c:pt>
                <c:pt idx="20">
                  <c:v>0.61999999999999988</c:v>
                </c:pt>
                <c:pt idx="21">
                  <c:v>0.6</c:v>
                </c:pt>
              </c:numCache>
            </c:numRef>
          </c:val>
          <c:smooth val="0"/>
          <c:extLst>
            <c:ext xmlns:c16="http://schemas.microsoft.com/office/drawing/2014/chart" uri="{C3380CC4-5D6E-409C-BE32-E72D297353CC}">
              <c16:uniqueId val="{00000000-F262-476B-9E00-EB0F65C7ABD5}"/>
            </c:ext>
          </c:extLst>
        </c:ser>
        <c:ser>
          <c:idx val="3"/>
          <c:order val="3"/>
          <c:tx>
            <c:strRef>
              <c:f>Calc_var_car!$G$75</c:f>
              <c:strCache>
                <c:ptCount val="1"/>
                <c:pt idx="0">
                  <c:v>EV</c:v>
                </c:pt>
              </c:strCache>
            </c:strRef>
          </c:tx>
          <c:spPr>
            <a:ln w="28575" cap="rnd">
              <a:solidFill>
                <a:schemeClr val="accent4"/>
              </a:solidFill>
              <a:round/>
            </a:ln>
            <a:effectLst/>
          </c:spPr>
          <c:marker>
            <c:symbol val="none"/>
          </c:marker>
          <c:cat>
            <c:numRef>
              <c:f>Calc_var_car!$C$76:$C$97</c:f>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f>Calc_var_car!$G$76:$G$97</c:f>
              <c:numCache>
                <c:formatCode>General</c:formatCode>
                <c:ptCount val="22"/>
                <c:pt idx="0">
                  <c:v>3.5563343379143388E-2</c:v>
                </c:pt>
                <c:pt idx="1">
                  <c:v>4.4295138960779794E-2</c:v>
                </c:pt>
                <c:pt idx="2">
                  <c:v>5.6494908012032448E-2</c:v>
                </c:pt>
                <c:pt idx="3">
                  <c:v>7.5060002693681793E-2</c:v>
                </c:pt>
                <c:pt idx="4">
                  <c:v>9.067750235697157E-2</c:v>
                </c:pt>
                <c:pt idx="5">
                  <c:v>0.10629500202026135</c:v>
                </c:pt>
                <c:pt idx="6">
                  <c:v>0.12191250168355112</c:v>
                </c:pt>
                <c:pt idx="7">
                  <c:v>0.1375300013468409</c:v>
                </c:pt>
                <c:pt idx="8">
                  <c:v>0.15314750101013069</c:v>
                </c:pt>
                <c:pt idx="9">
                  <c:v>0.16876500067342048</c:v>
                </c:pt>
                <c:pt idx="10">
                  <c:v>0.18438250033671028</c:v>
                </c:pt>
                <c:pt idx="11" formatCode="0.00">
                  <c:v>0.2</c:v>
                </c:pt>
                <c:pt idx="12" formatCode="0.00">
                  <c:v>0.22</c:v>
                </c:pt>
                <c:pt idx="13" formatCode="0.00">
                  <c:v>0.24</c:v>
                </c:pt>
                <c:pt idx="14" formatCode="0.00">
                  <c:v>0.26</c:v>
                </c:pt>
                <c:pt idx="15" formatCode="0.00">
                  <c:v>0.28000000000000003</c:v>
                </c:pt>
                <c:pt idx="16" formatCode="0.00">
                  <c:v>0.30000000000000004</c:v>
                </c:pt>
                <c:pt idx="17" formatCode="0.00">
                  <c:v>0.32000000000000006</c:v>
                </c:pt>
                <c:pt idx="18" formatCode="0.00">
                  <c:v>0.34000000000000008</c:v>
                </c:pt>
                <c:pt idx="19" formatCode="0.00">
                  <c:v>0.3600000000000001</c:v>
                </c:pt>
                <c:pt idx="20" formatCode="0.00">
                  <c:v>0.38000000000000012</c:v>
                </c:pt>
                <c:pt idx="21" formatCode="0.00">
                  <c:v>0.4</c:v>
                </c:pt>
              </c:numCache>
            </c:numRef>
          </c:val>
          <c:smooth val="0"/>
          <c:extLst>
            <c:ext xmlns:c16="http://schemas.microsoft.com/office/drawing/2014/chart" uri="{C3380CC4-5D6E-409C-BE32-E72D297353CC}">
              <c16:uniqueId val="{00000003-F262-476B-9E00-EB0F65C7ABD5}"/>
            </c:ext>
          </c:extLst>
        </c:ser>
        <c:dLbls>
          <c:showLegendKey val="0"/>
          <c:showVal val="0"/>
          <c:showCatName val="0"/>
          <c:showSerName val="0"/>
          <c:showPercent val="0"/>
          <c:showBubbleSize val="0"/>
        </c:dLbls>
        <c:smooth val="0"/>
        <c:axId val="1137776224"/>
        <c:axId val="1137787456"/>
        <c:extLst>
          <c:ext xmlns:c15="http://schemas.microsoft.com/office/drawing/2012/chart" uri="{02D57815-91ED-43cb-92C2-25804820EDAC}">
            <c15:filteredLineSeries>
              <c15:ser>
                <c:idx val="1"/>
                <c:order val="1"/>
                <c:tx>
                  <c:strRef>
                    <c:extLst>
                      <c:ext uri="{02D57815-91ED-43cb-92C2-25804820EDAC}">
                        <c15:formulaRef>
                          <c15:sqref>Calc_var_car!$E$75</c15:sqref>
                        </c15:formulaRef>
                      </c:ext>
                    </c:extLst>
                    <c:strCache>
                      <c:ptCount val="1"/>
                    </c:strCache>
                  </c:strRef>
                </c:tx>
                <c:spPr>
                  <a:ln w="28575" cap="rnd">
                    <a:solidFill>
                      <a:schemeClr val="accent2"/>
                    </a:solidFill>
                    <a:round/>
                  </a:ln>
                  <a:effectLst/>
                </c:spPr>
                <c:marker>
                  <c:symbol val="none"/>
                </c:marker>
                <c:cat>
                  <c:numRef>
                    <c:extLst>
                      <c:ext uri="{02D57815-91ED-43cb-92C2-25804820EDAC}">
                        <c15:formulaRef>
                          <c15:sqref>Calc_var_car!$C$76:$C$97</c15:sqref>
                        </c15:formulaRef>
                      </c:ext>
                    </c:extLst>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extLst>
                      <c:ext uri="{02D57815-91ED-43cb-92C2-25804820EDAC}">
                        <c15:formulaRef>
                          <c15:sqref>Calc_var_car!$E$76:$E$97</c15:sqref>
                        </c15:formulaRef>
                      </c:ext>
                    </c:extLst>
                    <c:numCache>
                      <c:formatCode>General</c:formatCode>
                      <c:ptCount val="22"/>
                    </c:numCache>
                  </c:numRef>
                </c:val>
                <c:smooth val="0"/>
                <c:extLst>
                  <c:ext xmlns:c16="http://schemas.microsoft.com/office/drawing/2014/chart" uri="{C3380CC4-5D6E-409C-BE32-E72D297353CC}">
                    <c16:uniqueId val="{00000001-F262-476B-9E00-EB0F65C7ABD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Calc_var_car!$F$75</c15:sqref>
                        </c15:formulaRef>
                      </c:ext>
                    </c:extLst>
                    <c:strCache>
                      <c:ptCount val="1"/>
                      <c:pt idx="0">
                        <c:v>year</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Calc_var_car!$C$76:$C$97</c15:sqref>
                        </c15:formulaRef>
                      </c:ext>
                    </c:extLst>
                    <c:numCache>
                      <c:formatCode>General</c:formatCode>
                      <c:ptCount val="2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numCache>
                  </c:numRef>
                </c:cat>
                <c:val>
                  <c:numRef>
                    <c:extLst xmlns:c15="http://schemas.microsoft.com/office/drawing/2012/chart">
                      <c:ext xmlns:c15="http://schemas.microsoft.com/office/drawing/2012/chart" uri="{02D57815-91ED-43cb-92C2-25804820EDAC}">
                        <c15:formulaRef>
                          <c15:sqref>Calc_var_car!$G$76:$G$97</c15:sqref>
                        </c15:formulaRef>
                      </c:ext>
                    </c:extLst>
                    <c:numCache>
                      <c:formatCode>General</c:formatCode>
                      <c:ptCount val="22"/>
                      <c:pt idx="0">
                        <c:v>3.5563343379143388E-2</c:v>
                      </c:pt>
                      <c:pt idx="1">
                        <c:v>4.4295138960779794E-2</c:v>
                      </c:pt>
                      <c:pt idx="2">
                        <c:v>5.6494908012032448E-2</c:v>
                      </c:pt>
                      <c:pt idx="3">
                        <c:v>7.5060002693681793E-2</c:v>
                      </c:pt>
                      <c:pt idx="4">
                        <c:v>9.067750235697157E-2</c:v>
                      </c:pt>
                      <c:pt idx="5">
                        <c:v>0.10629500202026135</c:v>
                      </c:pt>
                      <c:pt idx="6">
                        <c:v>0.12191250168355112</c:v>
                      </c:pt>
                      <c:pt idx="7">
                        <c:v>0.1375300013468409</c:v>
                      </c:pt>
                      <c:pt idx="8">
                        <c:v>0.15314750101013069</c:v>
                      </c:pt>
                      <c:pt idx="9">
                        <c:v>0.16876500067342048</c:v>
                      </c:pt>
                      <c:pt idx="10">
                        <c:v>0.18438250033671028</c:v>
                      </c:pt>
                      <c:pt idx="11" formatCode="0.00">
                        <c:v>0.2</c:v>
                      </c:pt>
                      <c:pt idx="12" formatCode="0.00">
                        <c:v>0.22</c:v>
                      </c:pt>
                      <c:pt idx="13" formatCode="0.00">
                        <c:v>0.24</c:v>
                      </c:pt>
                      <c:pt idx="14" formatCode="0.00">
                        <c:v>0.26</c:v>
                      </c:pt>
                      <c:pt idx="15" formatCode="0.00">
                        <c:v>0.28000000000000003</c:v>
                      </c:pt>
                      <c:pt idx="16" formatCode="0.00">
                        <c:v>0.30000000000000004</c:v>
                      </c:pt>
                      <c:pt idx="17" formatCode="0.00">
                        <c:v>0.32000000000000006</c:v>
                      </c:pt>
                      <c:pt idx="18" formatCode="0.00">
                        <c:v>0.34000000000000008</c:v>
                      </c:pt>
                      <c:pt idx="19" formatCode="0.00">
                        <c:v>0.3600000000000001</c:v>
                      </c:pt>
                      <c:pt idx="20" formatCode="0.00">
                        <c:v>0.38000000000000012</c:v>
                      </c:pt>
                      <c:pt idx="21" formatCode="0.00">
                        <c:v>0.4</c:v>
                      </c:pt>
                    </c:numCache>
                  </c:numRef>
                </c:val>
                <c:smooth val="0"/>
                <c:extLst xmlns:c15="http://schemas.microsoft.com/office/drawing/2012/chart">
                  <c:ext xmlns:c16="http://schemas.microsoft.com/office/drawing/2014/chart" uri="{C3380CC4-5D6E-409C-BE32-E72D297353CC}">
                    <c16:uniqueId val="{00000002-F262-476B-9E00-EB0F65C7ABD5}"/>
                  </c:ext>
                </c:extLst>
              </c15:ser>
            </c15:filteredLineSeries>
          </c:ext>
        </c:extLst>
      </c:lineChart>
      <c:catAx>
        <c:axId val="113777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37787456"/>
        <c:crosses val="autoZero"/>
        <c:auto val="1"/>
        <c:lblAlgn val="ctr"/>
        <c:lblOffset val="100"/>
        <c:noMultiLvlLbl val="0"/>
      </c:catAx>
      <c:valAx>
        <c:axId val="113778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37776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31</xdr:col>
      <xdr:colOff>368207</xdr:colOff>
      <xdr:row>73</xdr:row>
      <xdr:rowOff>19313</xdr:rowOff>
    </xdr:from>
    <xdr:to>
      <xdr:col>40</xdr:col>
      <xdr:colOff>454241</xdr:colOff>
      <xdr:row>92</xdr:row>
      <xdr:rowOff>111810</xdr:rowOff>
    </xdr:to>
    <xdr:pic>
      <xdr:nvPicPr>
        <xdr:cNvPr id="2" name="Afbeelding 1">
          <a:extLst>
            <a:ext uri="{FF2B5EF4-FFF2-40B4-BE49-F238E27FC236}">
              <a16:creationId xmlns:a16="http://schemas.microsoft.com/office/drawing/2014/main" id="{F51CAE5F-81C9-4DF6-88E6-11300124474E}"/>
            </a:ext>
          </a:extLst>
        </xdr:cNvPr>
        <xdr:cNvPicPr>
          <a:picLocks noChangeAspect="1"/>
        </xdr:cNvPicPr>
      </xdr:nvPicPr>
      <xdr:blipFill>
        <a:blip xmlns:r="http://schemas.openxmlformats.org/officeDocument/2006/relationships" r:embed="rId1"/>
        <a:stretch>
          <a:fillRect/>
        </a:stretch>
      </xdr:blipFill>
      <xdr:spPr>
        <a:xfrm>
          <a:off x="32431738" y="5627157"/>
          <a:ext cx="7060605" cy="3493265"/>
        </a:xfrm>
        <a:prstGeom prst="rect">
          <a:avLst/>
        </a:prstGeom>
      </xdr:spPr>
    </xdr:pic>
    <xdr:clientData/>
  </xdr:twoCellAnchor>
  <xdr:twoCellAnchor editAs="oneCell">
    <xdr:from>
      <xdr:col>14</xdr:col>
      <xdr:colOff>725521</xdr:colOff>
      <xdr:row>35</xdr:row>
      <xdr:rowOff>142874</xdr:rowOff>
    </xdr:from>
    <xdr:to>
      <xdr:col>15</xdr:col>
      <xdr:colOff>1298349</xdr:colOff>
      <xdr:row>44</xdr:row>
      <xdr:rowOff>71308</xdr:rowOff>
    </xdr:to>
    <xdr:pic>
      <xdr:nvPicPr>
        <xdr:cNvPr id="4" name="Afbeelding 3">
          <a:extLst>
            <a:ext uri="{FF2B5EF4-FFF2-40B4-BE49-F238E27FC236}">
              <a16:creationId xmlns:a16="http://schemas.microsoft.com/office/drawing/2014/main" id="{A077C999-7311-D1A9-07EF-0B0F399238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073427" y="6393655"/>
          <a:ext cx="2096260" cy="15185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26</xdr:col>
      <xdr:colOff>234063</xdr:colOff>
      <xdr:row>2</xdr:row>
      <xdr:rowOff>105832</xdr:rowOff>
    </xdr:from>
    <xdr:to>
      <xdr:col>37</xdr:col>
      <xdr:colOff>487468</xdr:colOff>
      <xdr:row>21</xdr:row>
      <xdr:rowOff>12141</xdr:rowOff>
    </xdr:to>
    <xdr:pic>
      <xdr:nvPicPr>
        <xdr:cNvPr id="2" name="Afbeelding 1">
          <a:extLst>
            <a:ext uri="{FF2B5EF4-FFF2-40B4-BE49-F238E27FC236}">
              <a16:creationId xmlns:a16="http://schemas.microsoft.com/office/drawing/2014/main" id="{A86CA823-B721-87BA-D308-BEC252AC794C}"/>
            </a:ext>
          </a:extLst>
        </xdr:cNvPr>
        <xdr:cNvPicPr>
          <a:picLocks noChangeAspect="1"/>
        </xdr:cNvPicPr>
      </xdr:nvPicPr>
      <xdr:blipFill>
        <a:blip xmlns:r="http://schemas.openxmlformats.org/officeDocument/2006/relationships" r:embed="rId1"/>
        <a:stretch>
          <a:fillRect/>
        </a:stretch>
      </xdr:blipFill>
      <xdr:spPr>
        <a:xfrm>
          <a:off x="23443313" y="486832"/>
          <a:ext cx="6772103" cy="37175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95250</xdr:colOff>
      <xdr:row>9</xdr:row>
      <xdr:rowOff>38100</xdr:rowOff>
    </xdr:from>
    <xdr:to>
      <xdr:col>9</xdr:col>
      <xdr:colOff>552450</xdr:colOff>
      <xdr:row>19</xdr:row>
      <xdr:rowOff>152400</xdr:rowOff>
    </xdr:to>
    <xdr:graphicFrame macro="">
      <xdr:nvGraphicFramePr>
        <xdr:cNvPr id="2" name="Grafiek 1">
          <a:extLst>
            <a:ext uri="{FF2B5EF4-FFF2-40B4-BE49-F238E27FC236}">
              <a16:creationId xmlns:a16="http://schemas.microsoft.com/office/drawing/2014/main" id="{BC521B35-4C0C-418E-BD71-D72D7CDF74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118533</xdr:colOff>
      <xdr:row>73</xdr:row>
      <xdr:rowOff>164394</xdr:rowOff>
    </xdr:from>
    <xdr:to>
      <xdr:col>10</xdr:col>
      <xdr:colOff>428095</xdr:colOff>
      <xdr:row>89</xdr:row>
      <xdr:rowOff>59971</xdr:rowOff>
    </xdr:to>
    <xdr:graphicFrame macro="">
      <xdr:nvGraphicFramePr>
        <xdr:cNvPr id="4" name="Grafiek 3">
          <a:extLst>
            <a:ext uri="{FF2B5EF4-FFF2-40B4-BE49-F238E27FC236}">
              <a16:creationId xmlns:a16="http://schemas.microsoft.com/office/drawing/2014/main" id="{55EED078-319F-46E2-A65A-B60B30597E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819604</xdr:colOff>
      <xdr:row>45</xdr:row>
      <xdr:rowOff>115886</xdr:rowOff>
    </xdr:from>
    <xdr:to>
      <xdr:col>8</xdr:col>
      <xdr:colOff>476023</xdr:colOff>
      <xdr:row>60</xdr:row>
      <xdr:rowOff>97895</xdr:rowOff>
    </xdr:to>
    <xdr:graphicFrame macro="">
      <xdr:nvGraphicFramePr>
        <xdr:cNvPr id="2" name="Grafiek 1">
          <a:extLst>
            <a:ext uri="{FF2B5EF4-FFF2-40B4-BE49-F238E27FC236}">
              <a16:creationId xmlns:a16="http://schemas.microsoft.com/office/drawing/2014/main" id="{0F946426-D090-4114-8CBC-274300703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1465488</xdr:colOff>
      <xdr:row>35</xdr:row>
      <xdr:rowOff>112599</xdr:rowOff>
    </xdr:from>
    <xdr:to>
      <xdr:col>45</xdr:col>
      <xdr:colOff>381226</xdr:colOff>
      <xdr:row>65</xdr:row>
      <xdr:rowOff>168162</xdr:rowOff>
    </xdr:to>
    <xdr:graphicFrame macro="">
      <xdr:nvGraphicFramePr>
        <xdr:cNvPr id="3" name="Grafiek 2">
          <a:extLst>
            <a:ext uri="{FF2B5EF4-FFF2-40B4-BE49-F238E27FC236}">
              <a16:creationId xmlns:a16="http://schemas.microsoft.com/office/drawing/2014/main" id="{2F555529-A1CA-4977-9F3A-A68555673E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398688</xdr:colOff>
      <xdr:row>46</xdr:row>
      <xdr:rowOff>92075</xdr:rowOff>
    </xdr:from>
    <xdr:to>
      <xdr:col>20</xdr:col>
      <xdr:colOff>53974</xdr:colOff>
      <xdr:row>60</xdr:row>
      <xdr:rowOff>138793</xdr:rowOff>
    </xdr:to>
    <xdr:graphicFrame macro="">
      <xdr:nvGraphicFramePr>
        <xdr:cNvPr id="5" name="Grafiek 4">
          <a:extLst>
            <a:ext uri="{FF2B5EF4-FFF2-40B4-BE49-F238E27FC236}">
              <a16:creationId xmlns:a16="http://schemas.microsoft.com/office/drawing/2014/main" id="{3F8EE898-6D85-DA69-939A-A7F2C138D0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48</xdr:col>
      <xdr:colOff>319768</xdr:colOff>
      <xdr:row>96</xdr:row>
      <xdr:rowOff>77561</xdr:rowOff>
    </xdr:from>
    <xdr:to>
      <xdr:col>57</xdr:col>
      <xdr:colOff>333375</xdr:colOff>
      <xdr:row>113</xdr:row>
      <xdr:rowOff>79375</xdr:rowOff>
    </xdr:to>
    <xdr:graphicFrame macro="">
      <xdr:nvGraphicFramePr>
        <xdr:cNvPr id="4" name="Grafiek 3">
          <a:extLst>
            <a:ext uri="{FF2B5EF4-FFF2-40B4-BE49-F238E27FC236}">
              <a16:creationId xmlns:a16="http://schemas.microsoft.com/office/drawing/2014/main" id="{38EEA07F-7DAC-05C2-0BE2-E56C7DAC6F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333374</xdr:colOff>
      <xdr:row>96</xdr:row>
      <xdr:rowOff>23132</xdr:rowOff>
    </xdr:from>
    <xdr:to>
      <xdr:col>45</xdr:col>
      <xdr:colOff>619124</xdr:colOff>
      <xdr:row>109</xdr:row>
      <xdr:rowOff>126546</xdr:rowOff>
    </xdr:to>
    <xdr:graphicFrame macro="">
      <xdr:nvGraphicFramePr>
        <xdr:cNvPr id="6" name="Grafiek 5">
          <a:extLst>
            <a:ext uri="{FF2B5EF4-FFF2-40B4-BE49-F238E27FC236}">
              <a16:creationId xmlns:a16="http://schemas.microsoft.com/office/drawing/2014/main" id="{0F2074D0-57F0-2D94-E70D-D1AC9103FF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3628</xdr:colOff>
      <xdr:row>76</xdr:row>
      <xdr:rowOff>148771</xdr:rowOff>
    </xdr:from>
    <xdr:to>
      <xdr:col>21</xdr:col>
      <xdr:colOff>602342</xdr:colOff>
      <xdr:row>91</xdr:row>
      <xdr:rowOff>48078</xdr:rowOff>
    </xdr:to>
    <xdr:graphicFrame macro="">
      <xdr:nvGraphicFramePr>
        <xdr:cNvPr id="7" name="Grafiek 6">
          <a:extLst>
            <a:ext uri="{FF2B5EF4-FFF2-40B4-BE49-F238E27FC236}">
              <a16:creationId xmlns:a16="http://schemas.microsoft.com/office/drawing/2014/main" id="{D15E1033-DE7B-EE33-CD48-18F3EEB317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17</xdr:col>
      <xdr:colOff>133350</xdr:colOff>
      <xdr:row>6</xdr:row>
      <xdr:rowOff>38100</xdr:rowOff>
    </xdr:from>
    <xdr:to>
      <xdr:col>28</xdr:col>
      <xdr:colOff>522988</xdr:colOff>
      <xdr:row>15</xdr:row>
      <xdr:rowOff>47408</xdr:rowOff>
    </xdr:to>
    <xdr:pic>
      <xdr:nvPicPr>
        <xdr:cNvPr id="2" name="Afbeelding 1">
          <a:extLst>
            <a:ext uri="{FF2B5EF4-FFF2-40B4-BE49-F238E27FC236}">
              <a16:creationId xmlns:a16="http://schemas.microsoft.com/office/drawing/2014/main" id="{BA772AC6-808B-49BC-4D78-D8A7C7A2E732}"/>
            </a:ext>
          </a:extLst>
        </xdr:cNvPr>
        <xdr:cNvPicPr>
          <a:picLocks noChangeAspect="1"/>
        </xdr:cNvPicPr>
      </xdr:nvPicPr>
      <xdr:blipFill>
        <a:blip xmlns:r="http://schemas.openxmlformats.org/officeDocument/2006/relationships" r:embed="rId1"/>
        <a:stretch>
          <a:fillRect/>
        </a:stretch>
      </xdr:blipFill>
      <xdr:spPr>
        <a:xfrm>
          <a:off x="11896725" y="1181100"/>
          <a:ext cx="7095238" cy="173333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omas van Tol" id="{12092BF0-ED0A-493C-952A-458EEC4B5BBE}" userId="S::tgvantol@tudelft.nl::d9dd786b-f497-4c72-adf9-019f90ab307a" providerId="AD"/>
  <person displayName="Thomas van Tol" id="{490DF146-66B9-425F-BE8C-0D810E94E739}" userId="S::tgvantol@tudelft.net::d9dd786b-f497-4c72-adf9-019f90ab30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6" dT="2022-04-01T12:36:45.03" personId="{490DF146-66B9-425F-BE8C-0D810E94E739}" id="{DA4EDFB0-0F98-4C77-9999-AB91D5D5260E}">
    <text>gegevens moeten kloppend gemaakt worden voor de nieuwe afstandklasse. dit geld voor de laatse twee.</text>
  </threadedComment>
  <threadedComment ref="B47" dT="2022-03-08T11:09:23.52" personId="{490DF146-66B9-425F-BE8C-0D810E94E739}" id="{C44722B0-397D-4F32-8920-57F2DFA7EB02}">
    <text>eigen data voor vinden</text>
  </threadedComment>
  <threadedComment ref="B58" dT="2022-06-21T13:47:46.85" personId="{12092BF0-ED0A-493C-952A-458EEC4B5BBE}" id="{788BC595-A4BE-475B-AD0C-032D6EC12222}">
    <text>Voor korte trips is de voor na transport tijd relatief kort. ivm met de hoge mate van bus/tram/metro gebruik en achtereenvolgens de netwerk dichtheid van deze modaliteiten. Bij langere afstanden waarbij veelal de trein gebruikt wordt neemt de voor en na transoirt tijd aanzienelijk toe. evenals de wachttijd.</text>
  </threadedComment>
  <threadedComment ref="K58" dT="2022-06-21T13:39:16.01" personId="{12092BF0-ED0A-493C-952A-458EEC4B5BBE}" id="{B8152ED0-172B-4CEA-9140-D2E7D5E8FEDA}">
    <text>verschilt per area type</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4-01T12:36:45.03" personId="{490DF146-66B9-425F-BE8C-0D810E94E739}" id="{74D79D5A-5427-4682-AABC-7F572418874D}">
    <text>gegevens moeten kloppend gemaakt worden voor de nieuwe afstandklasse. dit geld voor de laatse twee.</text>
  </threadedComment>
  <threadedComment ref="B3" dT="2022-03-08T11:09:23.52" personId="{490DF146-66B9-425F-BE8C-0D810E94E739}" id="{B2D67FBA-DDE3-43AC-8665-8B9385AF77A1}">
    <text>eigen data voor vinden</text>
  </threadedComment>
</ThreadedComments>
</file>

<file path=xl/threadedComments/threadedComment3.xml><?xml version="1.0" encoding="utf-8"?>
<ThreadedComments xmlns="http://schemas.microsoft.com/office/spreadsheetml/2018/threadedcomments" xmlns:x="http://schemas.openxmlformats.org/spreadsheetml/2006/main">
  <threadedComment ref="B5" dT="2022-03-08T11:09:23.52" personId="{490DF146-66B9-425F-BE8C-0D810E94E739}" id="{BC4237EA-552E-46DC-B423-A9A12A376943}">
    <text>eigen data voor vinden</text>
  </threadedComment>
  <threadedComment ref="A128" dT="2022-04-08T08:59:20.13" personId="{490DF146-66B9-425F-BE8C-0D810E94E739}" id="{98CAFF58-3E7A-42D0-A9F2-8CC68A679CC2}">
    <text>Verkeerde volgorde van de motieven</text>
  </threadedComment>
</ThreadedComments>
</file>

<file path=xl/threadedComments/threadedComment4.xml><?xml version="1.0" encoding="utf-8"?>
<ThreadedComments xmlns="http://schemas.microsoft.com/office/spreadsheetml/2018/threadedcomments" xmlns:x="http://schemas.openxmlformats.org/spreadsheetml/2006/main">
  <threadedComment ref="B5" dT="2022-03-08T11:09:23.52" personId="{490DF146-66B9-425F-BE8C-0D810E94E739}" id="{7276536B-62E9-4788-974F-8F700A7D499D}">
    <text>eigen data voor vinden</text>
  </threadedComment>
  <threadedComment ref="A128" dT="2022-04-08T08:59:20.13" personId="{490DF146-66B9-425F-BE8C-0D810E94E739}" id="{48EFFCAB-E795-4F4E-A678-E9A8F6F0F2DA}">
    <text>Verkeerde volgorde van de motieven</text>
  </threadedComment>
</ThreadedComments>
</file>

<file path=xl/threadedComments/threadedComment5.xml><?xml version="1.0" encoding="utf-8"?>
<ThreadedComments xmlns="http://schemas.microsoft.com/office/spreadsheetml/2018/threadedcomments" xmlns:x="http://schemas.openxmlformats.org/spreadsheetml/2006/main">
  <threadedComment ref="AC10" dT="2022-06-27T19:47:05.97" personId="{12092BF0-ED0A-493C-952A-458EEC4B5BBE}" id="{7652AD27-E63D-4DF0-8110-84D4763DB8D2}">
    <text>Deze dus eventueel gebruiken voor ijken van octavcius waarde naar lopen</text>
  </threadedComment>
</ThreadedComments>
</file>

<file path=xl/threadedComments/threadedComment6.xml><?xml version="1.0" encoding="utf-8"?>
<ThreadedComments xmlns="http://schemas.microsoft.com/office/spreadsheetml/2018/threadedcomments" xmlns:x="http://schemas.openxmlformats.org/spreadsheetml/2006/main">
  <threadedComment ref="A2" dT="2022-04-01T12:36:45.03" personId="{490DF146-66B9-425F-BE8C-0D810E94E739}" id="{881B4460-0884-4B60-9B53-3E8FFD738478}">
    <text>gegevens moeten kloppend gemaakt worden voor de nieuwe afstandklasse. dit geld voor de laatse twee.</text>
  </threadedComment>
  <threadedComment ref="B3" dT="2022-03-08T11:09:23.52" personId="{490DF146-66B9-425F-BE8C-0D810E94E739}" id="{55661212-E68C-4019-B58C-327C1E8A59F6}">
    <text>eigen data voor vinden</text>
  </threadedComment>
  <threadedComment ref="B14" dT="2022-06-21T13:47:46.85" personId="{12092BF0-ED0A-493C-952A-458EEC4B5BBE}" id="{D4B1ABAE-D642-467B-BF98-4FDD71D388F1}">
    <text>Voor korte trips is de voor na transport tijd relatief kort. ivm met de hoge mate van bus/tram/metro gebruik en achtereenvolgens de netwerk dichtheid van deze modaliteiten. Bij langere afstanden waarbij veelal de trein gebruikt wordt neemt de voor en na transoirt tijd aanzienelijk toe. evenals de wachttijd.</text>
  </threadedComment>
  <threadedComment ref="K14" dT="2022-06-21T13:39:16.01" personId="{12092BF0-ED0A-493C-952A-458EEC4B5BBE}" id="{2FACB169-43E4-4BE5-BF8C-E689614DC7BC}">
    <text>verschilt per area type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opendata.cbs.nl/" TargetMode="External"/><Relationship Id="rId1" Type="http://schemas.openxmlformats.org/officeDocument/2006/relationships/hyperlink" Target="https://www.cbs.nl/nl-nl/nieuws/2022/04/bijna-69-duizend-nieuwbouwwoningen-in-2021"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7DF0-0D93-4000-B32C-12C4C9BC09A3}">
  <sheetPr>
    <tabColor theme="4" tint="0.59999389629810485"/>
  </sheetPr>
  <dimension ref="A1:AJ124"/>
  <sheetViews>
    <sheetView tabSelected="1" zoomScaleNormal="100" workbookViewId="0">
      <pane xSplit="3" topLeftCell="D1" activePane="topRight" state="frozen"/>
      <selection pane="topRight" activeCell="F33" sqref="F33"/>
    </sheetView>
  </sheetViews>
  <sheetFormatPr baseColWidth="10" defaultColWidth="8.83203125" defaultRowHeight="15"/>
  <cols>
    <col min="1" max="1" width="60.1640625" customWidth="1"/>
    <col min="2" max="2" width="17.33203125" customWidth="1"/>
    <col min="3" max="3" width="16.1640625" customWidth="1"/>
    <col min="4" max="4" width="15.5" customWidth="1"/>
    <col min="5" max="5" width="16.1640625" customWidth="1"/>
    <col min="6" max="6" width="24.83203125" customWidth="1"/>
    <col min="7" max="7" width="12.5" customWidth="1"/>
    <col min="8" max="8" width="11.5" customWidth="1"/>
    <col min="9" max="10" width="22" customWidth="1"/>
    <col min="11" max="11" width="50.6640625" customWidth="1"/>
    <col min="12" max="12" width="19.1640625" customWidth="1"/>
    <col min="15" max="15" width="21.5" customWidth="1"/>
    <col min="16" max="16" width="23.1640625" bestFit="1" customWidth="1"/>
    <col min="17" max="17" width="23.5" bestFit="1" customWidth="1"/>
    <col min="18" max="18" width="30" customWidth="1"/>
    <col min="19" max="19" width="29.5" bestFit="1" customWidth="1"/>
    <col min="20" max="21" width="16.1640625" bestFit="1" customWidth="1"/>
    <col min="22" max="22" width="32.83203125" bestFit="1" customWidth="1"/>
    <col min="25" max="25" width="14.5" bestFit="1" customWidth="1"/>
    <col min="28" max="28" width="20.5" bestFit="1" customWidth="1"/>
    <col min="29" max="29" width="21.5" bestFit="1" customWidth="1"/>
    <col min="30" max="30" width="18.33203125" customWidth="1"/>
    <col min="34" max="34" width="19.33203125" customWidth="1"/>
    <col min="35" max="35" width="16.83203125" bestFit="1" customWidth="1"/>
    <col min="36" max="36" width="10.5" bestFit="1" customWidth="1"/>
  </cols>
  <sheetData>
    <row r="1" spans="1:36" s="10" customFormat="1">
      <c r="A1" s="275" t="s">
        <v>868</v>
      </c>
      <c r="B1" s="275" t="s">
        <v>58</v>
      </c>
      <c r="C1" s="275" t="s">
        <v>58</v>
      </c>
      <c r="D1" s="312" t="s">
        <v>59</v>
      </c>
      <c r="E1" s="312" t="s">
        <v>61</v>
      </c>
      <c r="F1" s="312" t="s">
        <v>22</v>
      </c>
      <c r="G1" s="312"/>
      <c r="H1" s="313" t="s">
        <v>4</v>
      </c>
      <c r="I1" s="312" t="s">
        <v>289</v>
      </c>
      <c r="J1" s="312" t="s">
        <v>276</v>
      </c>
      <c r="K1" s="312" t="s">
        <v>869</v>
      </c>
      <c r="L1" s="312"/>
      <c r="M1" s="328" t="s">
        <v>6</v>
      </c>
      <c r="N1" s="312" t="s">
        <v>64</v>
      </c>
      <c r="O1" s="316" t="s">
        <v>874</v>
      </c>
      <c r="P1" s="312" t="s">
        <v>870</v>
      </c>
      <c r="Q1" s="312" t="s">
        <v>871</v>
      </c>
      <c r="R1" s="335" t="s">
        <v>872</v>
      </c>
      <c r="S1" s="315" t="s">
        <v>873</v>
      </c>
      <c r="T1" s="334" t="s">
        <v>875</v>
      </c>
      <c r="U1" s="10" t="s">
        <v>876</v>
      </c>
      <c r="V1" s="10" t="s">
        <v>877</v>
      </c>
      <c r="X1" s="314" t="s">
        <v>417</v>
      </c>
      <c r="Y1" s="317" t="s">
        <v>415</v>
      </c>
      <c r="AA1" s="313" t="s">
        <v>5</v>
      </c>
      <c r="AB1" s="312" t="s">
        <v>69</v>
      </c>
      <c r="AC1" s="10" t="s">
        <v>879</v>
      </c>
      <c r="AD1" s="10" t="s">
        <v>880</v>
      </c>
      <c r="AE1" s="312"/>
      <c r="AF1" s="89"/>
      <c r="AG1" s="90" t="s">
        <v>250</v>
      </c>
      <c r="AH1" s="10" t="s">
        <v>283</v>
      </c>
      <c r="AI1" s="10" t="s">
        <v>284</v>
      </c>
      <c r="AJ1" s="10" t="s">
        <v>881</v>
      </c>
    </row>
    <row r="2" spans="1:36">
      <c r="A2" s="5" t="s">
        <v>878</v>
      </c>
      <c r="B2" t="s">
        <v>897</v>
      </c>
      <c r="C2">
        <v>1</v>
      </c>
      <c r="D2" s="311">
        <f>D101</f>
        <v>26343143323.576485</v>
      </c>
      <c r="E2">
        <f>E101</f>
        <v>10355972837.187511</v>
      </c>
      <c r="F2" s="326">
        <f>K101</f>
        <v>2.5437632695385468</v>
      </c>
      <c r="I2" s="310">
        <v>30</v>
      </c>
      <c r="J2" s="65">
        <f>F2/I2</f>
        <v>8.4792108984618225E-2</v>
      </c>
      <c r="K2" s="2">
        <f>J2*60</f>
        <v>5.0875265390770936</v>
      </c>
      <c r="N2" s="147" t="s">
        <v>413</v>
      </c>
      <c r="O2" s="330">
        <f>SUM(T51:T54)/4</f>
        <v>23.125</v>
      </c>
      <c r="P2" s="177">
        <f>F2/O2</f>
        <v>0.1100005738178831</v>
      </c>
      <c r="Q2" s="2">
        <f>P2*60</f>
        <v>6.600034429072986</v>
      </c>
      <c r="R2">
        <v>5</v>
      </c>
      <c r="S2" s="65">
        <f>R2/60</f>
        <v>8.3333333333333329E-2</v>
      </c>
      <c r="T2">
        <v>1</v>
      </c>
      <c r="U2" s="65">
        <f>T2/60</f>
        <v>1.6666666666666666E-2</v>
      </c>
      <c r="V2" s="177">
        <f>S2+U2</f>
        <v>9.9999999999999992E-2</v>
      </c>
      <c r="X2">
        <v>0.96</v>
      </c>
      <c r="Y2" s="322">
        <v>0.15</v>
      </c>
      <c r="AB2" s="323">
        <v>14.6</v>
      </c>
      <c r="AC2" s="177">
        <f>F2/AB2</f>
        <v>0.17423036092729774</v>
      </c>
      <c r="AD2" s="2">
        <f>AC2*60</f>
        <v>10.453821655637864</v>
      </c>
      <c r="AH2">
        <v>6</v>
      </c>
      <c r="AI2" s="177">
        <f>F2/AH2</f>
        <v>0.42396054492309115</v>
      </c>
      <c r="AJ2" s="2">
        <f>AI2*60</f>
        <v>25.437632695385471</v>
      </c>
    </row>
    <row r="3" spans="1:36">
      <c r="B3" t="s">
        <v>898</v>
      </c>
      <c r="C3">
        <v>2</v>
      </c>
      <c r="D3" s="311">
        <f t="shared" ref="D3:E5" si="0">D102</f>
        <v>19584909024.107529</v>
      </c>
      <c r="E3">
        <f t="shared" si="0"/>
        <v>1903050814.2066727</v>
      </c>
      <c r="F3" s="326">
        <f t="shared" ref="F3:F5" si="1">K102</f>
        <v>10.291322164338483</v>
      </c>
      <c r="I3" s="310">
        <v>50</v>
      </c>
      <c r="J3" s="65">
        <f t="shared" ref="J3:J25" si="2">F3/I3</f>
        <v>0.20582644328676966</v>
      </c>
      <c r="K3" s="2">
        <f t="shared" ref="K3:K5" si="3">J3*60</f>
        <v>12.34958659720618</v>
      </c>
      <c r="N3" s="147" t="s">
        <v>414</v>
      </c>
      <c r="O3" s="331">
        <f>(T54+U57)/2</f>
        <v>46.25</v>
      </c>
      <c r="P3" s="177">
        <f t="shared" ref="P3:P4" si="4">F3/O3</f>
        <v>0.22251507382353478</v>
      </c>
      <c r="Q3" s="2">
        <f t="shared" ref="Q3:Q25" si="5">P3*60</f>
        <v>13.350904429412086</v>
      </c>
      <c r="R3">
        <v>8</v>
      </c>
      <c r="S3" s="65">
        <f t="shared" ref="S3:S25" si="6">R3/60</f>
        <v>0.13333333333333333</v>
      </c>
      <c r="T3">
        <v>2</v>
      </c>
      <c r="U3" s="65">
        <f t="shared" ref="U3:U25" si="7">T3/60</f>
        <v>3.3333333333333333E-2</v>
      </c>
      <c r="V3" s="177">
        <f t="shared" ref="V3:V25" si="8">S3+U3</f>
        <v>0.16666666666666666</v>
      </c>
      <c r="X3">
        <v>0.96</v>
      </c>
      <c r="Y3" s="322">
        <v>0.15</v>
      </c>
      <c r="AB3" s="323">
        <v>14.6</v>
      </c>
      <c r="AC3" s="177">
        <f t="shared" ref="AC3:AC4" si="9">F3/AB3</f>
        <v>0.70488507974921122</v>
      </c>
      <c r="AD3" s="2">
        <f t="shared" ref="AD3:AD4" si="10">AC3*60</f>
        <v>42.293104784952675</v>
      </c>
      <c r="AH3">
        <v>6</v>
      </c>
      <c r="AI3" s="177">
        <f t="shared" ref="AI3:AI25" si="11">F3/AH3</f>
        <v>1.7152203607230805</v>
      </c>
      <c r="AJ3" s="2">
        <f t="shared" ref="AJ3:AJ25" si="12">AI3*60</f>
        <v>102.91322164338483</v>
      </c>
    </row>
    <row r="4" spans="1:36">
      <c r="B4" t="s">
        <v>899</v>
      </c>
      <c r="C4">
        <v>3</v>
      </c>
      <c r="D4" s="311">
        <f t="shared" si="0"/>
        <v>52406018249.346375</v>
      </c>
      <c r="E4">
        <f t="shared" si="0"/>
        <v>2211980787.3040905</v>
      </c>
      <c r="F4" s="326">
        <f t="shared" si="1"/>
        <v>23.691895766064761</v>
      </c>
      <c r="I4" s="310">
        <v>80</v>
      </c>
      <c r="J4" s="65">
        <f t="shared" si="2"/>
        <v>0.29614869707580949</v>
      </c>
      <c r="K4" s="2">
        <f t="shared" si="3"/>
        <v>17.76892182454857</v>
      </c>
      <c r="N4" s="147" t="s">
        <v>67</v>
      </c>
      <c r="O4" s="175">
        <f>U57</f>
        <v>60</v>
      </c>
      <c r="P4" s="177">
        <f t="shared" si="4"/>
        <v>0.3948649294344127</v>
      </c>
      <c r="Q4" s="2">
        <f t="shared" si="5"/>
        <v>23.691895766064761</v>
      </c>
      <c r="R4">
        <v>11</v>
      </c>
      <c r="S4" s="65">
        <f t="shared" si="6"/>
        <v>0.18333333333333332</v>
      </c>
      <c r="T4">
        <v>6</v>
      </c>
      <c r="U4" s="65">
        <f t="shared" si="7"/>
        <v>0.1</v>
      </c>
      <c r="V4" s="177">
        <f t="shared" si="8"/>
        <v>0.28333333333333333</v>
      </c>
      <c r="X4">
        <v>0.96</v>
      </c>
      <c r="Y4" s="322">
        <v>0.2</v>
      </c>
      <c r="AB4" s="323">
        <v>15.8</v>
      </c>
      <c r="AC4" s="177">
        <f t="shared" si="9"/>
        <v>1.4994870738015671</v>
      </c>
      <c r="AD4" s="2">
        <f t="shared" si="10"/>
        <v>89.969224428094023</v>
      </c>
      <c r="AH4">
        <v>5</v>
      </c>
      <c r="AI4" s="177">
        <f t="shared" si="11"/>
        <v>4.7383791532129518</v>
      </c>
      <c r="AJ4" s="2">
        <f t="shared" si="12"/>
        <v>284.30274919277713</v>
      </c>
    </row>
    <row r="5" spans="1:36" s="10" customFormat="1">
      <c r="B5" s="10" t="s">
        <v>900</v>
      </c>
      <c r="C5" s="10">
        <v>4</v>
      </c>
      <c r="D5" s="318">
        <f t="shared" si="0"/>
        <v>112540732381.09088</v>
      </c>
      <c r="E5" s="10">
        <f t="shared" si="0"/>
        <v>1400467762.4369254</v>
      </c>
      <c r="F5" s="327">
        <f t="shared" si="1"/>
        <v>80.359388055645809</v>
      </c>
      <c r="I5" s="319">
        <v>95</v>
      </c>
      <c r="J5" s="87">
        <f t="shared" si="2"/>
        <v>0.84588829532258747</v>
      </c>
      <c r="K5" s="85">
        <f t="shared" si="3"/>
        <v>50.753297719355245</v>
      </c>
      <c r="N5" s="320" t="s">
        <v>68</v>
      </c>
      <c r="O5" s="316">
        <f>SUM(U58:U59)/2</f>
        <v>77.5</v>
      </c>
      <c r="P5" s="321">
        <f>F5/O5</f>
        <v>1.0368953297502685</v>
      </c>
      <c r="Q5" s="85">
        <f t="shared" si="5"/>
        <v>62.21371978501611</v>
      </c>
      <c r="R5" s="10">
        <v>15</v>
      </c>
      <c r="S5" s="87">
        <f t="shared" si="6"/>
        <v>0.25</v>
      </c>
      <c r="T5" s="10">
        <v>10</v>
      </c>
      <c r="U5" s="87">
        <f t="shared" si="7"/>
        <v>0.16666666666666666</v>
      </c>
      <c r="V5" s="321">
        <f t="shared" si="8"/>
        <v>0.41666666666666663</v>
      </c>
      <c r="X5" s="10">
        <v>0.96</v>
      </c>
      <c r="Y5" s="324">
        <v>0.2</v>
      </c>
      <c r="AB5" s="325">
        <v>15.8</v>
      </c>
      <c r="AC5" s="177">
        <f>F5/AB5</f>
        <v>5.08603721871176</v>
      </c>
      <c r="AD5" s="2">
        <f>AC5*60</f>
        <v>305.16223312270557</v>
      </c>
      <c r="AH5" s="10">
        <v>4</v>
      </c>
      <c r="AI5" s="321">
        <f t="shared" si="11"/>
        <v>20.089847013911452</v>
      </c>
      <c r="AJ5" s="85">
        <f t="shared" si="12"/>
        <v>1205.390820834687</v>
      </c>
    </row>
    <row r="6" spans="1:36">
      <c r="A6" t="s">
        <v>863</v>
      </c>
      <c r="C6">
        <v>1</v>
      </c>
      <c r="D6" s="94">
        <v>26343143323.576485</v>
      </c>
      <c r="E6" cm="1">
        <f t="array" ref="E6:E9">E2:E5</f>
        <v>10355972837.187511</v>
      </c>
      <c r="F6" s="326" cm="1">
        <f t="array" ref="F6:F9">F2:F5</f>
        <v>2.5437632695385468</v>
      </c>
      <c r="I6" s="329">
        <f>20</f>
        <v>20</v>
      </c>
      <c r="J6" s="87">
        <f t="shared" si="2"/>
        <v>0.12718816347692735</v>
      </c>
      <c r="O6" s="332">
        <v>20</v>
      </c>
      <c r="P6" s="177">
        <f t="shared" ref="P6:P25" si="13">F6/O6</f>
        <v>0.12718816347692735</v>
      </c>
      <c r="Q6" s="2">
        <f t="shared" si="5"/>
        <v>7.6312898086156409</v>
      </c>
      <c r="R6" s="336">
        <v>4</v>
      </c>
      <c r="S6" s="87">
        <f t="shared" si="6"/>
        <v>6.6666666666666666E-2</v>
      </c>
      <c r="T6" s="136">
        <v>1</v>
      </c>
      <c r="U6" s="65">
        <f t="shared" si="7"/>
        <v>1.6666666666666666E-2</v>
      </c>
      <c r="V6" s="177">
        <f t="shared" si="8"/>
        <v>8.3333333333333329E-2</v>
      </c>
      <c r="X6">
        <v>0.96</v>
      </c>
      <c r="Y6" s="322">
        <v>0.15</v>
      </c>
      <c r="AB6" s="323">
        <v>14.6</v>
      </c>
      <c r="AC6" s="339">
        <f t="shared" ref="AC6:AC25" si="14">F6/AB6</f>
        <v>0.17423036092729774</v>
      </c>
      <c r="AD6" s="340">
        <f>AC6*60</f>
        <v>10.453821655637864</v>
      </c>
      <c r="AH6" cm="1">
        <f t="array" ref="AH6:AH9">AH2:AH5</f>
        <v>6</v>
      </c>
      <c r="AI6" s="177">
        <f t="shared" si="11"/>
        <v>0.42396054492309115</v>
      </c>
      <c r="AJ6" s="2">
        <f t="shared" si="12"/>
        <v>25.437632695385471</v>
      </c>
    </row>
    <row r="7" spans="1:36">
      <c r="C7">
        <v>2</v>
      </c>
      <c r="D7" s="94">
        <v>19584909024.107529</v>
      </c>
      <c r="E7">
        <v>1903050814.2066727</v>
      </c>
      <c r="F7" s="326">
        <v>10.291322164338483</v>
      </c>
      <c r="I7" s="329">
        <v>45</v>
      </c>
      <c r="J7" s="87">
        <f t="shared" si="2"/>
        <v>0.22869604809641075</v>
      </c>
      <c r="O7">
        <v>46.25</v>
      </c>
      <c r="P7" s="177">
        <f t="shared" si="13"/>
        <v>0.22251507382353478</v>
      </c>
      <c r="Q7" s="2">
        <f t="shared" si="5"/>
        <v>13.350904429412086</v>
      </c>
      <c r="R7" s="336">
        <v>5</v>
      </c>
      <c r="S7" s="87">
        <f t="shared" si="6"/>
        <v>8.3333333333333329E-2</v>
      </c>
      <c r="T7" s="136">
        <v>2</v>
      </c>
      <c r="U7" s="65">
        <f t="shared" si="7"/>
        <v>3.3333333333333333E-2</v>
      </c>
      <c r="V7" s="177">
        <f t="shared" si="8"/>
        <v>0.11666666666666667</v>
      </c>
      <c r="X7">
        <v>0.96</v>
      </c>
      <c r="Y7" s="322">
        <v>0.15</v>
      </c>
      <c r="AB7" s="323">
        <v>14.6</v>
      </c>
      <c r="AC7" s="177">
        <f t="shared" si="14"/>
        <v>0.70488507974921122</v>
      </c>
      <c r="AD7" s="2">
        <f t="shared" ref="AD7:AD25" si="15">AC7*60</f>
        <v>42.293104784952675</v>
      </c>
      <c r="AH7">
        <v>6</v>
      </c>
      <c r="AI7" s="177">
        <f t="shared" si="11"/>
        <v>1.7152203607230805</v>
      </c>
      <c r="AJ7" s="2">
        <f t="shared" si="12"/>
        <v>102.91322164338483</v>
      </c>
    </row>
    <row r="8" spans="1:36">
      <c r="C8">
        <v>3</v>
      </c>
      <c r="D8" s="94">
        <v>52406018249.346375</v>
      </c>
      <c r="E8">
        <v>2211980787.3040905</v>
      </c>
      <c r="F8" s="326">
        <v>23.691895766064761</v>
      </c>
      <c r="I8" s="310">
        <f t="shared" ref="I8:I13" si="16">I4</f>
        <v>80</v>
      </c>
      <c r="J8" s="87">
        <f t="shared" si="2"/>
        <v>0.29614869707580949</v>
      </c>
      <c r="O8">
        <v>60</v>
      </c>
      <c r="P8" s="177">
        <f t="shared" si="13"/>
        <v>0.3948649294344127</v>
      </c>
      <c r="Q8" s="2">
        <f t="shared" si="5"/>
        <v>23.691895766064761</v>
      </c>
      <c r="R8" s="336">
        <v>7.5</v>
      </c>
      <c r="S8" s="87">
        <f t="shared" si="6"/>
        <v>0.125</v>
      </c>
      <c r="T8" s="136">
        <v>4</v>
      </c>
      <c r="U8" s="65">
        <f t="shared" si="7"/>
        <v>6.6666666666666666E-2</v>
      </c>
      <c r="V8" s="177">
        <f t="shared" si="8"/>
        <v>0.19166666666666665</v>
      </c>
      <c r="X8">
        <v>0.96</v>
      </c>
      <c r="Y8" s="322">
        <v>0.2</v>
      </c>
      <c r="AB8" s="323">
        <v>15.8</v>
      </c>
      <c r="AC8" s="177">
        <f t="shared" si="14"/>
        <v>1.4994870738015671</v>
      </c>
      <c r="AD8" s="2">
        <f t="shared" si="15"/>
        <v>89.969224428094023</v>
      </c>
      <c r="AH8">
        <v>5</v>
      </c>
      <c r="AI8" s="177">
        <f t="shared" si="11"/>
        <v>4.7383791532129518</v>
      </c>
      <c r="AJ8" s="2">
        <f t="shared" si="12"/>
        <v>284.30274919277713</v>
      </c>
    </row>
    <row r="9" spans="1:36">
      <c r="C9">
        <v>4</v>
      </c>
      <c r="D9" s="94">
        <v>112540732381.09088</v>
      </c>
      <c r="E9">
        <v>1400467762.4369254</v>
      </c>
      <c r="F9" s="326">
        <v>80.359388055645809</v>
      </c>
      <c r="I9" s="310">
        <f t="shared" si="16"/>
        <v>95</v>
      </c>
      <c r="J9" s="87">
        <f t="shared" si="2"/>
        <v>0.84588829532258747</v>
      </c>
      <c r="O9">
        <v>77.5</v>
      </c>
      <c r="P9" s="177">
        <f t="shared" si="13"/>
        <v>1.0368953297502685</v>
      </c>
      <c r="Q9" s="2">
        <f t="shared" si="5"/>
        <v>62.21371978501611</v>
      </c>
      <c r="R9" s="337">
        <v>10</v>
      </c>
      <c r="S9" s="87">
        <f t="shared" si="6"/>
        <v>0.16666666666666666</v>
      </c>
      <c r="T9" s="333">
        <v>7.5</v>
      </c>
      <c r="U9" s="65">
        <f t="shared" si="7"/>
        <v>0.125</v>
      </c>
      <c r="V9" s="177">
        <f t="shared" si="8"/>
        <v>0.29166666666666663</v>
      </c>
      <c r="X9">
        <v>0.96</v>
      </c>
      <c r="Y9" s="324">
        <v>0.2</v>
      </c>
      <c r="AB9" s="325">
        <v>15.8</v>
      </c>
      <c r="AC9" s="177">
        <f t="shared" si="14"/>
        <v>5.08603721871176</v>
      </c>
      <c r="AD9" s="2">
        <f t="shared" si="15"/>
        <v>305.16223312270557</v>
      </c>
      <c r="AH9">
        <v>4</v>
      </c>
      <c r="AI9" s="177">
        <f t="shared" si="11"/>
        <v>20.089847013911452</v>
      </c>
      <c r="AJ9" s="2">
        <f t="shared" si="12"/>
        <v>1205.390820834687</v>
      </c>
    </row>
    <row r="10" spans="1:36">
      <c r="A10" t="s">
        <v>864</v>
      </c>
      <c r="C10">
        <v>1</v>
      </c>
      <c r="D10" s="94">
        <v>26343143323.576485</v>
      </c>
      <c r="E10" cm="1">
        <f t="array" ref="E10:E13">E6:E9</f>
        <v>10355972837.187511</v>
      </c>
      <c r="F10" s="326" cm="1">
        <f t="array" ref="F10:F13">F6:F9</f>
        <v>2.5437632695385468</v>
      </c>
      <c r="I10" s="329">
        <f t="shared" si="16"/>
        <v>20</v>
      </c>
      <c r="J10" s="87">
        <f t="shared" si="2"/>
        <v>0.12718816347692735</v>
      </c>
      <c r="O10" s="332">
        <v>20</v>
      </c>
      <c r="P10" s="177">
        <f t="shared" si="13"/>
        <v>0.12718816347692735</v>
      </c>
      <c r="Q10" s="2">
        <f t="shared" si="5"/>
        <v>7.6312898086156409</v>
      </c>
      <c r="R10" s="136">
        <v>4</v>
      </c>
      <c r="S10" s="87">
        <f t="shared" si="6"/>
        <v>6.6666666666666666E-2</v>
      </c>
      <c r="T10" s="136">
        <v>1</v>
      </c>
      <c r="U10" s="65">
        <f t="shared" si="7"/>
        <v>1.6666666666666666E-2</v>
      </c>
      <c r="V10" s="177">
        <f t="shared" si="8"/>
        <v>8.3333333333333329E-2</v>
      </c>
      <c r="X10">
        <v>0.96</v>
      </c>
      <c r="Y10" s="322">
        <v>0.15</v>
      </c>
      <c r="AB10" s="323">
        <v>14.6</v>
      </c>
      <c r="AC10" s="177">
        <f t="shared" si="14"/>
        <v>0.17423036092729774</v>
      </c>
      <c r="AD10" s="2">
        <f t="shared" si="15"/>
        <v>10.453821655637864</v>
      </c>
      <c r="AH10" cm="1">
        <f t="array" ref="AH10:AH13">AH6:AH9</f>
        <v>6</v>
      </c>
      <c r="AI10" s="177">
        <f t="shared" si="11"/>
        <v>0.42396054492309115</v>
      </c>
      <c r="AJ10" s="2">
        <f t="shared" si="12"/>
        <v>25.437632695385471</v>
      </c>
    </row>
    <row r="11" spans="1:36">
      <c r="C11">
        <v>2</v>
      </c>
      <c r="D11" s="94">
        <v>19584909024.107529</v>
      </c>
      <c r="E11">
        <v>1903050814.2066727</v>
      </c>
      <c r="F11" s="326">
        <v>10.291322164338483</v>
      </c>
      <c r="I11" s="329">
        <v>50</v>
      </c>
      <c r="J11" s="87">
        <f t="shared" si="2"/>
        <v>0.20582644328676966</v>
      </c>
      <c r="O11">
        <v>46.25</v>
      </c>
      <c r="P11" s="177">
        <f t="shared" si="13"/>
        <v>0.22251507382353478</v>
      </c>
      <c r="Q11" s="2">
        <f t="shared" si="5"/>
        <v>13.350904429412086</v>
      </c>
      <c r="R11" s="136">
        <v>7</v>
      </c>
      <c r="S11" s="87">
        <f t="shared" si="6"/>
        <v>0.11666666666666667</v>
      </c>
      <c r="T11" s="136">
        <v>3</v>
      </c>
      <c r="U11" s="65">
        <f t="shared" si="7"/>
        <v>0.05</v>
      </c>
      <c r="V11" s="177">
        <f t="shared" si="8"/>
        <v>0.16666666666666669</v>
      </c>
      <c r="X11">
        <v>0.96</v>
      </c>
      <c r="Y11" s="322">
        <v>0.15</v>
      </c>
      <c r="AB11" s="323">
        <v>14.6</v>
      </c>
      <c r="AC11" s="177">
        <f t="shared" si="14"/>
        <v>0.70488507974921122</v>
      </c>
      <c r="AD11" s="2">
        <f t="shared" si="15"/>
        <v>42.293104784952675</v>
      </c>
      <c r="AH11">
        <v>6</v>
      </c>
      <c r="AI11" s="177">
        <f t="shared" si="11"/>
        <v>1.7152203607230805</v>
      </c>
      <c r="AJ11" s="2">
        <f t="shared" si="12"/>
        <v>102.91322164338483</v>
      </c>
    </row>
    <row r="12" spans="1:36">
      <c r="C12">
        <v>3</v>
      </c>
      <c r="D12" s="94">
        <v>52406018249.346375</v>
      </c>
      <c r="E12">
        <v>2211980787.3040905</v>
      </c>
      <c r="F12" s="326">
        <v>23.691895766064761</v>
      </c>
      <c r="I12" s="310">
        <f t="shared" si="16"/>
        <v>80</v>
      </c>
      <c r="J12" s="87">
        <f t="shared" si="2"/>
        <v>0.29614869707580949</v>
      </c>
      <c r="O12">
        <v>60</v>
      </c>
      <c r="P12" s="177">
        <f t="shared" si="13"/>
        <v>0.3948649294344127</v>
      </c>
      <c r="Q12" s="2">
        <f t="shared" si="5"/>
        <v>23.691895766064761</v>
      </c>
      <c r="R12" s="136">
        <v>10</v>
      </c>
      <c r="S12" s="87">
        <f t="shared" si="6"/>
        <v>0.16666666666666666</v>
      </c>
      <c r="T12" s="136">
        <v>5</v>
      </c>
      <c r="U12" s="65">
        <f t="shared" si="7"/>
        <v>8.3333333333333329E-2</v>
      </c>
      <c r="V12" s="177">
        <f t="shared" si="8"/>
        <v>0.25</v>
      </c>
      <c r="X12">
        <v>0.96</v>
      </c>
      <c r="Y12" s="322">
        <v>0.2</v>
      </c>
      <c r="AB12" s="323">
        <v>15.8</v>
      </c>
      <c r="AC12" s="177">
        <f t="shared" si="14"/>
        <v>1.4994870738015671</v>
      </c>
      <c r="AD12" s="2">
        <f t="shared" si="15"/>
        <v>89.969224428094023</v>
      </c>
      <c r="AH12">
        <v>5</v>
      </c>
      <c r="AI12" s="177">
        <f t="shared" si="11"/>
        <v>4.7383791532129518</v>
      </c>
      <c r="AJ12" s="2">
        <f t="shared" si="12"/>
        <v>284.30274919277713</v>
      </c>
    </row>
    <row r="13" spans="1:36">
      <c r="C13">
        <v>4</v>
      </c>
      <c r="D13" s="94">
        <v>112540732381.09088</v>
      </c>
      <c r="E13">
        <v>1400467762.4369254</v>
      </c>
      <c r="F13" s="326">
        <v>80.359388055645809</v>
      </c>
      <c r="I13" s="310">
        <f t="shared" si="16"/>
        <v>95</v>
      </c>
      <c r="J13" s="87">
        <f t="shared" si="2"/>
        <v>0.84588829532258747</v>
      </c>
      <c r="O13">
        <v>77.5</v>
      </c>
      <c r="P13" s="177">
        <f t="shared" si="13"/>
        <v>1.0368953297502685</v>
      </c>
      <c r="Q13" s="2">
        <f t="shared" si="5"/>
        <v>62.21371978501611</v>
      </c>
      <c r="R13" s="333">
        <v>15</v>
      </c>
      <c r="S13" s="87">
        <f t="shared" si="6"/>
        <v>0.25</v>
      </c>
      <c r="T13" s="333">
        <v>8</v>
      </c>
      <c r="U13" s="65">
        <f t="shared" si="7"/>
        <v>0.13333333333333333</v>
      </c>
      <c r="V13" s="177">
        <f t="shared" si="8"/>
        <v>0.3833333333333333</v>
      </c>
      <c r="X13">
        <v>0.96</v>
      </c>
      <c r="Y13" s="324">
        <v>0.2</v>
      </c>
      <c r="AB13" s="325">
        <v>15.8</v>
      </c>
      <c r="AC13" s="177">
        <f t="shared" si="14"/>
        <v>5.08603721871176</v>
      </c>
      <c r="AD13" s="2">
        <f t="shared" si="15"/>
        <v>305.16223312270557</v>
      </c>
      <c r="AH13">
        <v>4</v>
      </c>
      <c r="AI13" s="177">
        <f t="shared" si="11"/>
        <v>20.089847013911452</v>
      </c>
      <c r="AJ13" s="2">
        <f t="shared" si="12"/>
        <v>1205.390820834687</v>
      </c>
    </row>
    <row r="14" spans="1:36">
      <c r="A14" t="s">
        <v>865</v>
      </c>
      <c r="C14">
        <v>1</v>
      </c>
      <c r="D14" s="94">
        <v>26343143323.576485</v>
      </c>
      <c r="E14" cm="1">
        <f t="array" ref="E14:E17">E10:E13</f>
        <v>10355972837.187511</v>
      </c>
      <c r="F14" s="326" cm="1">
        <f t="array" ref="F14:F17">F10:F13</f>
        <v>2.5437632695385468</v>
      </c>
      <c r="I14" s="310">
        <v>30</v>
      </c>
      <c r="J14" s="87">
        <f t="shared" si="2"/>
        <v>8.4792108984618225E-2</v>
      </c>
      <c r="O14" s="332">
        <v>22</v>
      </c>
      <c r="P14" s="177">
        <f t="shared" si="13"/>
        <v>0.11562560316084304</v>
      </c>
      <c r="Q14" s="2">
        <f t="shared" si="5"/>
        <v>6.9375361896505821</v>
      </c>
      <c r="R14">
        <v>5</v>
      </c>
      <c r="S14" s="87">
        <f t="shared" si="6"/>
        <v>8.3333333333333329E-2</v>
      </c>
      <c r="T14" s="136">
        <v>2</v>
      </c>
      <c r="U14" s="65">
        <f t="shared" si="7"/>
        <v>3.3333333333333333E-2</v>
      </c>
      <c r="V14" s="177">
        <f t="shared" si="8"/>
        <v>0.11666666666666667</v>
      </c>
      <c r="X14">
        <v>0.96</v>
      </c>
      <c r="Y14" s="322">
        <v>0.15</v>
      </c>
      <c r="AB14" s="323">
        <v>14.6</v>
      </c>
      <c r="AC14" s="177">
        <f t="shared" si="14"/>
        <v>0.17423036092729774</v>
      </c>
      <c r="AD14" s="2">
        <f t="shared" si="15"/>
        <v>10.453821655637864</v>
      </c>
      <c r="AH14" cm="1">
        <f t="array" ref="AH14:AH17">AH10:AH13</f>
        <v>6</v>
      </c>
      <c r="AI14" s="177">
        <f t="shared" si="11"/>
        <v>0.42396054492309115</v>
      </c>
      <c r="AJ14" s="2">
        <f t="shared" si="12"/>
        <v>25.437632695385471</v>
      </c>
    </row>
    <row r="15" spans="1:36">
      <c r="C15">
        <v>2</v>
      </c>
      <c r="D15" s="94">
        <v>19584909024.107529</v>
      </c>
      <c r="E15">
        <v>1903050814.2066727</v>
      </c>
      <c r="F15" s="326">
        <v>10.291322164338483</v>
      </c>
      <c r="I15" s="310">
        <v>50</v>
      </c>
      <c r="J15" s="87">
        <f t="shared" si="2"/>
        <v>0.20582644328676966</v>
      </c>
      <c r="O15">
        <v>46.25</v>
      </c>
      <c r="P15" s="177">
        <f t="shared" si="13"/>
        <v>0.22251507382353478</v>
      </c>
      <c r="Q15" s="2">
        <f t="shared" si="5"/>
        <v>13.350904429412086</v>
      </c>
      <c r="R15">
        <v>8</v>
      </c>
      <c r="S15" s="87">
        <f t="shared" si="6"/>
        <v>0.13333333333333333</v>
      </c>
      <c r="T15" s="136">
        <v>3</v>
      </c>
      <c r="U15" s="65">
        <f t="shared" si="7"/>
        <v>0.05</v>
      </c>
      <c r="V15" s="177">
        <f t="shared" si="8"/>
        <v>0.18333333333333335</v>
      </c>
      <c r="X15">
        <v>0.96</v>
      </c>
      <c r="Y15" s="322">
        <v>0.15</v>
      </c>
      <c r="AB15" s="323">
        <v>14.6</v>
      </c>
      <c r="AC15" s="177">
        <f t="shared" si="14"/>
        <v>0.70488507974921122</v>
      </c>
      <c r="AD15" s="2">
        <f t="shared" si="15"/>
        <v>42.293104784952675</v>
      </c>
      <c r="AH15">
        <v>6</v>
      </c>
      <c r="AI15" s="177">
        <f t="shared" si="11"/>
        <v>1.7152203607230805</v>
      </c>
      <c r="AJ15" s="2">
        <f t="shared" si="12"/>
        <v>102.91322164338483</v>
      </c>
    </row>
    <row r="16" spans="1:36">
      <c r="C16">
        <v>3</v>
      </c>
      <c r="D16" s="94">
        <v>52406018249.346375</v>
      </c>
      <c r="E16">
        <v>2211980787.3040905</v>
      </c>
      <c r="F16" s="326">
        <v>23.691895766064761</v>
      </c>
      <c r="I16" s="310">
        <v>80</v>
      </c>
      <c r="J16" s="87">
        <f t="shared" si="2"/>
        <v>0.29614869707580949</v>
      </c>
      <c r="O16">
        <v>60</v>
      </c>
      <c r="P16" s="177">
        <f t="shared" si="13"/>
        <v>0.3948649294344127</v>
      </c>
      <c r="Q16" s="2">
        <f t="shared" si="5"/>
        <v>23.691895766064761</v>
      </c>
      <c r="R16">
        <v>11</v>
      </c>
      <c r="S16" s="87">
        <f t="shared" si="6"/>
        <v>0.18333333333333332</v>
      </c>
      <c r="T16">
        <v>6</v>
      </c>
      <c r="U16" s="65">
        <f t="shared" si="7"/>
        <v>0.1</v>
      </c>
      <c r="V16" s="177">
        <f t="shared" si="8"/>
        <v>0.28333333333333333</v>
      </c>
      <c r="X16">
        <v>0.96</v>
      </c>
      <c r="Y16" s="322">
        <v>0.2</v>
      </c>
      <c r="AB16" s="323">
        <v>15.8</v>
      </c>
      <c r="AC16" s="177">
        <f t="shared" si="14"/>
        <v>1.4994870738015671</v>
      </c>
      <c r="AD16" s="2">
        <f t="shared" si="15"/>
        <v>89.969224428094023</v>
      </c>
      <c r="AH16">
        <v>5</v>
      </c>
      <c r="AI16" s="177">
        <f t="shared" si="11"/>
        <v>4.7383791532129518</v>
      </c>
      <c r="AJ16" s="2">
        <f t="shared" si="12"/>
        <v>284.30274919277713</v>
      </c>
    </row>
    <row r="17" spans="1:36">
      <c r="C17">
        <v>4</v>
      </c>
      <c r="D17" s="94">
        <v>112540732381.09088</v>
      </c>
      <c r="E17">
        <v>1400467762.4369254</v>
      </c>
      <c r="F17" s="326">
        <v>80.359388055645809</v>
      </c>
      <c r="I17" s="319">
        <v>95</v>
      </c>
      <c r="J17" s="87">
        <f t="shared" si="2"/>
        <v>0.84588829532258747</v>
      </c>
      <c r="O17">
        <v>77.5</v>
      </c>
      <c r="P17" s="177">
        <f t="shared" si="13"/>
        <v>1.0368953297502685</v>
      </c>
      <c r="Q17" s="2">
        <f t="shared" si="5"/>
        <v>62.21371978501611</v>
      </c>
      <c r="R17" s="10">
        <v>15</v>
      </c>
      <c r="S17" s="87">
        <f t="shared" si="6"/>
        <v>0.25</v>
      </c>
      <c r="T17" s="10">
        <v>10</v>
      </c>
      <c r="U17" s="65">
        <f t="shared" si="7"/>
        <v>0.16666666666666666</v>
      </c>
      <c r="V17" s="177">
        <f t="shared" si="8"/>
        <v>0.41666666666666663</v>
      </c>
      <c r="X17">
        <v>0.96</v>
      </c>
      <c r="Y17" s="324">
        <v>0.2</v>
      </c>
      <c r="AB17" s="325">
        <v>15.8</v>
      </c>
      <c r="AC17" s="177">
        <f t="shared" si="14"/>
        <v>5.08603721871176</v>
      </c>
      <c r="AD17" s="2">
        <f t="shared" si="15"/>
        <v>305.16223312270557</v>
      </c>
      <c r="AH17">
        <v>4</v>
      </c>
      <c r="AI17" s="177">
        <f t="shared" si="11"/>
        <v>20.089847013911452</v>
      </c>
      <c r="AJ17" s="2">
        <f t="shared" si="12"/>
        <v>1205.390820834687</v>
      </c>
    </row>
    <row r="18" spans="1:36">
      <c r="A18" t="s">
        <v>866</v>
      </c>
      <c r="C18">
        <v>1</v>
      </c>
      <c r="D18" s="94">
        <v>26343143323.576485</v>
      </c>
      <c r="E18" cm="1">
        <f t="array" ref="E18:E21">E14:E17</f>
        <v>10355972837.187511</v>
      </c>
      <c r="F18" s="326" cm="1">
        <f t="array" ref="F18:F21">F14:F17</f>
        <v>2.5437632695385468</v>
      </c>
      <c r="I18" s="310">
        <v>30</v>
      </c>
      <c r="J18" s="87">
        <f t="shared" si="2"/>
        <v>8.4792108984618225E-2</v>
      </c>
      <c r="O18" s="330">
        <v>23.125</v>
      </c>
      <c r="P18" s="177">
        <f t="shared" si="13"/>
        <v>0.1100005738178831</v>
      </c>
      <c r="Q18" s="2">
        <f t="shared" si="5"/>
        <v>6.600034429072986</v>
      </c>
      <c r="R18" s="136">
        <v>8</v>
      </c>
      <c r="S18" s="87">
        <f t="shared" si="6"/>
        <v>0.13333333333333333</v>
      </c>
      <c r="T18" s="136">
        <v>3</v>
      </c>
      <c r="U18" s="65">
        <f t="shared" si="7"/>
        <v>0.05</v>
      </c>
      <c r="V18" s="177">
        <f t="shared" si="8"/>
        <v>0.18333333333333335</v>
      </c>
      <c r="X18">
        <v>0.96</v>
      </c>
      <c r="Y18" s="322">
        <v>0.15</v>
      </c>
      <c r="AB18" s="323">
        <v>14.6</v>
      </c>
      <c r="AC18" s="177">
        <f t="shared" si="14"/>
        <v>0.17423036092729774</v>
      </c>
      <c r="AD18" s="2">
        <f t="shared" si="15"/>
        <v>10.453821655637864</v>
      </c>
      <c r="AH18" cm="1">
        <f t="array" ref="AH18:AH21">AH14:AH17</f>
        <v>6</v>
      </c>
      <c r="AI18" s="177">
        <f t="shared" si="11"/>
        <v>0.42396054492309115</v>
      </c>
      <c r="AJ18" s="2">
        <f t="shared" si="12"/>
        <v>25.437632695385471</v>
      </c>
    </row>
    <row r="19" spans="1:36">
      <c r="C19">
        <v>2</v>
      </c>
      <c r="D19" s="94">
        <v>19584909024.107529</v>
      </c>
      <c r="E19">
        <v>1903050814.2066727</v>
      </c>
      <c r="F19" s="326">
        <v>10.291322164338483</v>
      </c>
      <c r="I19" s="310">
        <v>50</v>
      </c>
      <c r="J19" s="87">
        <f t="shared" si="2"/>
        <v>0.20582644328676966</v>
      </c>
      <c r="O19">
        <v>46.25</v>
      </c>
      <c r="P19" s="177">
        <f t="shared" si="13"/>
        <v>0.22251507382353478</v>
      </c>
      <c r="Q19" s="2">
        <f t="shared" si="5"/>
        <v>13.350904429412086</v>
      </c>
      <c r="R19" s="136">
        <v>10</v>
      </c>
      <c r="S19" s="87">
        <f t="shared" si="6"/>
        <v>0.16666666666666666</v>
      </c>
      <c r="T19" s="136">
        <v>4</v>
      </c>
      <c r="U19" s="65">
        <f t="shared" si="7"/>
        <v>6.6666666666666666E-2</v>
      </c>
      <c r="V19" s="177">
        <f t="shared" si="8"/>
        <v>0.23333333333333334</v>
      </c>
      <c r="X19">
        <v>0.96</v>
      </c>
      <c r="Y19" s="322">
        <v>0.15</v>
      </c>
      <c r="AB19" s="323">
        <v>14.6</v>
      </c>
      <c r="AC19" s="177">
        <f t="shared" si="14"/>
        <v>0.70488507974921122</v>
      </c>
      <c r="AD19" s="2">
        <f t="shared" si="15"/>
        <v>42.293104784952675</v>
      </c>
      <c r="AH19">
        <v>6</v>
      </c>
      <c r="AI19" s="177">
        <f t="shared" si="11"/>
        <v>1.7152203607230805</v>
      </c>
      <c r="AJ19" s="2">
        <f t="shared" si="12"/>
        <v>102.91322164338483</v>
      </c>
    </row>
    <row r="20" spans="1:36">
      <c r="C20">
        <v>3</v>
      </c>
      <c r="D20" s="94">
        <v>52406018249.346375</v>
      </c>
      <c r="E20">
        <v>2211980787.3040905</v>
      </c>
      <c r="F20" s="326">
        <v>23.691895766064761</v>
      </c>
      <c r="I20" s="310">
        <v>80</v>
      </c>
      <c r="J20" s="87">
        <f t="shared" si="2"/>
        <v>0.29614869707580949</v>
      </c>
      <c r="O20">
        <v>60</v>
      </c>
      <c r="P20" s="177">
        <f t="shared" si="13"/>
        <v>0.3948649294344127</v>
      </c>
      <c r="Q20" s="2">
        <f t="shared" si="5"/>
        <v>23.691895766064761</v>
      </c>
      <c r="R20" s="136">
        <v>13</v>
      </c>
      <c r="S20" s="87">
        <f t="shared" si="6"/>
        <v>0.21666666666666667</v>
      </c>
      <c r="T20" s="136">
        <v>7</v>
      </c>
      <c r="U20" s="65">
        <f t="shared" si="7"/>
        <v>0.11666666666666667</v>
      </c>
      <c r="V20" s="177">
        <f t="shared" si="8"/>
        <v>0.33333333333333337</v>
      </c>
      <c r="X20">
        <v>0.96</v>
      </c>
      <c r="Y20" s="322">
        <v>0.2</v>
      </c>
      <c r="AB20" s="323">
        <v>15.8</v>
      </c>
      <c r="AC20" s="177">
        <f t="shared" si="14"/>
        <v>1.4994870738015671</v>
      </c>
      <c r="AD20" s="2">
        <f t="shared" si="15"/>
        <v>89.969224428094023</v>
      </c>
      <c r="AH20">
        <v>5</v>
      </c>
      <c r="AI20" s="177">
        <f t="shared" si="11"/>
        <v>4.7383791532129518</v>
      </c>
      <c r="AJ20" s="2">
        <f t="shared" si="12"/>
        <v>284.30274919277713</v>
      </c>
    </row>
    <row r="21" spans="1:36">
      <c r="C21">
        <v>4</v>
      </c>
      <c r="D21" s="94">
        <v>112540732381.09088</v>
      </c>
      <c r="E21">
        <v>1400467762.4369254</v>
      </c>
      <c r="F21" s="326">
        <v>80.359388055645809</v>
      </c>
      <c r="I21" s="319">
        <v>95</v>
      </c>
      <c r="J21" s="87">
        <f t="shared" si="2"/>
        <v>0.84588829532258747</v>
      </c>
      <c r="O21">
        <v>77.5</v>
      </c>
      <c r="P21" s="177">
        <f t="shared" si="13"/>
        <v>1.0368953297502685</v>
      </c>
      <c r="Q21" s="2">
        <f t="shared" si="5"/>
        <v>62.21371978501611</v>
      </c>
      <c r="R21" s="333">
        <v>20</v>
      </c>
      <c r="S21" s="87">
        <f t="shared" si="6"/>
        <v>0.33333333333333331</v>
      </c>
      <c r="T21" s="333">
        <v>11</v>
      </c>
      <c r="U21" s="65">
        <f t="shared" si="7"/>
        <v>0.18333333333333332</v>
      </c>
      <c r="V21" s="177">
        <f t="shared" si="8"/>
        <v>0.51666666666666661</v>
      </c>
      <c r="X21">
        <v>0.96</v>
      </c>
      <c r="Y21" s="324">
        <v>0.2</v>
      </c>
      <c r="AB21" s="325">
        <v>15.8</v>
      </c>
      <c r="AC21" s="177">
        <f t="shared" si="14"/>
        <v>5.08603721871176</v>
      </c>
      <c r="AD21" s="2">
        <f t="shared" si="15"/>
        <v>305.16223312270557</v>
      </c>
      <c r="AH21">
        <v>4</v>
      </c>
      <c r="AI21" s="177">
        <f t="shared" si="11"/>
        <v>20.089847013911452</v>
      </c>
      <c r="AJ21" s="2">
        <f t="shared" si="12"/>
        <v>1205.390820834687</v>
      </c>
    </row>
    <row r="22" spans="1:36">
      <c r="A22" t="s">
        <v>867</v>
      </c>
      <c r="C22">
        <v>1</v>
      </c>
      <c r="D22" s="94">
        <v>26343143323.576485</v>
      </c>
      <c r="E22" cm="1">
        <f t="array" ref="E22:E25">E18:E21</f>
        <v>10355972837.187511</v>
      </c>
      <c r="F22" s="326" cm="1">
        <f t="array" ref="F22:F25">F18:F21</f>
        <v>2.5437632695385468</v>
      </c>
      <c r="I22" s="310">
        <v>30</v>
      </c>
      <c r="J22" s="87">
        <f t="shared" si="2"/>
        <v>8.4792108984618225E-2</v>
      </c>
      <c r="O22" s="332">
        <v>25</v>
      </c>
      <c r="P22" s="177">
        <f t="shared" si="13"/>
        <v>0.10175053078154188</v>
      </c>
      <c r="Q22" s="2">
        <f t="shared" si="5"/>
        <v>6.1050318468925129</v>
      </c>
      <c r="R22" s="136">
        <v>10</v>
      </c>
      <c r="S22" s="87">
        <f t="shared" si="6"/>
        <v>0.16666666666666666</v>
      </c>
      <c r="T22" s="136">
        <v>4</v>
      </c>
      <c r="U22" s="65">
        <f t="shared" si="7"/>
        <v>6.6666666666666666E-2</v>
      </c>
      <c r="V22" s="177">
        <f t="shared" si="8"/>
        <v>0.23333333333333334</v>
      </c>
      <c r="X22">
        <v>0.96</v>
      </c>
      <c r="Y22" s="322">
        <v>0.15</v>
      </c>
      <c r="AB22" s="323">
        <v>14.6</v>
      </c>
      <c r="AC22" s="177">
        <f t="shared" si="14"/>
        <v>0.17423036092729774</v>
      </c>
      <c r="AD22" s="2">
        <f t="shared" si="15"/>
        <v>10.453821655637864</v>
      </c>
      <c r="AH22" cm="1">
        <f t="array" ref="AH22:AH25">AH18:AH21</f>
        <v>6</v>
      </c>
      <c r="AI22" s="177">
        <f t="shared" si="11"/>
        <v>0.42396054492309115</v>
      </c>
      <c r="AJ22" s="2">
        <f t="shared" si="12"/>
        <v>25.437632695385471</v>
      </c>
    </row>
    <row r="23" spans="1:36">
      <c r="C23">
        <v>2</v>
      </c>
      <c r="D23" s="94">
        <v>19584909024.107529</v>
      </c>
      <c r="E23">
        <v>1903050814.2066727</v>
      </c>
      <c r="F23" s="326">
        <v>10.291322164338483</v>
      </c>
      <c r="I23" s="310">
        <v>50</v>
      </c>
      <c r="J23" s="87">
        <f t="shared" si="2"/>
        <v>0.20582644328676966</v>
      </c>
      <c r="O23">
        <v>46.25</v>
      </c>
      <c r="P23" s="177">
        <f t="shared" si="13"/>
        <v>0.22251507382353478</v>
      </c>
      <c r="Q23" s="2">
        <f t="shared" si="5"/>
        <v>13.350904429412086</v>
      </c>
      <c r="R23" s="136">
        <v>12</v>
      </c>
      <c r="S23" s="87">
        <f t="shared" si="6"/>
        <v>0.2</v>
      </c>
      <c r="T23" s="136">
        <v>5</v>
      </c>
      <c r="U23" s="65">
        <f t="shared" si="7"/>
        <v>8.3333333333333329E-2</v>
      </c>
      <c r="V23" s="177">
        <f t="shared" si="8"/>
        <v>0.28333333333333333</v>
      </c>
      <c r="X23">
        <v>0.96</v>
      </c>
      <c r="Y23" s="322">
        <v>0.15</v>
      </c>
      <c r="AB23" s="323">
        <v>14.6</v>
      </c>
      <c r="AC23" s="177">
        <f t="shared" si="14"/>
        <v>0.70488507974921122</v>
      </c>
      <c r="AD23" s="2">
        <f t="shared" si="15"/>
        <v>42.293104784952675</v>
      </c>
      <c r="AH23">
        <v>6</v>
      </c>
      <c r="AI23" s="177">
        <f t="shared" si="11"/>
        <v>1.7152203607230805</v>
      </c>
      <c r="AJ23" s="2">
        <f t="shared" si="12"/>
        <v>102.91322164338483</v>
      </c>
    </row>
    <row r="24" spans="1:36">
      <c r="C24">
        <v>3</v>
      </c>
      <c r="D24" s="94">
        <v>52406018249.346375</v>
      </c>
      <c r="E24">
        <v>2211980787.3040905</v>
      </c>
      <c r="F24" s="326">
        <v>23.691895766064761</v>
      </c>
      <c r="I24" s="310">
        <v>80</v>
      </c>
      <c r="J24" s="87">
        <f t="shared" si="2"/>
        <v>0.29614869707580949</v>
      </c>
      <c r="O24">
        <v>60</v>
      </c>
      <c r="P24" s="177">
        <f t="shared" si="13"/>
        <v>0.3948649294344127</v>
      </c>
      <c r="Q24" s="2">
        <f t="shared" si="5"/>
        <v>23.691895766064761</v>
      </c>
      <c r="R24" s="136">
        <v>17</v>
      </c>
      <c r="S24" s="87">
        <f t="shared" si="6"/>
        <v>0.28333333333333333</v>
      </c>
      <c r="T24" s="136">
        <v>8</v>
      </c>
      <c r="U24" s="65">
        <f t="shared" si="7"/>
        <v>0.13333333333333333</v>
      </c>
      <c r="V24" s="177">
        <f t="shared" si="8"/>
        <v>0.41666666666666663</v>
      </c>
      <c r="X24">
        <v>0.96</v>
      </c>
      <c r="Y24" s="322">
        <v>0.2</v>
      </c>
      <c r="AB24" s="323">
        <v>15.8</v>
      </c>
      <c r="AC24" s="177">
        <f t="shared" si="14"/>
        <v>1.4994870738015671</v>
      </c>
      <c r="AD24" s="2">
        <f t="shared" si="15"/>
        <v>89.969224428094023</v>
      </c>
      <c r="AH24">
        <v>5</v>
      </c>
      <c r="AI24" s="177">
        <f t="shared" si="11"/>
        <v>4.7383791532129518</v>
      </c>
      <c r="AJ24" s="2">
        <f t="shared" si="12"/>
        <v>284.30274919277713</v>
      </c>
    </row>
    <row r="25" spans="1:36">
      <c r="C25">
        <v>4</v>
      </c>
      <c r="D25" s="94">
        <v>112540732381.09088</v>
      </c>
      <c r="E25">
        <v>1400467762.4369254</v>
      </c>
      <c r="F25" s="326">
        <v>80.359388055645809</v>
      </c>
      <c r="I25" s="319">
        <v>95</v>
      </c>
      <c r="J25" s="87">
        <f t="shared" si="2"/>
        <v>0.84588829532258747</v>
      </c>
      <c r="O25">
        <v>77.5</v>
      </c>
      <c r="P25" s="177">
        <f t="shared" si="13"/>
        <v>1.0368953297502685</v>
      </c>
      <c r="Q25" s="2">
        <f t="shared" si="5"/>
        <v>62.21371978501611</v>
      </c>
      <c r="R25" s="333">
        <v>25</v>
      </c>
      <c r="S25" s="87">
        <f t="shared" si="6"/>
        <v>0.41666666666666669</v>
      </c>
      <c r="T25" s="333">
        <v>12</v>
      </c>
      <c r="U25" s="65">
        <f t="shared" si="7"/>
        <v>0.2</v>
      </c>
      <c r="V25" s="177">
        <f t="shared" si="8"/>
        <v>0.6166666666666667</v>
      </c>
      <c r="X25">
        <v>0.96</v>
      </c>
      <c r="Y25" s="324">
        <v>0.2</v>
      </c>
      <c r="AB25" s="325">
        <v>15.8</v>
      </c>
      <c r="AC25" s="177">
        <f t="shared" si="14"/>
        <v>5.08603721871176</v>
      </c>
      <c r="AD25" s="2">
        <f t="shared" si="15"/>
        <v>305.16223312270557</v>
      </c>
      <c r="AH25">
        <v>4</v>
      </c>
      <c r="AI25" s="177">
        <f t="shared" si="11"/>
        <v>20.089847013911452</v>
      </c>
      <c r="AJ25" s="2">
        <f t="shared" si="12"/>
        <v>1205.390820834687</v>
      </c>
    </row>
    <row r="26" spans="1:36">
      <c r="R26" s="338" t="s">
        <v>894</v>
      </c>
      <c r="T26" s="338" t="s">
        <v>894</v>
      </c>
      <c r="V26" s="177"/>
    </row>
    <row r="27" spans="1:36">
      <c r="I27" t="s">
        <v>895</v>
      </c>
    </row>
    <row r="28" spans="1:36">
      <c r="I28" t="s">
        <v>896</v>
      </c>
    </row>
    <row r="34" spans="1:15">
      <c r="O34" t="s">
        <v>893</v>
      </c>
    </row>
    <row r="35" spans="1:15">
      <c r="O35" t="s">
        <v>892</v>
      </c>
    </row>
    <row r="45" spans="1:15">
      <c r="A45" s="3"/>
      <c r="B45" s="3"/>
      <c r="C45" s="3"/>
      <c r="D45" s="3"/>
      <c r="E45" s="3"/>
      <c r="F45" s="3" t="s">
        <v>862</v>
      </c>
      <c r="G45" s="3"/>
      <c r="H45" s="3"/>
      <c r="I45" s="3"/>
      <c r="J45" s="3"/>
      <c r="K45" s="3" t="s">
        <v>57</v>
      </c>
      <c r="L45" s="3" t="s">
        <v>425</v>
      </c>
    </row>
    <row r="46" spans="1:15">
      <c r="A46" s="103"/>
      <c r="B46" s="104"/>
      <c r="C46" s="104"/>
      <c r="D46" s="104"/>
      <c r="E46" s="105"/>
      <c r="F46" s="11">
        <v>1</v>
      </c>
      <c r="G46" s="11">
        <v>2</v>
      </c>
      <c r="H46" s="11">
        <v>3</v>
      </c>
      <c r="I46" s="11">
        <v>4</v>
      </c>
      <c r="J46" s="11">
        <v>5</v>
      </c>
      <c r="K46" s="3"/>
    </row>
    <row r="47" spans="1:15">
      <c r="A47" s="106"/>
      <c r="B47" s="164"/>
      <c r="C47" s="164"/>
      <c r="D47" s="164"/>
      <c r="E47" s="164"/>
      <c r="F47" s="164"/>
      <c r="G47" s="164"/>
      <c r="H47" s="164"/>
      <c r="I47" s="164"/>
      <c r="J47" s="164"/>
      <c r="K47" s="3" t="s">
        <v>60</v>
      </c>
      <c r="L47" t="s">
        <v>418</v>
      </c>
    </row>
    <row r="48" spans="1:15">
      <c r="A48" s="106"/>
      <c r="B48" s="164"/>
      <c r="C48" s="164"/>
      <c r="D48" s="164"/>
      <c r="E48" s="164"/>
      <c r="F48" s="164"/>
      <c r="G48" s="164"/>
      <c r="H48" s="164"/>
      <c r="I48" s="164"/>
      <c r="J48" s="164"/>
      <c r="K48" s="3" t="s">
        <v>60</v>
      </c>
      <c r="L48" t="s">
        <v>418</v>
      </c>
    </row>
    <row r="49" spans="1:22">
      <c r="A49" s="106"/>
      <c r="B49" s="165"/>
      <c r="C49" s="165"/>
      <c r="D49" s="165"/>
      <c r="E49" s="166"/>
      <c r="F49" s="165"/>
      <c r="G49" s="165"/>
      <c r="H49" s="165"/>
      <c r="I49" s="165"/>
      <c r="J49" s="165"/>
      <c r="K49" s="3" t="s">
        <v>60</v>
      </c>
      <c r="L49" t="s">
        <v>418</v>
      </c>
      <c r="S49" t="s">
        <v>434</v>
      </c>
    </row>
    <row r="50" spans="1:22">
      <c r="A50" s="106"/>
      <c r="B50" s="107"/>
      <c r="C50" s="107"/>
      <c r="D50" s="107"/>
      <c r="E50" s="108"/>
      <c r="F50" s="107"/>
      <c r="G50" s="107"/>
      <c r="H50" s="107"/>
      <c r="I50" s="107"/>
      <c r="J50" s="107"/>
      <c r="K50" s="3"/>
      <c r="S50" s="10"/>
      <c r="T50" s="10" t="s">
        <v>435</v>
      </c>
      <c r="U50" s="10" t="s">
        <v>436</v>
      </c>
      <c r="V50" s="10"/>
    </row>
    <row r="51" spans="1:22">
      <c r="A51" s="137"/>
      <c r="B51" s="107"/>
      <c r="C51" s="107"/>
      <c r="D51" s="107"/>
      <c r="E51" s="108"/>
      <c r="F51" s="107"/>
      <c r="G51" s="107"/>
      <c r="H51" s="107"/>
      <c r="I51" s="107"/>
      <c r="J51" s="107"/>
      <c r="K51" s="3"/>
      <c r="S51" t="s">
        <v>437</v>
      </c>
      <c r="T51">
        <f>(15+20)/2</f>
        <v>17.5</v>
      </c>
      <c r="U51">
        <f>(25+40)/2</f>
        <v>32.5</v>
      </c>
      <c r="V51" t="s">
        <v>443</v>
      </c>
    </row>
    <row r="52" spans="1:22">
      <c r="A52" s="106"/>
      <c r="B52" s="235"/>
      <c r="C52" s="235"/>
      <c r="D52" s="235"/>
      <c r="E52" s="236"/>
      <c r="F52" s="235"/>
      <c r="G52" s="235"/>
      <c r="H52" s="235"/>
      <c r="I52" s="235"/>
      <c r="J52" s="235"/>
      <c r="K52" s="3" t="s">
        <v>429</v>
      </c>
      <c r="L52" s="136" t="s">
        <v>430</v>
      </c>
      <c r="S52" t="s">
        <v>438</v>
      </c>
      <c r="T52">
        <f t="shared" ref="T52" si="17">(15+20)/2</f>
        <v>17.5</v>
      </c>
      <c r="V52" t="s">
        <v>443</v>
      </c>
    </row>
    <row r="53" spans="1:22">
      <c r="A53" s="106"/>
      <c r="B53" s="142"/>
      <c r="C53" s="142"/>
      <c r="D53" s="142"/>
      <c r="E53" s="142"/>
      <c r="F53" s="142"/>
      <c r="G53" s="142"/>
      <c r="H53" s="142"/>
      <c r="I53" s="142"/>
      <c r="J53" s="142"/>
      <c r="K53" s="3" t="s">
        <v>62</v>
      </c>
      <c r="S53" t="s">
        <v>439</v>
      </c>
      <c r="T53">
        <f>(20+30)/2</f>
        <v>25</v>
      </c>
      <c r="V53" t="s">
        <v>443</v>
      </c>
    </row>
    <row r="54" spans="1:22">
      <c r="A54" s="106"/>
      <c r="B54" s="142"/>
      <c r="C54" s="142"/>
      <c r="D54" s="142"/>
      <c r="E54" s="142"/>
      <c r="F54" s="142"/>
      <c r="G54" s="142"/>
      <c r="H54" s="142"/>
      <c r="I54" s="142"/>
      <c r="J54" s="142"/>
      <c r="K54" s="3" t="s">
        <v>62</v>
      </c>
      <c r="S54" t="s">
        <v>66</v>
      </c>
      <c r="T54">
        <f>(30+35)/2</f>
        <v>32.5</v>
      </c>
      <c r="V54" t="s">
        <v>443</v>
      </c>
    </row>
    <row r="55" spans="1:22">
      <c r="A55" s="106"/>
      <c r="B55" s="171"/>
      <c r="C55" s="171"/>
      <c r="D55" s="171"/>
      <c r="E55" s="171"/>
      <c r="F55" s="171"/>
      <c r="G55" s="171"/>
      <c r="H55" s="171"/>
      <c r="I55" s="171"/>
      <c r="J55" s="171"/>
      <c r="K55" s="3" t="s">
        <v>416</v>
      </c>
    </row>
    <row r="56" spans="1:22">
      <c r="A56" s="138"/>
      <c r="B56" s="109"/>
      <c r="C56" s="109"/>
      <c r="D56" s="109"/>
      <c r="E56" s="110"/>
      <c r="F56" s="109"/>
      <c r="G56" s="109"/>
      <c r="H56" s="109"/>
      <c r="I56" s="109"/>
      <c r="J56" s="109"/>
      <c r="K56" s="3"/>
      <c r="S56" t="s">
        <v>440</v>
      </c>
      <c r="U56">
        <f>(40+60)/2</f>
        <v>50</v>
      </c>
      <c r="V56" t="s">
        <v>443</v>
      </c>
    </row>
    <row r="57" spans="1:22">
      <c r="A57" s="106"/>
      <c r="B57" s="171"/>
      <c r="C57" s="171"/>
      <c r="D57" s="171"/>
      <c r="E57" s="171"/>
      <c r="F57" s="171"/>
      <c r="G57" s="171"/>
      <c r="H57" s="171"/>
      <c r="I57" s="171"/>
      <c r="J57" s="171"/>
      <c r="K57" s="3" t="s">
        <v>63</v>
      </c>
      <c r="L57" t="s">
        <v>433</v>
      </c>
      <c r="S57" t="s">
        <v>441</v>
      </c>
      <c r="U57">
        <f>(50+70)/2</f>
        <v>60</v>
      </c>
      <c r="V57" t="s">
        <v>443</v>
      </c>
    </row>
    <row r="58" spans="1:22">
      <c r="A58" s="111"/>
      <c r="B58" s="256"/>
      <c r="C58" s="256"/>
      <c r="D58" s="256"/>
      <c r="E58" s="257"/>
      <c r="F58" s="256"/>
      <c r="G58" s="256"/>
      <c r="H58" s="256"/>
      <c r="I58" s="256"/>
      <c r="J58" s="256"/>
      <c r="K58" s="36" t="s">
        <v>62</v>
      </c>
      <c r="L58" s="35" t="s">
        <v>728</v>
      </c>
      <c r="P58" s="35"/>
      <c r="S58" t="s">
        <v>442</v>
      </c>
      <c r="U58">
        <v>75</v>
      </c>
      <c r="V58" t="s">
        <v>443</v>
      </c>
    </row>
    <row r="59" spans="1:22">
      <c r="A59" s="106"/>
      <c r="B59" s="167"/>
      <c r="C59" s="167"/>
      <c r="D59" s="167"/>
      <c r="E59" s="168"/>
      <c r="F59" s="167"/>
      <c r="G59" s="167"/>
      <c r="H59" s="167"/>
      <c r="I59" s="167"/>
      <c r="J59" s="167"/>
      <c r="K59" s="3"/>
      <c r="S59" t="s">
        <v>68</v>
      </c>
      <c r="T59" t="s">
        <v>444</v>
      </c>
      <c r="U59">
        <v>80</v>
      </c>
      <c r="V59" t="s">
        <v>443</v>
      </c>
    </row>
    <row r="60" spans="1:22">
      <c r="A60" s="10"/>
      <c r="B60" s="10"/>
      <c r="C60" s="10"/>
      <c r="D60" s="10"/>
      <c r="E60" s="10"/>
      <c r="K60" t="s">
        <v>285</v>
      </c>
    </row>
    <row r="61" spans="1:22">
      <c r="A61" s="175"/>
      <c r="B61" s="237"/>
      <c r="C61" s="237"/>
      <c r="D61" s="237"/>
      <c r="E61" s="237"/>
      <c r="F61" s="237"/>
      <c r="G61" s="237"/>
      <c r="H61" s="237"/>
      <c r="I61" s="237"/>
      <c r="J61" s="237"/>
      <c r="K61" s="5" t="s">
        <v>423</v>
      </c>
      <c r="L61" t="s">
        <v>422</v>
      </c>
    </row>
    <row r="62" spans="1:22">
      <c r="B62" s="171"/>
      <c r="C62" s="171"/>
      <c r="D62" s="171"/>
      <c r="E62" s="171"/>
      <c r="F62" s="171"/>
      <c r="G62" s="171"/>
      <c r="H62" s="171"/>
      <c r="I62" s="171"/>
      <c r="J62" s="171"/>
      <c r="K62" s="3" t="s">
        <v>424</v>
      </c>
    </row>
    <row r="63" spans="1:22" ht="16">
      <c r="B63" s="169"/>
      <c r="C63" s="169"/>
      <c r="D63" s="169"/>
      <c r="E63" s="170"/>
      <c r="F63" s="169"/>
      <c r="G63" s="169"/>
      <c r="H63" s="169"/>
      <c r="I63" s="169"/>
      <c r="J63" s="169"/>
      <c r="K63" s="173" t="s">
        <v>427</v>
      </c>
      <c r="L63" t="s">
        <v>426</v>
      </c>
    </row>
    <row r="64" spans="1:22" ht="32">
      <c r="A64" s="138"/>
      <c r="B64" s="163"/>
      <c r="C64" s="163"/>
      <c r="D64" s="163"/>
      <c r="E64" s="163"/>
      <c r="F64" s="187" t="s">
        <v>497</v>
      </c>
      <c r="G64" s="109"/>
      <c r="H64" s="109"/>
      <c r="I64" s="109"/>
      <c r="J64" s="109"/>
      <c r="K64" s="173" t="s">
        <v>291</v>
      </c>
    </row>
    <row r="65" spans="1:16">
      <c r="A65" s="139"/>
      <c r="B65" s="167"/>
      <c r="C65" s="167"/>
      <c r="D65" s="167"/>
      <c r="E65" s="168"/>
      <c r="F65" s="167"/>
      <c r="G65" s="167"/>
      <c r="H65" s="167"/>
      <c r="I65" s="167"/>
      <c r="J65" s="167"/>
      <c r="K65" s="3"/>
    </row>
    <row r="66" spans="1:16">
      <c r="A66" s="106"/>
      <c r="B66" s="109"/>
      <c r="C66" s="109"/>
      <c r="D66" s="109"/>
      <c r="E66" s="110"/>
      <c r="F66" s="109"/>
      <c r="G66" s="109"/>
      <c r="H66" s="109"/>
      <c r="I66" s="109"/>
      <c r="J66" s="109"/>
    </row>
    <row r="67" spans="1:16">
      <c r="A67" s="137"/>
      <c r="B67" s="109"/>
      <c r="C67" s="109"/>
      <c r="D67" s="109"/>
      <c r="E67" s="110"/>
      <c r="F67" s="109"/>
      <c r="G67" s="109"/>
      <c r="H67" s="109"/>
      <c r="I67" s="109"/>
      <c r="J67" s="109"/>
    </row>
    <row r="68" spans="1:16" ht="33" customHeight="1">
      <c r="A68" s="106"/>
      <c r="B68" s="165"/>
      <c r="C68" s="165"/>
      <c r="D68" s="165"/>
      <c r="E68" s="165"/>
      <c r="F68" s="165"/>
      <c r="G68" s="165"/>
      <c r="H68" s="165"/>
      <c r="I68" s="165"/>
      <c r="J68" s="165"/>
      <c r="K68" s="173" t="s">
        <v>421</v>
      </c>
      <c r="L68" t="s">
        <v>420</v>
      </c>
    </row>
    <row r="69" spans="1:16">
      <c r="B69" s="172"/>
      <c r="C69" s="172"/>
      <c r="D69" s="172"/>
      <c r="E69" s="172"/>
      <c r="F69" s="172"/>
      <c r="G69" s="172"/>
      <c r="H69" s="172"/>
      <c r="I69" s="172"/>
      <c r="J69" s="172"/>
    </row>
    <row r="70" spans="1:16">
      <c r="A70" s="106"/>
      <c r="B70" s="107"/>
      <c r="C70" s="107"/>
      <c r="D70" s="107"/>
      <c r="E70" s="108"/>
      <c r="F70" s="107"/>
      <c r="G70" s="107"/>
      <c r="H70" s="107"/>
      <c r="I70" s="107"/>
      <c r="J70" s="107"/>
      <c r="K70" s="3"/>
      <c r="M70" s="35"/>
      <c r="N70" s="35"/>
      <c r="O70" s="35"/>
      <c r="P70" s="35"/>
    </row>
    <row r="71" spans="1:16">
      <c r="A71" s="3"/>
      <c r="B71" s="150"/>
      <c r="C71" s="150"/>
      <c r="D71" s="150"/>
      <c r="E71" s="150"/>
      <c r="F71" s="150"/>
      <c r="G71" s="150"/>
      <c r="H71" s="150"/>
      <c r="I71" s="150"/>
      <c r="J71" s="150"/>
      <c r="K71" s="3"/>
    </row>
    <row r="72" spans="1:16">
      <c r="A72" s="64"/>
      <c r="B72" s="107"/>
      <c r="C72" s="107"/>
      <c r="D72" s="107"/>
      <c r="E72" s="107"/>
      <c r="F72" s="107"/>
      <c r="G72" s="107"/>
      <c r="H72" s="107"/>
      <c r="I72" s="107"/>
      <c r="J72" s="107"/>
      <c r="K72" s="3"/>
    </row>
    <row r="73" spans="1:16">
      <c r="K73" t="s">
        <v>296</v>
      </c>
    </row>
    <row r="74" spans="1:16">
      <c r="K74" t="s">
        <v>419</v>
      </c>
    </row>
    <row r="75" spans="1:16" ht="16" thickBot="1"/>
    <row r="76" spans="1:16">
      <c r="A76" s="298"/>
    </row>
    <row r="77" spans="1:16">
      <c r="A77" s="299"/>
    </row>
    <row r="78" spans="1:16">
      <c r="A78" s="299"/>
    </row>
    <row r="79" spans="1:16">
      <c r="A79" s="299"/>
    </row>
    <row r="80" spans="1:16">
      <c r="A80" s="299"/>
    </row>
    <row r="81" spans="1:1" ht="16" thickBot="1">
      <c r="A81" s="300"/>
    </row>
    <row r="83" spans="1:1">
      <c r="A83" t="s">
        <v>791</v>
      </c>
    </row>
    <row r="99" spans="1:12">
      <c r="A99" s="5" t="s">
        <v>403</v>
      </c>
    </row>
    <row r="100" spans="1:12">
      <c r="A100" s="10" t="s">
        <v>404</v>
      </c>
      <c r="B100" s="10" t="s">
        <v>139</v>
      </c>
      <c r="C100" s="10"/>
      <c r="D100" s="10" t="s">
        <v>405</v>
      </c>
      <c r="E100" s="10" t="s">
        <v>406</v>
      </c>
      <c r="F100" s="10"/>
      <c r="G100" s="10"/>
      <c r="H100" s="10"/>
      <c r="I100" s="10"/>
      <c r="J100" s="10"/>
      <c r="K100" s="10" t="s">
        <v>407</v>
      </c>
      <c r="L100" s="10"/>
    </row>
    <row r="101" spans="1:12">
      <c r="A101">
        <v>1</v>
      </c>
      <c r="B101" t="s">
        <v>408</v>
      </c>
      <c r="D101">
        <v>26343143323.576485</v>
      </c>
      <c r="E101">
        <v>10355972837.187511</v>
      </c>
      <c r="K101">
        <v>2.5437632695385468</v>
      </c>
    </row>
    <row r="102" spans="1:12">
      <c r="A102">
        <v>2</v>
      </c>
      <c r="B102" t="s">
        <v>409</v>
      </c>
      <c r="D102">
        <v>19584909024.107529</v>
      </c>
      <c r="E102">
        <v>1903050814.2066727</v>
      </c>
      <c r="K102">
        <v>10.291322164338483</v>
      </c>
    </row>
    <row r="103" spans="1:12">
      <c r="A103">
        <v>3</v>
      </c>
      <c r="B103" t="s">
        <v>410</v>
      </c>
      <c r="D103">
        <v>52406018249.346375</v>
      </c>
      <c r="E103">
        <v>2211980787.3040905</v>
      </c>
      <c r="K103">
        <v>23.691895766064761</v>
      </c>
    </row>
    <row r="104" spans="1:12">
      <c r="A104">
        <v>4</v>
      </c>
      <c r="B104" t="s">
        <v>411</v>
      </c>
      <c r="D104">
        <v>112540732381.09088</v>
      </c>
      <c r="E104">
        <v>1400467762.4369254</v>
      </c>
      <c r="K104">
        <v>80.359388055645809</v>
      </c>
    </row>
    <row r="113" spans="2:5">
      <c r="B113" t="s">
        <v>501</v>
      </c>
    </row>
    <row r="114" spans="2:5">
      <c r="B114" s="189" t="s">
        <v>498</v>
      </c>
      <c r="C114" s="189" t="s">
        <v>499</v>
      </c>
      <c r="D114" s="189" t="s">
        <v>500</v>
      </c>
    </row>
    <row r="115" spans="2:5">
      <c r="B115" s="190">
        <v>6059920000</v>
      </c>
      <c r="C115" s="191">
        <v>1105830</v>
      </c>
      <c r="D115" s="189">
        <v>5479.9743179999996</v>
      </c>
    </row>
    <row r="116" spans="2:5">
      <c r="D116">
        <f>B115/C115</f>
        <v>5479.9743179331363</v>
      </c>
      <c r="E116" t="s">
        <v>502</v>
      </c>
    </row>
    <row r="118" spans="2:5">
      <c r="C118" s="5" t="s">
        <v>503</v>
      </c>
      <c r="D118" t="s">
        <v>504</v>
      </c>
    </row>
    <row r="123" spans="2:5">
      <c r="B123" t="s">
        <v>505</v>
      </c>
    </row>
    <row r="124" spans="2:5">
      <c r="B124" t="s">
        <v>506</v>
      </c>
    </row>
  </sheetData>
  <phoneticPr fontId="18"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2733C-04BC-4E11-AAE5-6FC7D1BC8A28}">
  <sheetPr>
    <tabColor theme="4" tint="0.59999389629810485"/>
  </sheetPr>
  <dimension ref="A1:I30"/>
  <sheetViews>
    <sheetView zoomScale="90" zoomScaleNormal="90" workbookViewId="0">
      <selection activeCell="G5" sqref="G5"/>
    </sheetView>
  </sheetViews>
  <sheetFormatPr baseColWidth="10" defaultColWidth="8.83203125" defaultRowHeight="15"/>
  <cols>
    <col min="1" max="1" width="51.5" bestFit="1" customWidth="1"/>
    <col min="2" max="4" width="20.83203125" bestFit="1" customWidth="1"/>
    <col min="5" max="5" width="22" bestFit="1" customWidth="1"/>
  </cols>
  <sheetData>
    <row r="1" spans="1:9">
      <c r="A1" s="64" t="s">
        <v>402</v>
      </c>
      <c r="B1" s="3" t="s">
        <v>55</v>
      </c>
      <c r="C1" s="3" t="s">
        <v>56</v>
      </c>
      <c r="D1" s="124" t="s">
        <v>237</v>
      </c>
      <c r="E1" s="124" t="s">
        <v>238</v>
      </c>
      <c r="F1" s="3" t="s">
        <v>57</v>
      </c>
    </row>
    <row r="2" spans="1:9">
      <c r="A2" s="103" t="s">
        <v>58</v>
      </c>
      <c r="B2" s="104">
        <v>1</v>
      </c>
      <c r="C2" s="104">
        <v>2</v>
      </c>
      <c r="D2" s="104">
        <v>3</v>
      </c>
      <c r="E2" s="105">
        <v>4</v>
      </c>
      <c r="F2" s="3"/>
    </row>
    <row r="3" spans="1:9">
      <c r="A3" s="106" t="s">
        <v>59</v>
      </c>
      <c r="B3" s="143">
        <v>26950106815.009998</v>
      </c>
      <c r="C3" s="143">
        <v>23264900650.040001</v>
      </c>
      <c r="D3" s="143">
        <v>34458341188.559998</v>
      </c>
      <c r="E3" s="144">
        <v>125921115573.17</v>
      </c>
      <c r="F3" s="3" t="s">
        <v>60</v>
      </c>
    </row>
    <row r="4" spans="1:9">
      <c r="A4" s="106" t="s">
        <v>61</v>
      </c>
      <c r="B4" s="143">
        <v>10532562269.34</v>
      </c>
      <c r="C4" s="143">
        <v>2127808365.51</v>
      </c>
      <c r="D4" s="143">
        <v>1550743543.01</v>
      </c>
      <c r="E4" s="144">
        <v>1814899346.1099999</v>
      </c>
      <c r="F4" s="3" t="s">
        <v>60</v>
      </c>
    </row>
    <row r="5" spans="1:9">
      <c r="A5" s="106" t="s">
        <v>22</v>
      </c>
      <c r="B5" s="145">
        <v>2.6</v>
      </c>
      <c r="C5" s="145">
        <v>10.9</v>
      </c>
      <c r="D5" s="145">
        <v>22.2</v>
      </c>
      <c r="E5" s="146">
        <v>69.400000000000006</v>
      </c>
      <c r="F5" s="3" t="s">
        <v>60</v>
      </c>
    </row>
    <row r="6" spans="1:9">
      <c r="A6" s="106"/>
      <c r="B6" s="107"/>
      <c r="C6" s="107"/>
      <c r="D6" s="107"/>
      <c r="E6" s="108"/>
      <c r="F6" s="3"/>
    </row>
    <row r="7" spans="1:9">
      <c r="A7" s="137" t="s">
        <v>4</v>
      </c>
      <c r="B7" s="107"/>
      <c r="C7" s="107"/>
      <c r="D7" s="107"/>
      <c r="E7" s="108"/>
      <c r="F7" s="3"/>
    </row>
    <row r="8" spans="1:9">
      <c r="A8" s="106" t="s">
        <v>289</v>
      </c>
      <c r="B8" s="147">
        <v>30</v>
      </c>
      <c r="C8" s="147">
        <v>50</v>
      </c>
      <c r="D8" s="147">
        <v>80</v>
      </c>
      <c r="E8" s="148">
        <v>95</v>
      </c>
      <c r="F8" s="3" t="s">
        <v>62</v>
      </c>
    </row>
    <row r="9" spans="1:9">
      <c r="A9" s="106" t="s">
        <v>276</v>
      </c>
      <c r="B9" s="142">
        <v>8.5291391672885949E-2</v>
      </c>
      <c r="C9" s="142">
        <v>0.21867477379193953</v>
      </c>
      <c r="D9" s="142">
        <v>0.27775660701573524</v>
      </c>
      <c r="E9" s="142">
        <v>0.6938187279829563</v>
      </c>
      <c r="F9" s="3" t="s">
        <v>62</v>
      </c>
    </row>
    <row r="10" spans="1:9">
      <c r="A10" s="106" t="s">
        <v>275</v>
      </c>
      <c r="B10" s="142">
        <v>0.1</v>
      </c>
      <c r="C10" s="142">
        <v>0.3</v>
      </c>
      <c r="D10" s="142">
        <v>0.5</v>
      </c>
      <c r="E10" s="142">
        <v>0.9</v>
      </c>
      <c r="F10" s="3" t="s">
        <v>62</v>
      </c>
    </row>
    <row r="11" spans="1:9">
      <c r="A11" s="106" t="s">
        <v>277</v>
      </c>
      <c r="B11" s="109">
        <f>B5/B8</f>
        <v>8.666666666666667E-2</v>
      </c>
      <c r="C11" s="109">
        <f t="shared" ref="C11:D11" si="0">C5/C8</f>
        <v>0.218</v>
      </c>
      <c r="D11" s="109">
        <f t="shared" si="0"/>
        <v>0.27749999999999997</v>
      </c>
      <c r="E11" s="109">
        <f>E5/E8</f>
        <v>0.73052631578947369</v>
      </c>
      <c r="F11" s="3"/>
    </row>
    <row r="12" spans="1:9">
      <c r="A12" s="138" t="s">
        <v>6</v>
      </c>
      <c r="B12" s="109"/>
      <c r="C12" s="109"/>
      <c r="D12" s="109"/>
      <c r="E12" s="110"/>
      <c r="F12" s="3"/>
    </row>
    <row r="13" spans="1:9">
      <c r="A13" s="106" t="s">
        <v>281</v>
      </c>
      <c r="B13" s="109">
        <f>8/60</f>
        <v>0.13333333333333333</v>
      </c>
      <c r="C13" s="109">
        <f>14/60</f>
        <v>0.23333333333333334</v>
      </c>
      <c r="D13" s="109">
        <f>30/60</f>
        <v>0.5</v>
      </c>
      <c r="E13" s="110">
        <f>57/60</f>
        <v>0.95</v>
      </c>
      <c r="F13" s="3" t="s">
        <v>63</v>
      </c>
    </row>
    <row r="14" spans="1:9">
      <c r="A14" s="111" t="s">
        <v>282</v>
      </c>
      <c r="B14" s="112">
        <f>6/60</f>
        <v>0.1</v>
      </c>
      <c r="C14" s="112">
        <f>6/60</f>
        <v>0.1</v>
      </c>
      <c r="D14" s="112">
        <f>12/60</f>
        <v>0.2</v>
      </c>
      <c r="E14" s="113">
        <f>12/60</f>
        <v>0.2</v>
      </c>
      <c r="F14" s="36" t="s">
        <v>62</v>
      </c>
      <c r="G14" s="35"/>
      <c r="H14" s="35" t="s">
        <v>99</v>
      </c>
      <c r="I14" s="35"/>
    </row>
    <row r="15" spans="1:9">
      <c r="A15" s="106" t="s">
        <v>64</v>
      </c>
      <c r="B15" s="109" t="s">
        <v>65</v>
      </c>
      <c r="C15" s="109" t="s">
        <v>66</v>
      </c>
      <c r="D15" s="109" t="s">
        <v>67</v>
      </c>
      <c r="E15" s="110" t="s">
        <v>68</v>
      </c>
      <c r="F15" s="3"/>
    </row>
    <row r="16" spans="1:9">
      <c r="A16" s="10" t="s">
        <v>241</v>
      </c>
      <c r="B16" s="10">
        <v>0.3</v>
      </c>
      <c r="C16" s="10">
        <v>0.3</v>
      </c>
      <c r="D16" s="10">
        <v>0.2</v>
      </c>
      <c r="E16" s="10">
        <v>0.2</v>
      </c>
      <c r="F16" t="s">
        <v>285</v>
      </c>
    </row>
    <row r="17" spans="1:9">
      <c r="F17">
        <v>0.2</v>
      </c>
      <c r="G17" t="s">
        <v>286</v>
      </c>
    </row>
    <row r="18" spans="1:9">
      <c r="A18" s="138" t="s">
        <v>187</v>
      </c>
      <c r="B18" s="109"/>
      <c r="C18" s="109"/>
      <c r="D18" s="109"/>
      <c r="E18" s="110"/>
      <c r="F18" s="3">
        <v>0.12</v>
      </c>
      <c r="G18" t="s">
        <v>287</v>
      </c>
    </row>
    <row r="19" spans="1:9">
      <c r="A19" s="139" t="s">
        <v>240</v>
      </c>
      <c r="B19" s="109"/>
      <c r="C19" s="109"/>
      <c r="D19" s="109"/>
      <c r="E19" s="110"/>
      <c r="F19" s="3" t="s">
        <v>288</v>
      </c>
    </row>
    <row r="20" spans="1:9">
      <c r="A20" s="139" t="s">
        <v>239</v>
      </c>
      <c r="B20" s="109"/>
      <c r="C20" s="109"/>
      <c r="D20" s="109"/>
      <c r="E20" s="110"/>
      <c r="F20" s="3"/>
    </row>
    <row r="21" spans="1:9">
      <c r="A21" s="139" t="s">
        <v>242</v>
      </c>
      <c r="B21" s="109"/>
      <c r="C21" s="109"/>
      <c r="D21" s="109"/>
      <c r="E21" s="110"/>
      <c r="F21" s="3" t="s">
        <v>290</v>
      </c>
    </row>
    <row r="22" spans="1:9">
      <c r="A22" s="106"/>
      <c r="B22" s="109"/>
      <c r="C22" s="109"/>
      <c r="D22" s="109"/>
      <c r="E22" s="110"/>
      <c r="F22" s="3" t="s">
        <v>291</v>
      </c>
    </row>
    <row r="23" spans="1:9">
      <c r="A23" s="137" t="s">
        <v>5</v>
      </c>
      <c r="B23" s="109"/>
      <c r="C23" s="109"/>
      <c r="D23" s="109"/>
      <c r="E23" s="110"/>
      <c r="F23" s="3" t="s">
        <v>292</v>
      </c>
    </row>
    <row r="24" spans="1:9">
      <c r="A24" s="106" t="s">
        <v>69</v>
      </c>
      <c r="B24" s="149">
        <v>14.6</v>
      </c>
      <c r="C24" s="149">
        <v>14.6</v>
      </c>
      <c r="D24" s="149">
        <v>15.8</v>
      </c>
      <c r="E24" s="149">
        <v>15.8</v>
      </c>
      <c r="F24" s="3" t="s">
        <v>294</v>
      </c>
    </row>
    <row r="25" spans="1:9">
      <c r="A25" t="s">
        <v>295</v>
      </c>
      <c r="B25" s="150">
        <f>B5/B24</f>
        <v>0.17808219178082194</v>
      </c>
      <c r="C25" s="150">
        <f t="shared" ref="C25:E25" si="1">C5/C24</f>
        <v>0.74657534246575352</v>
      </c>
      <c r="D25" s="150">
        <f t="shared" si="1"/>
        <v>1.4050632911392404</v>
      </c>
      <c r="E25" s="150">
        <f t="shared" si="1"/>
        <v>4.3924050632911396</v>
      </c>
    </row>
    <row r="26" spans="1:9">
      <c r="A26" s="125"/>
      <c r="B26" s="112"/>
      <c r="C26" s="112"/>
      <c r="D26" s="112"/>
      <c r="E26" s="113"/>
      <c r="F26" s="34"/>
      <c r="G26" s="35"/>
      <c r="H26" s="35"/>
      <c r="I26" s="35"/>
    </row>
    <row r="27" spans="1:9">
      <c r="A27" s="3" t="s">
        <v>293</v>
      </c>
      <c r="B27" s="150"/>
      <c r="C27" s="150"/>
      <c r="D27" s="150"/>
      <c r="E27" s="150"/>
      <c r="F27" s="3"/>
    </row>
    <row r="28" spans="1:9">
      <c r="A28" s="64" t="s">
        <v>250</v>
      </c>
      <c r="B28" s="107"/>
      <c r="C28" s="107"/>
      <c r="D28" s="107"/>
      <c r="E28" s="107"/>
      <c r="F28" s="3"/>
    </row>
    <row r="29" spans="1:9">
      <c r="A29" t="s">
        <v>283</v>
      </c>
      <c r="B29">
        <v>6</v>
      </c>
      <c r="C29">
        <v>6</v>
      </c>
      <c r="D29">
        <v>5</v>
      </c>
      <c r="E29">
        <v>4</v>
      </c>
      <c r="F29" t="s">
        <v>296</v>
      </c>
    </row>
    <row r="30" spans="1:9">
      <c r="A30" t="s">
        <v>284</v>
      </c>
      <c r="B30">
        <f>B5/B29</f>
        <v>0.43333333333333335</v>
      </c>
      <c r="C30">
        <f t="shared" ref="C30:E30" si="2">C5/C29</f>
        <v>1.8166666666666667</v>
      </c>
      <c r="D30">
        <f t="shared" si="2"/>
        <v>4.4399999999999995</v>
      </c>
      <c r="E30">
        <f t="shared" si="2"/>
        <v>17.350000000000001</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G37"/>
  <sheetViews>
    <sheetView workbookViewId="0">
      <selection activeCell="C9" sqref="C9"/>
    </sheetView>
  </sheetViews>
  <sheetFormatPr baseColWidth="10" defaultColWidth="8.83203125" defaultRowHeight="15"/>
  <cols>
    <col min="1" max="1" width="44.5" customWidth="1"/>
    <col min="2" max="2" width="25" bestFit="1" customWidth="1"/>
    <col min="3" max="3" width="22.33203125" customWidth="1"/>
    <col min="4" max="4" width="12" bestFit="1" customWidth="1"/>
    <col min="5" max="5" width="11" bestFit="1" customWidth="1"/>
    <col min="7" max="7" width="24.1640625" customWidth="1"/>
    <col min="8" max="8" width="11.83203125" bestFit="1" customWidth="1"/>
  </cols>
  <sheetData>
    <row r="1" spans="1:7">
      <c r="A1" t="s">
        <v>882</v>
      </c>
    </row>
    <row r="5" spans="1:7">
      <c r="C5" s="1"/>
    </row>
    <row r="6" spans="1:7">
      <c r="C6" s="1"/>
    </row>
    <row r="7" spans="1:7">
      <c r="A7" t="s">
        <v>87</v>
      </c>
      <c r="B7" t="s">
        <v>307</v>
      </c>
      <c r="C7" s="1"/>
    </row>
    <row r="8" spans="1:7">
      <c r="A8" t="s">
        <v>88</v>
      </c>
      <c r="B8">
        <v>2019</v>
      </c>
      <c r="C8" s="1"/>
    </row>
    <row r="9" spans="1:7">
      <c r="A9" t="s">
        <v>202</v>
      </c>
      <c r="B9">
        <f>Movements!N5</f>
        <v>1361374501.0251446</v>
      </c>
      <c r="C9" s="2"/>
    </row>
    <row r="10" spans="1:7" ht="16">
      <c r="A10" t="s">
        <v>203</v>
      </c>
      <c r="B10">
        <f>Movements!N6</f>
        <v>934110333.07680297</v>
      </c>
      <c r="G10" s="4"/>
    </row>
    <row r="11" spans="1:7">
      <c r="A11" t="s">
        <v>204</v>
      </c>
      <c r="B11">
        <f>Movements!N7</f>
        <v>3596069680.6552329</v>
      </c>
      <c r="G11" s="5"/>
    </row>
    <row r="12" spans="1:7">
      <c r="A12" t="s">
        <v>205</v>
      </c>
      <c r="B12">
        <f>Movements!N8</f>
        <v>2934904413.1312361</v>
      </c>
    </row>
    <row r="13" spans="1:7">
      <c r="A13" t="s">
        <v>206</v>
      </c>
      <c r="B13">
        <f>Movements!N9</f>
        <v>1214691629.1941442</v>
      </c>
    </row>
    <row r="15" spans="1:7" ht="16" thickBot="1">
      <c r="A15" t="s">
        <v>87</v>
      </c>
    </row>
    <row r="16" spans="1:7">
      <c r="A16" s="13" t="s">
        <v>88</v>
      </c>
      <c r="B16" s="32">
        <v>2019</v>
      </c>
    </row>
    <row r="17" spans="1:2">
      <c r="A17" s="16" t="s">
        <v>202</v>
      </c>
      <c r="B17" s="78">
        <f>Movements!N10</f>
        <v>528916279.73274827</v>
      </c>
    </row>
    <row r="18" spans="1:2">
      <c r="A18" s="16" t="s">
        <v>203</v>
      </c>
      <c r="B18" s="78">
        <f>Movements!N11</f>
        <v>127946350.79644963</v>
      </c>
    </row>
    <row r="19" spans="1:2">
      <c r="A19" s="16" t="s">
        <v>204</v>
      </c>
      <c r="B19" s="78">
        <f>Movements!N12</f>
        <v>635014951.44935727</v>
      </c>
    </row>
    <row r="20" spans="1:2">
      <c r="A20" s="16" t="s">
        <v>205</v>
      </c>
      <c r="B20" s="78">
        <f>Movements!N13</f>
        <v>313715496.38696456</v>
      </c>
    </row>
    <row r="21" spans="1:2">
      <c r="A21" s="16" t="s">
        <v>206</v>
      </c>
      <c r="B21" s="78">
        <f>Movements!N14</f>
        <v>187517216.6644156</v>
      </c>
    </row>
    <row r="23" spans="1:2">
      <c r="A23" t="s">
        <v>87</v>
      </c>
    </row>
    <row r="24" spans="1:2">
      <c r="A24" s="32" t="s">
        <v>49</v>
      </c>
      <c r="B24" s="32">
        <v>2019</v>
      </c>
    </row>
    <row r="25" spans="1:2">
      <c r="A25" s="16" t="s">
        <v>202</v>
      </c>
      <c r="B25" s="78">
        <f>Movements!N15</f>
        <v>835139830.4158684</v>
      </c>
    </row>
    <row r="26" spans="1:2">
      <c r="A26" s="16" t="s">
        <v>203</v>
      </c>
      <c r="B26" s="78">
        <f>Movements!N16</f>
        <v>125990042.67835651</v>
      </c>
    </row>
    <row r="27" spans="1:2">
      <c r="A27" s="16" t="s">
        <v>204</v>
      </c>
      <c r="B27" s="78">
        <f>Movements!N17</f>
        <v>687316037.33507526</v>
      </c>
    </row>
    <row r="28" spans="1:2">
      <c r="A28" s="16" t="s">
        <v>205</v>
      </c>
      <c r="B28" s="78">
        <f>Movements!N18</f>
        <v>263646322.3907679</v>
      </c>
    </row>
    <row r="29" spans="1:2">
      <c r="A29" s="16" t="s">
        <v>206</v>
      </c>
      <c r="B29" s="78">
        <f>Movements!N19</f>
        <v>164631160.72764975</v>
      </c>
    </row>
    <row r="31" spans="1:2" ht="16" thickBot="1">
      <c r="A31" t="s">
        <v>87</v>
      </c>
    </row>
    <row r="32" spans="1:2">
      <c r="A32" s="13" t="s">
        <v>49</v>
      </c>
      <c r="B32" s="14">
        <v>2019</v>
      </c>
    </row>
    <row r="33" spans="1:2">
      <c r="A33" s="16" t="s">
        <v>202</v>
      </c>
      <c r="B33" s="80">
        <f>Movements!N20</f>
        <v>515198518.84157747</v>
      </c>
    </row>
    <row r="34" spans="1:2">
      <c r="A34" s="16" t="s">
        <v>203</v>
      </c>
      <c r="B34" s="80">
        <f>Movements!N21</f>
        <v>73324606.009279415</v>
      </c>
    </row>
    <row r="35" spans="1:2">
      <c r="A35" s="16" t="s">
        <v>204</v>
      </c>
      <c r="B35" s="80">
        <f>Movements!N22</f>
        <v>535427539.07309669</v>
      </c>
    </row>
    <row r="36" spans="1:2">
      <c r="A36" s="16" t="s">
        <v>205</v>
      </c>
      <c r="B36" s="80">
        <f>Movements!N23</f>
        <v>90320235.056604788</v>
      </c>
    </row>
    <row r="37" spans="1:2" ht="16" thickBot="1">
      <c r="A37" s="19" t="s">
        <v>206</v>
      </c>
      <c r="B37" s="80">
        <f>Movements!N24</f>
        <v>92361032.241666839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DB25B-183B-41A1-96D6-98E04F416863}">
  <sheetPr>
    <tabColor theme="5"/>
  </sheetPr>
  <dimension ref="A1:I29"/>
  <sheetViews>
    <sheetView workbookViewId="0">
      <selection activeCell="A39" sqref="A39"/>
    </sheetView>
  </sheetViews>
  <sheetFormatPr baseColWidth="10" defaultColWidth="8.83203125" defaultRowHeight="15"/>
  <cols>
    <col min="1" max="1" width="53.83203125" bestFit="1" customWidth="1"/>
    <col min="2" max="2" width="23.1640625" bestFit="1" customWidth="1"/>
    <col min="3" max="3" width="11.83203125" bestFit="1" customWidth="1"/>
    <col min="5" max="5" width="11" bestFit="1" customWidth="1"/>
    <col min="7" max="7" width="46.33203125" customWidth="1"/>
    <col min="8" max="8" width="13" customWidth="1"/>
  </cols>
  <sheetData>
    <row r="1" spans="1:9">
      <c r="A1" s="22" t="s">
        <v>89</v>
      </c>
      <c r="B1" s="23">
        <v>2019</v>
      </c>
      <c r="C1" s="24">
        <v>2050</v>
      </c>
      <c r="G1" t="s">
        <v>308</v>
      </c>
    </row>
    <row r="2" spans="1:9">
      <c r="A2" s="25" t="s">
        <v>50</v>
      </c>
      <c r="B2" s="26">
        <f>1033625008.24624/B9</f>
        <v>2831849.3376609315</v>
      </c>
      <c r="C2" s="27">
        <v>2831849.3376609315</v>
      </c>
    </row>
    <row r="3" spans="1:9">
      <c r="A3" s="25" t="s">
        <v>51</v>
      </c>
      <c r="B3" s="28">
        <f>766125235.902277/B9</f>
        <v>2098973.2490473343</v>
      </c>
      <c r="C3" s="27">
        <v>2098973.2490473343</v>
      </c>
      <c r="G3" t="s">
        <v>87</v>
      </c>
      <c r="H3" t="s">
        <v>307</v>
      </c>
    </row>
    <row r="4" spans="1:9">
      <c r="A4" s="25" t="s">
        <v>52</v>
      </c>
      <c r="B4" s="28">
        <f>2377951904.83738/B9</f>
        <v>6514936.725581863</v>
      </c>
      <c r="C4" s="27">
        <v>6514936.725581863</v>
      </c>
      <c r="G4" t="s">
        <v>88</v>
      </c>
      <c r="H4">
        <v>2019</v>
      </c>
      <c r="I4">
        <v>2050</v>
      </c>
    </row>
    <row r="5" spans="1:9">
      <c r="A5" s="25" t="s">
        <v>53</v>
      </c>
      <c r="B5" s="28">
        <f>2322883089.6001/B9</f>
        <v>6364063.2591783563</v>
      </c>
      <c r="C5" s="27">
        <v>6364063.2591783563</v>
      </c>
      <c r="G5" t="s">
        <v>202</v>
      </c>
      <c r="H5">
        <v>1220559193.5149293</v>
      </c>
      <c r="I5">
        <v>1220559193.5149293</v>
      </c>
    </row>
    <row r="6" spans="1:9" ht="16" thickBot="1">
      <c r="A6" s="29" t="s">
        <v>54</v>
      </c>
      <c r="B6" s="30">
        <f>1254150705.21166/B9</f>
        <v>3436029.3293470135</v>
      </c>
      <c r="C6" s="31">
        <v>3436029.3293470135</v>
      </c>
      <c r="G6" t="s">
        <v>203</v>
      </c>
      <c r="H6">
        <v>934110333.07680297</v>
      </c>
      <c r="I6">
        <v>934110333.07680297</v>
      </c>
    </row>
    <row r="7" spans="1:9">
      <c r="G7" t="s">
        <v>204</v>
      </c>
      <c r="H7">
        <v>3596069680.6552329</v>
      </c>
      <c r="I7">
        <v>3596069680.6552329</v>
      </c>
    </row>
    <row r="8" spans="1:9">
      <c r="G8" t="s">
        <v>205</v>
      </c>
      <c r="H8">
        <v>2934904413.1312361</v>
      </c>
      <c r="I8">
        <v>2934904413.1312361</v>
      </c>
    </row>
    <row r="9" spans="1:9">
      <c r="A9" t="s">
        <v>85</v>
      </c>
      <c r="B9">
        <v>365</v>
      </c>
      <c r="G9" t="s">
        <v>206</v>
      </c>
      <c r="H9">
        <v>1214691629.1941442</v>
      </c>
      <c r="I9">
        <v>1214691629.1941442</v>
      </c>
    </row>
    <row r="13" spans="1:9" ht="16" thickBot="1">
      <c r="A13" t="s">
        <v>87</v>
      </c>
      <c r="B13" t="s">
        <v>307</v>
      </c>
    </row>
    <row r="14" spans="1:9">
      <c r="A14" s="13" t="s">
        <v>88</v>
      </c>
      <c r="B14" s="14">
        <v>2019</v>
      </c>
      <c r="C14" s="15">
        <v>2040</v>
      </c>
      <c r="E14" s="15">
        <v>2050</v>
      </c>
    </row>
    <row r="15" spans="1:9">
      <c r="A15" s="16" t="s">
        <v>202</v>
      </c>
      <c r="B15" s="80">
        <f>Movements!N5</f>
        <v>1361374501.0251446</v>
      </c>
      <c r="C15" s="80">
        <f>B15</f>
        <v>1361374501.0251446</v>
      </c>
      <c r="E15" s="18">
        <v>1484518961.307821</v>
      </c>
    </row>
    <row r="16" spans="1:9">
      <c r="A16" s="16" t="s">
        <v>203</v>
      </c>
      <c r="B16" s="80">
        <f>Movements!N6</f>
        <v>934110333.07680297</v>
      </c>
      <c r="C16" s="80">
        <f t="shared" ref="C16:C19" si="0">B16</f>
        <v>934110333.07680297</v>
      </c>
      <c r="E16" s="18">
        <v>953816772.98752296</v>
      </c>
    </row>
    <row r="17" spans="1:5">
      <c r="A17" s="16" t="s">
        <v>204</v>
      </c>
      <c r="B17" s="80">
        <f>Movements!N7</f>
        <v>3596069680.6552329</v>
      </c>
      <c r="C17" s="80">
        <f t="shared" si="0"/>
        <v>3596069680.6552329</v>
      </c>
      <c r="E17" s="18">
        <v>3677339641.498497</v>
      </c>
    </row>
    <row r="18" spans="1:5">
      <c r="A18" s="16" t="s">
        <v>205</v>
      </c>
      <c r="B18" s="80">
        <f>Movements!N8</f>
        <v>2934904413.1312361</v>
      </c>
      <c r="C18" s="80">
        <f t="shared" si="0"/>
        <v>2934904413.1312361</v>
      </c>
      <c r="E18" s="18">
        <v>3000532757.9632497</v>
      </c>
    </row>
    <row r="19" spans="1:5" ht="16" thickBot="1">
      <c r="A19" s="16" t="s">
        <v>206</v>
      </c>
      <c r="B19" s="80">
        <f>Movements!N9</f>
        <v>1214691629.1941442</v>
      </c>
      <c r="C19" s="80">
        <f t="shared" si="0"/>
        <v>1214691629.1941442</v>
      </c>
      <c r="E19" s="20">
        <v>1239764703.4302802</v>
      </c>
    </row>
    <row r="20" spans="1:5">
      <c r="B20" s="303">
        <f>SUM(B15:B19)</f>
        <v>10041150557.082561</v>
      </c>
    </row>
    <row r="22" spans="1:5">
      <c r="A22" s="17" t="s">
        <v>201</v>
      </c>
    </row>
    <row r="23" spans="1:5" ht="16" thickBot="1">
      <c r="A23" s="67" t="s">
        <v>87</v>
      </c>
      <c r="B23" s="67"/>
      <c r="C23" s="67"/>
    </row>
    <row r="24" spans="1:5">
      <c r="A24" s="68" t="s">
        <v>88</v>
      </c>
      <c r="B24" s="69">
        <v>2019</v>
      </c>
      <c r="C24" s="70">
        <v>2050</v>
      </c>
    </row>
    <row r="25" spans="1:5">
      <c r="A25" s="71" t="s">
        <v>50</v>
      </c>
      <c r="B25" s="72">
        <v>1033625008.2462384</v>
      </c>
      <c r="C25" s="73">
        <v>1033625008.2462384</v>
      </c>
    </row>
    <row r="26" spans="1:5">
      <c r="A26" s="71" t="s">
        <v>51</v>
      </c>
      <c r="B26" s="72">
        <v>766125235.90227711</v>
      </c>
      <c r="C26" s="73">
        <v>766125235.90227711</v>
      </c>
    </row>
    <row r="27" spans="1:5">
      <c r="A27" s="71" t="s">
        <v>52</v>
      </c>
      <c r="B27" s="72">
        <v>2377951904.8373775</v>
      </c>
      <c r="C27" s="73">
        <v>2377951904.8373775</v>
      </c>
    </row>
    <row r="28" spans="1:5">
      <c r="A28" s="71" t="s">
        <v>53</v>
      </c>
      <c r="B28" s="72">
        <v>2322883089.6000986</v>
      </c>
      <c r="C28" s="73">
        <v>2322883089.6000986</v>
      </c>
    </row>
    <row r="29" spans="1:5" ht="16" thickBot="1">
      <c r="A29" s="74" t="s">
        <v>54</v>
      </c>
      <c r="B29" s="75">
        <v>1254150705.2116594</v>
      </c>
      <c r="C29" s="76">
        <v>1254150705.2116594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F2958-FE45-44F3-8F74-A4EF5AFB55D8}">
  <sheetPr>
    <tabColor theme="5"/>
  </sheetPr>
  <dimension ref="A1:J30"/>
  <sheetViews>
    <sheetView workbookViewId="0">
      <selection activeCell="A13" sqref="A13:B19"/>
    </sheetView>
  </sheetViews>
  <sheetFormatPr baseColWidth="10" defaultColWidth="8.83203125" defaultRowHeight="15"/>
  <cols>
    <col min="1" max="1" width="57.33203125" bestFit="1" customWidth="1"/>
    <col min="2" max="3" width="11.83203125" bestFit="1" customWidth="1"/>
    <col min="5" max="5" width="10.5" bestFit="1" customWidth="1"/>
  </cols>
  <sheetData>
    <row r="1" spans="1:10">
      <c r="A1" s="21" t="s">
        <v>49</v>
      </c>
      <c r="B1" s="21">
        <v>2019</v>
      </c>
      <c r="C1" s="21">
        <v>2050</v>
      </c>
    </row>
    <row r="2" spans="1:10">
      <c r="A2" s="21" t="s">
        <v>50</v>
      </c>
      <c r="B2" s="21">
        <f>203600974.140293/B9</f>
        <v>557810.88805559732</v>
      </c>
      <c r="C2" s="21">
        <v>557810.88805559732</v>
      </c>
    </row>
    <row r="3" spans="1:10">
      <c r="A3" s="21" t="s">
        <v>51</v>
      </c>
      <c r="B3" s="21">
        <f>136187635.223911/B9</f>
        <v>373116.80883263284</v>
      </c>
      <c r="C3" s="21">
        <v>373116.80883263284</v>
      </c>
    </row>
    <row r="4" spans="1:10">
      <c r="A4" s="21" t="s">
        <v>52</v>
      </c>
      <c r="B4" s="21">
        <f>672903471.29701/B9</f>
        <v>1843571.1542383835</v>
      </c>
      <c r="C4" s="21">
        <v>1843571.1542383835</v>
      </c>
    </row>
    <row r="5" spans="1:10">
      <c r="A5" s="21" t="s">
        <v>53</v>
      </c>
      <c r="B5" s="21">
        <f>350578112.238627/B9</f>
        <v>960487.9787359644</v>
      </c>
      <c r="C5" s="21">
        <v>960487.9787359644</v>
      </c>
    </row>
    <row r="6" spans="1:10">
      <c r="A6" s="21" t="s">
        <v>54</v>
      </c>
      <c r="B6" s="21">
        <f>577822536.391238/B9</f>
        <v>1583075.4421677752</v>
      </c>
      <c r="C6" s="21">
        <v>1583075.4421677752</v>
      </c>
    </row>
    <row r="9" spans="1:10">
      <c r="A9" t="s">
        <v>85</v>
      </c>
      <c r="B9">
        <v>365</v>
      </c>
    </row>
    <row r="13" spans="1:10" ht="16" thickBot="1">
      <c r="A13" t="s">
        <v>87</v>
      </c>
    </row>
    <row r="14" spans="1:10" ht="16" thickBot="1">
      <c r="A14" s="13" t="s">
        <v>88</v>
      </c>
      <c r="B14" s="32">
        <v>2019</v>
      </c>
      <c r="C14" s="32">
        <v>2040</v>
      </c>
      <c r="E14" s="32">
        <v>2050</v>
      </c>
    </row>
    <row r="15" spans="1:10">
      <c r="A15" s="16" t="s">
        <v>202</v>
      </c>
      <c r="B15" s="78">
        <f>Movements!N10</f>
        <v>528916279.73274827</v>
      </c>
      <c r="C15" s="78">
        <f>B15</f>
        <v>528916279.73274827</v>
      </c>
      <c r="E15" s="78">
        <v>595274927.62561262</v>
      </c>
      <c r="H15" s="13"/>
      <c r="I15" s="14"/>
      <c r="J15" s="15"/>
    </row>
    <row r="16" spans="1:10">
      <c r="A16" s="16" t="s">
        <v>203</v>
      </c>
      <c r="B16" s="78">
        <f>Movements!N11</f>
        <v>127946350.79644963</v>
      </c>
      <c r="C16" s="78">
        <f t="shared" ref="C16:C19" si="0">B16</f>
        <v>127946350.79644963</v>
      </c>
      <c r="E16" s="78">
        <v>136912329.84388638</v>
      </c>
      <c r="H16" s="16"/>
      <c r="I16" s="17"/>
      <c r="J16" s="18"/>
    </row>
    <row r="17" spans="1:10">
      <c r="A17" s="16" t="s">
        <v>204</v>
      </c>
      <c r="B17" s="78">
        <f>Movements!N12</f>
        <v>635014951.44935727</v>
      </c>
      <c r="C17" s="78">
        <f t="shared" si="0"/>
        <v>635014951.44935727</v>
      </c>
      <c r="E17" s="78">
        <v>652890236.9186492</v>
      </c>
      <c r="H17" s="16"/>
      <c r="I17" s="17"/>
      <c r="J17" s="18"/>
    </row>
    <row r="18" spans="1:10">
      <c r="A18" s="16" t="s">
        <v>205</v>
      </c>
      <c r="B18" s="78">
        <f>Movements!N13</f>
        <v>313715496.38696456</v>
      </c>
      <c r="C18" s="78">
        <f t="shared" si="0"/>
        <v>313715496.38696456</v>
      </c>
      <c r="E18" s="78">
        <v>323476874.63164318</v>
      </c>
      <c r="H18" s="16"/>
      <c r="I18" s="17"/>
      <c r="J18" s="18"/>
    </row>
    <row r="19" spans="1:10">
      <c r="A19" s="16" t="s">
        <v>206</v>
      </c>
      <c r="B19" s="78">
        <f>Movements!N14</f>
        <v>187517216.6644156</v>
      </c>
      <c r="C19" s="78">
        <f t="shared" si="0"/>
        <v>187517216.6644156</v>
      </c>
      <c r="E19" s="78">
        <v>194496445.18688068</v>
      </c>
      <c r="H19" s="16"/>
      <c r="I19" s="17"/>
      <c r="J19" s="18"/>
    </row>
    <row r="20" spans="1:10" ht="16" thickBot="1">
      <c r="B20" s="303">
        <f>SUM(B15:B19)</f>
        <v>1793110295.0299354</v>
      </c>
      <c r="H20" s="16"/>
      <c r="I20" s="17"/>
      <c r="J20" s="20"/>
    </row>
    <row r="23" spans="1:10">
      <c r="A23" t="s">
        <v>201</v>
      </c>
    </row>
    <row r="24" spans="1:10">
      <c r="A24" s="67" t="s">
        <v>87</v>
      </c>
      <c r="B24" s="67"/>
      <c r="C24" s="67"/>
    </row>
    <row r="25" spans="1:10">
      <c r="A25" s="77" t="s">
        <v>49</v>
      </c>
      <c r="B25" s="77">
        <v>2019</v>
      </c>
      <c r="C25" s="77">
        <v>2050</v>
      </c>
    </row>
    <row r="26" spans="1:10">
      <c r="A26" s="77" t="s">
        <v>50</v>
      </c>
      <c r="B26" s="77">
        <v>203600974.14029256</v>
      </c>
      <c r="C26" s="77">
        <v>203600974.14029256</v>
      </c>
    </row>
    <row r="27" spans="1:10">
      <c r="A27" s="77" t="s">
        <v>51</v>
      </c>
      <c r="B27" s="77">
        <v>136187635.22391072</v>
      </c>
      <c r="C27" s="77">
        <v>136187635.22391072</v>
      </c>
    </row>
    <row r="28" spans="1:10">
      <c r="A28" s="77" t="s">
        <v>52</v>
      </c>
      <c r="B28" s="77">
        <v>672903471.29701006</v>
      </c>
      <c r="C28" s="77">
        <v>672903471.29701006</v>
      </c>
    </row>
    <row r="29" spans="1:10">
      <c r="A29" s="77" t="s">
        <v>53</v>
      </c>
      <c r="B29" s="77">
        <v>350578112.23862702</v>
      </c>
      <c r="C29" s="77">
        <v>350578112.23862702</v>
      </c>
    </row>
    <row r="30" spans="1:10">
      <c r="A30" s="77" t="s">
        <v>54</v>
      </c>
      <c r="B30" s="77">
        <v>577822536.39123797</v>
      </c>
      <c r="C30" s="77">
        <v>577822536.39123797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CC72E-023F-4154-A3AD-472EE8F72E15}">
  <sheetPr>
    <tabColor theme="5"/>
  </sheetPr>
  <dimension ref="A1:F30"/>
  <sheetViews>
    <sheetView workbookViewId="0">
      <selection activeCell="B15" sqref="B15"/>
    </sheetView>
  </sheetViews>
  <sheetFormatPr baseColWidth="10" defaultColWidth="8.83203125" defaultRowHeight="15"/>
  <cols>
    <col min="1" max="1" width="53.83203125" bestFit="1" customWidth="1"/>
    <col min="2" max="3" width="11.83203125" bestFit="1" customWidth="1"/>
    <col min="6" max="6" width="9.6640625" bestFit="1" customWidth="1"/>
  </cols>
  <sheetData>
    <row r="1" spans="1:6">
      <c r="A1" s="21" t="s">
        <v>49</v>
      </c>
      <c r="B1" s="21">
        <v>2019</v>
      </c>
      <c r="C1" s="21">
        <v>2050</v>
      </c>
    </row>
    <row r="2" spans="1:6">
      <c r="A2" s="21" t="s">
        <v>50</v>
      </c>
      <c r="B2" s="21">
        <f>116043999.824681/B9</f>
        <v>317928.76664296165</v>
      </c>
      <c r="C2" s="21">
        <v>317928.76664296165</v>
      </c>
    </row>
    <row r="3" spans="1:6">
      <c r="A3" s="21" t="s">
        <v>51</v>
      </c>
      <c r="B3" s="21">
        <f>90272854.1905136/B9</f>
        <v>247322.88819318794</v>
      </c>
      <c r="C3" s="21">
        <v>247322.88819318794</v>
      </c>
    </row>
    <row r="4" spans="1:6">
      <c r="A4" s="21" t="s">
        <v>52</v>
      </c>
      <c r="B4" s="21">
        <f>483252702.26989/B9</f>
        <v>1323980.0062188767</v>
      </c>
      <c r="C4" s="21">
        <v>1323980.0062188767</v>
      </c>
    </row>
    <row r="5" spans="1:6">
      <c r="A5" s="21" t="s">
        <v>53</v>
      </c>
      <c r="B5" s="21">
        <f>187158905.307106/B9</f>
        <v>512764.12412905751</v>
      </c>
      <c r="C5" s="21">
        <v>512764.12412905751</v>
      </c>
    </row>
    <row r="6" spans="1:6">
      <c r="A6" s="21" t="s">
        <v>54</v>
      </c>
      <c r="B6" s="21">
        <f>578489362.480265/B9</f>
        <v>1584902.3629596301</v>
      </c>
      <c r="C6" s="21">
        <v>1584902.3629596301</v>
      </c>
    </row>
    <row r="9" spans="1:6">
      <c r="A9" t="s">
        <v>84</v>
      </c>
      <c r="B9">
        <v>365</v>
      </c>
    </row>
    <row r="13" spans="1:6">
      <c r="A13" t="s">
        <v>87</v>
      </c>
    </row>
    <row r="14" spans="1:6">
      <c r="A14" s="32" t="s">
        <v>49</v>
      </c>
      <c r="B14" s="32">
        <v>2019</v>
      </c>
      <c r="C14" s="32">
        <v>2040</v>
      </c>
      <c r="F14" s="32">
        <v>2050</v>
      </c>
    </row>
    <row r="15" spans="1:6">
      <c r="A15" s="16" t="s">
        <v>202</v>
      </c>
      <c r="B15" s="78">
        <f>Movements!N15</f>
        <v>835139830.4158684</v>
      </c>
      <c r="C15" s="78">
        <f>B15</f>
        <v>835139830.4158684</v>
      </c>
      <c r="F15" s="78">
        <v>926059049.56587124</v>
      </c>
    </row>
    <row r="16" spans="1:6">
      <c r="A16" s="16" t="s">
        <v>203</v>
      </c>
      <c r="B16" s="78">
        <f>Movements!N16</f>
        <v>125990042.67835651</v>
      </c>
      <c r="C16" s="78">
        <f t="shared" ref="C16:C19" si="0">B16</f>
        <v>125990042.67835651</v>
      </c>
      <c r="F16" s="78">
        <v>134513307.95850727</v>
      </c>
    </row>
    <row r="17" spans="1:6">
      <c r="A17" s="16" t="s">
        <v>204</v>
      </c>
      <c r="B17" s="78">
        <f>Movements!N17</f>
        <v>687316037.33507526</v>
      </c>
      <c r="C17" s="78">
        <f t="shared" si="0"/>
        <v>687316037.33507526</v>
      </c>
      <c r="F17" s="78">
        <v>703939025.87288058</v>
      </c>
    </row>
    <row r="18" spans="1:6">
      <c r="A18" s="16" t="s">
        <v>205</v>
      </c>
      <c r="B18" s="78">
        <f>Movements!N18</f>
        <v>263646322.3907679</v>
      </c>
      <c r="C18" s="78">
        <f t="shared" si="0"/>
        <v>263646322.3907679</v>
      </c>
      <c r="F18" s="78">
        <v>274045324.90428424</v>
      </c>
    </row>
    <row r="19" spans="1:6">
      <c r="A19" s="16" t="s">
        <v>206</v>
      </c>
      <c r="B19" s="78">
        <f>Movements!N19</f>
        <v>164631160.72764975</v>
      </c>
      <c r="C19" s="78">
        <f t="shared" si="0"/>
        <v>164631160.72764975</v>
      </c>
      <c r="F19" s="78">
        <v>173424079.00254187</v>
      </c>
    </row>
    <row r="20" spans="1:6">
      <c r="B20" s="303">
        <f>SUM(B15:B19)</f>
        <v>2076723393.5477178</v>
      </c>
    </row>
    <row r="23" spans="1:6">
      <c r="A23" t="s">
        <v>201</v>
      </c>
    </row>
    <row r="24" spans="1:6">
      <c r="A24" s="67" t="s">
        <v>87</v>
      </c>
      <c r="B24" s="67"/>
      <c r="C24" s="67"/>
    </row>
    <row r="25" spans="1:6">
      <c r="A25" s="77" t="s">
        <v>49</v>
      </c>
      <c r="B25" s="77">
        <v>2019</v>
      </c>
      <c r="C25" s="77">
        <v>2050</v>
      </c>
    </row>
    <row r="26" spans="1:6">
      <c r="A26" s="77" t="s">
        <v>50</v>
      </c>
      <c r="B26" s="77">
        <v>116043999.82468094</v>
      </c>
      <c r="C26" s="77">
        <v>116043999.82468094</v>
      </c>
    </row>
    <row r="27" spans="1:6">
      <c r="A27" s="77" t="s">
        <v>51</v>
      </c>
      <c r="B27" s="77">
        <v>90272854.190513581</v>
      </c>
      <c r="C27" s="77">
        <v>90272854.190513581</v>
      </c>
    </row>
    <row r="28" spans="1:6">
      <c r="A28" s="77" t="s">
        <v>52</v>
      </c>
      <c r="B28" s="77">
        <v>483252702.26988983</v>
      </c>
      <c r="C28" s="77">
        <v>483252702.26988983</v>
      </c>
    </row>
    <row r="29" spans="1:6">
      <c r="A29" s="77" t="s">
        <v>53</v>
      </c>
      <c r="B29" s="77">
        <v>187158905.30710626</v>
      </c>
      <c r="C29" s="77">
        <v>187158905.30710626</v>
      </c>
    </row>
    <row r="30" spans="1:6">
      <c r="A30" s="77" t="s">
        <v>54</v>
      </c>
      <c r="B30" s="77">
        <v>578489362.48026466</v>
      </c>
      <c r="C30" s="77">
        <v>578489362.48026466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FB988-0F54-4156-83D1-5BB2D5CF06E7}">
  <sheetPr>
    <tabColor theme="5"/>
  </sheetPr>
  <dimension ref="A1:F39"/>
  <sheetViews>
    <sheetView workbookViewId="0">
      <selection activeCell="A13" sqref="A13:B19"/>
    </sheetView>
  </sheetViews>
  <sheetFormatPr baseColWidth="10" defaultColWidth="8.83203125" defaultRowHeight="15"/>
  <cols>
    <col min="1" max="1" width="53.83203125" bestFit="1" customWidth="1"/>
    <col min="2" max="2" width="20.1640625" customWidth="1"/>
    <col min="3" max="3" width="15.6640625" bestFit="1" customWidth="1"/>
    <col min="4" max="4" width="12.5" bestFit="1" customWidth="1"/>
    <col min="5" max="5" width="12" bestFit="1" customWidth="1"/>
  </cols>
  <sheetData>
    <row r="1" spans="1:6">
      <c r="A1" s="79" t="s">
        <v>49</v>
      </c>
      <c r="B1" s="79">
        <v>2019</v>
      </c>
      <c r="C1" s="79">
        <v>2050</v>
      </c>
    </row>
    <row r="2" spans="1:6">
      <c r="A2" s="79" t="s">
        <v>50</v>
      </c>
      <c r="B2" s="79">
        <f>116618593.318093/$B$9</f>
        <v>319502.99539203563</v>
      </c>
      <c r="C2" s="79">
        <v>319502.99539203563</v>
      </c>
    </row>
    <row r="3" spans="1:6">
      <c r="A3" s="79" t="s">
        <v>51</v>
      </c>
      <c r="B3" s="79">
        <f>99224473.4150675/B9</f>
        <v>271847.8723700479</v>
      </c>
      <c r="C3" s="79">
        <v>271847.8723700479</v>
      </c>
    </row>
    <row r="4" spans="1:6">
      <c r="A4" s="79" t="s">
        <v>52</v>
      </c>
      <c r="B4" s="79">
        <f>658057440.391663/B9</f>
        <v>1802897.0969634601</v>
      </c>
      <c r="C4" s="79">
        <v>1802897.0969634601</v>
      </c>
    </row>
    <row r="5" spans="1:6">
      <c r="A5" s="79" t="s">
        <v>53</v>
      </c>
      <c r="B5" s="79">
        <f>123145019.544536/B9</f>
        <v>337383.61519050959</v>
      </c>
      <c r="C5" s="79">
        <v>337383.61519050959</v>
      </c>
    </row>
    <row r="6" spans="1:6">
      <c r="A6" s="79" t="s">
        <v>54</v>
      </c>
      <c r="B6" s="79">
        <f>698154900.514315/B9</f>
        <v>1912753.1520940138</v>
      </c>
      <c r="C6" s="79">
        <v>1912753.1520940138</v>
      </c>
    </row>
    <row r="9" spans="1:6">
      <c r="A9" t="s">
        <v>84</v>
      </c>
      <c r="B9">
        <v>365</v>
      </c>
    </row>
    <row r="13" spans="1:6" ht="16" thickBot="1">
      <c r="A13" t="s">
        <v>87</v>
      </c>
      <c r="C13" t="s">
        <v>86</v>
      </c>
      <c r="F13" t="s">
        <v>86</v>
      </c>
    </row>
    <row r="14" spans="1:6">
      <c r="A14" s="13" t="s">
        <v>49</v>
      </c>
      <c r="B14" s="14">
        <v>2019</v>
      </c>
      <c r="C14" s="15">
        <v>2040</v>
      </c>
      <c r="F14" s="15">
        <v>2050</v>
      </c>
    </row>
    <row r="15" spans="1:6">
      <c r="A15" s="16" t="s">
        <v>202</v>
      </c>
      <c r="B15" s="80">
        <f>Movements!N20</f>
        <v>515198518.84157747</v>
      </c>
      <c r="C15" s="81">
        <f>B15</f>
        <v>515198518.84157747</v>
      </c>
      <c r="F15" s="81">
        <v>578745175.41447854</v>
      </c>
    </row>
    <row r="16" spans="1:6">
      <c r="A16" s="16" t="s">
        <v>203</v>
      </c>
      <c r="B16" s="80">
        <f>Movements!N21</f>
        <v>73324606.009279415</v>
      </c>
      <c r="C16" s="81">
        <f t="shared" ref="C16:C19" si="0">B16</f>
        <v>73324606.009279415</v>
      </c>
      <c r="F16" s="81">
        <v>75068078.135312855</v>
      </c>
    </row>
    <row r="17" spans="1:6">
      <c r="A17" s="16" t="s">
        <v>204</v>
      </c>
      <c r="B17" s="80">
        <f>Movements!N22</f>
        <v>535427539.07309669</v>
      </c>
      <c r="C17" s="81">
        <f t="shared" si="0"/>
        <v>535427539.07309669</v>
      </c>
      <c r="F17" s="81">
        <v>556487213.52434397</v>
      </c>
    </row>
    <row r="18" spans="1:6">
      <c r="A18" s="16" t="s">
        <v>205</v>
      </c>
      <c r="B18" s="80">
        <f>Movements!N23</f>
        <v>90320235.056604788</v>
      </c>
      <c r="C18" s="81">
        <f t="shared" si="0"/>
        <v>90320235.056604788</v>
      </c>
      <c r="F18" s="81">
        <v>93110073.844010055</v>
      </c>
    </row>
    <row r="19" spans="1:6" ht="16" thickBot="1">
      <c r="A19" s="19" t="s">
        <v>206</v>
      </c>
      <c r="B19" s="82">
        <f>Movements!N24</f>
        <v>92361032.241666839</v>
      </c>
      <c r="C19" s="81">
        <f t="shared" si="0"/>
        <v>92361032.241666839</v>
      </c>
      <c r="F19" s="83">
        <v>97057221.518775508</v>
      </c>
    </row>
    <row r="20" spans="1:6">
      <c r="B20" s="303">
        <f>SUM(B15:B19)</f>
        <v>1306631931.2222252</v>
      </c>
    </row>
    <row r="23" spans="1:6">
      <c r="A23" s="67"/>
      <c r="B23" s="67"/>
      <c r="C23" s="67" t="s">
        <v>86</v>
      </c>
    </row>
    <row r="24" spans="1:6">
      <c r="A24" s="67" t="s">
        <v>49</v>
      </c>
      <c r="B24" s="67">
        <v>2019</v>
      </c>
      <c r="C24" s="67">
        <v>2050</v>
      </c>
    </row>
    <row r="25" spans="1:6">
      <c r="A25" s="67" t="s">
        <v>50</v>
      </c>
      <c r="B25" s="67">
        <v>116618593.31809272</v>
      </c>
      <c r="C25" s="67">
        <v>116618593.31809272</v>
      </c>
    </row>
    <row r="26" spans="1:6">
      <c r="A26" s="67" t="s">
        <v>51</v>
      </c>
      <c r="B26" s="67">
        <v>99224473.415067464</v>
      </c>
      <c r="C26" s="67">
        <v>99224473.415067464</v>
      </c>
    </row>
    <row r="27" spans="1:6">
      <c r="A27" s="67" t="s">
        <v>52</v>
      </c>
      <c r="B27" s="67">
        <v>658057440.39166319</v>
      </c>
      <c r="C27" s="67">
        <v>658057440.39166319</v>
      </c>
    </row>
    <row r="28" spans="1:6">
      <c r="A28" s="67" t="s">
        <v>53</v>
      </c>
      <c r="B28" s="67">
        <v>123145019.5445362</v>
      </c>
      <c r="C28" s="67">
        <v>123145019.5445362</v>
      </c>
    </row>
    <row r="29" spans="1:6">
      <c r="A29" s="67" t="s">
        <v>54</v>
      </c>
      <c r="B29" s="67">
        <v>698154900.51431489</v>
      </c>
      <c r="C29" s="67">
        <v>698154900.51431489</v>
      </c>
    </row>
    <row r="34" spans="2:5">
      <c r="B34" t="s">
        <v>815</v>
      </c>
      <c r="E34" t="s">
        <v>816</v>
      </c>
    </row>
    <row r="35" spans="2:5">
      <c r="C35" t="s">
        <v>311</v>
      </c>
      <c r="D35" s="94">
        <f>'initial trips short'!B20</f>
        <v>10041150557.082561</v>
      </c>
      <c r="E35">
        <f>D35/1000000000</f>
        <v>10.041150557082561</v>
      </c>
    </row>
    <row r="36" spans="2:5">
      <c r="C36" t="s">
        <v>313</v>
      </c>
      <c r="D36" s="94">
        <f>'initial trips middleshort'!B20</f>
        <v>1793110295.0299354</v>
      </c>
      <c r="E36">
        <f t="shared" ref="E36:E39" si="1">D36/1000000000</f>
        <v>1.7931102950299354</v>
      </c>
    </row>
    <row r="37" spans="2:5">
      <c r="C37" t="s">
        <v>314</v>
      </c>
      <c r="D37" s="94">
        <f>'initial trips middlelong'!B20</f>
        <v>2076723393.5477178</v>
      </c>
      <c r="E37">
        <f t="shared" si="1"/>
        <v>2.0767233935477178</v>
      </c>
    </row>
    <row r="38" spans="2:5">
      <c r="C38" t="s">
        <v>315</v>
      </c>
      <c r="D38" s="94">
        <f>B20</f>
        <v>1306631931.2222252</v>
      </c>
      <c r="E38">
        <f t="shared" si="1"/>
        <v>1.3066319312222252</v>
      </c>
    </row>
    <row r="39" spans="2:5">
      <c r="D39" s="303">
        <f>SUM(D35:D38)</f>
        <v>15217616176.882441</v>
      </c>
      <c r="E39">
        <f t="shared" si="1"/>
        <v>15.217616176882441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EA805-1454-4A4F-BD2F-6FF0C1A9D72D}">
  <sheetPr>
    <tabColor theme="4"/>
  </sheetPr>
  <dimension ref="A1:AA149"/>
  <sheetViews>
    <sheetView topLeftCell="A13" zoomScaleNormal="100" workbookViewId="0">
      <selection activeCell="B58" sqref="B58"/>
    </sheetView>
  </sheetViews>
  <sheetFormatPr baseColWidth="10" defaultColWidth="8.83203125" defaultRowHeight="15"/>
  <cols>
    <col min="1" max="1" width="39.6640625" customWidth="1"/>
    <col min="2" max="2" width="18" customWidth="1"/>
    <col min="3" max="4" width="14.5" bestFit="1" customWidth="1"/>
    <col min="5" max="5" width="15.5" bestFit="1" customWidth="1"/>
    <col min="6" max="6" width="15.5" customWidth="1"/>
    <col min="10" max="10" width="41.83203125" customWidth="1"/>
    <col min="11" max="11" width="18.1640625" customWidth="1"/>
    <col min="18" max="18" width="23.5" customWidth="1"/>
    <col min="23" max="23" width="23.83203125" bestFit="1" customWidth="1"/>
  </cols>
  <sheetData>
    <row r="1" spans="1:6" ht="24">
      <c r="A1" s="140" t="s">
        <v>266</v>
      </c>
      <c r="B1" s="254" t="s">
        <v>715</v>
      </c>
    </row>
    <row r="3" spans="1:6">
      <c r="A3" t="s">
        <v>694</v>
      </c>
    </row>
    <row r="4" spans="1:6">
      <c r="A4" t="s">
        <v>700</v>
      </c>
    </row>
    <row r="5" spans="1:6" hidden="1"/>
    <row r="6" spans="1:6" hidden="1">
      <c r="A6" t="s">
        <v>695</v>
      </c>
    </row>
    <row r="7" spans="1:6">
      <c r="A7" t="s">
        <v>696</v>
      </c>
    </row>
    <row r="8" spans="1:6">
      <c r="A8" t="s">
        <v>698</v>
      </c>
    </row>
    <row r="9" spans="1:6">
      <c r="A9" t="s">
        <v>697</v>
      </c>
    </row>
    <row r="10" spans="1:6">
      <c r="A10" t="s">
        <v>699</v>
      </c>
    </row>
    <row r="12" spans="1:6">
      <c r="A12" t="s">
        <v>688</v>
      </c>
    </row>
    <row r="13" spans="1:6">
      <c r="A13" t="s">
        <v>687</v>
      </c>
    </row>
    <row r="15" spans="1:6">
      <c r="A15" t="s">
        <v>459</v>
      </c>
      <c r="B15">
        <v>1</v>
      </c>
      <c r="C15">
        <v>2</v>
      </c>
      <c r="D15">
        <v>3</v>
      </c>
      <c r="E15">
        <v>4</v>
      </c>
      <c r="F15">
        <v>5</v>
      </c>
    </row>
    <row r="16" spans="1:6">
      <c r="A16" s="10"/>
      <c r="B16" s="10"/>
      <c r="C16" s="10"/>
      <c r="D16" s="10"/>
      <c r="E16" s="10"/>
    </row>
    <row r="17" spans="1:6">
      <c r="A17" s="3" t="s">
        <v>681</v>
      </c>
      <c r="B17" s="283" cm="1">
        <f t="array" ref="B17:B60">'input B (Octavius)'!B17:B60</f>
        <v>-9.8000000000000004E-2</v>
      </c>
      <c r="C17" s="12">
        <f>B17</f>
        <v>-9.8000000000000004E-2</v>
      </c>
      <c r="D17" s="12">
        <f t="shared" ref="D17:E17" si="0">C17</f>
        <v>-9.8000000000000004E-2</v>
      </c>
      <c r="E17" s="12">
        <f t="shared" si="0"/>
        <v>-9.8000000000000004E-2</v>
      </c>
      <c r="F17" s="12"/>
    </row>
    <row r="18" spans="1:6">
      <c r="A18" s="3" t="s">
        <v>682</v>
      </c>
      <c r="B18" s="283">
        <v>-8.7999999999999995E-2</v>
      </c>
      <c r="C18" s="12">
        <f t="shared" ref="C18:E18" si="1">B18</f>
        <v>-8.7999999999999995E-2</v>
      </c>
      <c r="D18" s="12">
        <f t="shared" si="1"/>
        <v>-8.7999999999999995E-2</v>
      </c>
      <c r="E18" s="12">
        <f t="shared" si="1"/>
        <v>-8.7999999999999995E-2</v>
      </c>
      <c r="F18" s="12"/>
    </row>
    <row r="19" spans="1:6">
      <c r="A19" s="3" t="s">
        <v>683</v>
      </c>
      <c r="B19" s="283">
        <v>-0.16</v>
      </c>
      <c r="C19" s="12">
        <f t="shared" ref="C19:E19" si="2">B19</f>
        <v>-0.16</v>
      </c>
      <c r="D19" s="12">
        <f t="shared" si="2"/>
        <v>-0.16</v>
      </c>
      <c r="E19" s="12">
        <f t="shared" si="2"/>
        <v>-0.16</v>
      </c>
      <c r="F19" s="12"/>
    </row>
    <row r="20" spans="1:6">
      <c r="A20" s="3" t="s">
        <v>684</v>
      </c>
      <c r="B20" s="283">
        <v>-0.13900000000000001</v>
      </c>
      <c r="C20" s="12">
        <f t="shared" ref="C20:E20" si="3">B20</f>
        <v>-0.13900000000000001</v>
      </c>
      <c r="D20" s="12">
        <f t="shared" si="3"/>
        <v>-0.13900000000000001</v>
      </c>
      <c r="E20" s="12">
        <f t="shared" si="3"/>
        <v>-0.13900000000000001</v>
      </c>
      <c r="F20" s="11"/>
    </row>
    <row r="21" spans="1:6">
      <c r="A21" s="89" t="s">
        <v>685</v>
      </c>
      <c r="B21" s="283">
        <v>-0.13200000000000001</v>
      </c>
      <c r="C21" s="12">
        <f t="shared" ref="C21:E21" si="4">B21</f>
        <v>-0.13200000000000001</v>
      </c>
      <c r="D21" s="12">
        <f t="shared" si="4"/>
        <v>-0.13200000000000001</v>
      </c>
      <c r="E21" s="12">
        <f t="shared" si="4"/>
        <v>-0.13200000000000001</v>
      </c>
      <c r="F21" s="11"/>
    </row>
    <row r="22" spans="1:6">
      <c r="A22" s="86"/>
      <c r="B22" s="284">
        <v>0</v>
      </c>
      <c r="C22" s="12">
        <f t="shared" ref="C22:E22" si="5">B22</f>
        <v>0</v>
      </c>
      <c r="D22" s="12">
        <f t="shared" si="5"/>
        <v>0</v>
      </c>
      <c r="E22" s="12">
        <f t="shared" si="5"/>
        <v>0</v>
      </c>
    </row>
    <row r="23" spans="1:6">
      <c r="A23" s="3" t="s">
        <v>686</v>
      </c>
      <c r="B23" s="283">
        <v>-0.05</v>
      </c>
      <c r="C23" s="12">
        <f t="shared" ref="C23:E23" si="6">B23</f>
        <v>-0.05</v>
      </c>
      <c r="D23" s="12">
        <f t="shared" si="6"/>
        <v>-0.05</v>
      </c>
      <c r="E23" s="12">
        <f t="shared" si="6"/>
        <v>-0.05</v>
      </c>
      <c r="F23" s="12"/>
    </row>
    <row r="24" spans="1:6">
      <c r="A24" s="3" t="s">
        <v>689</v>
      </c>
      <c r="B24" s="283">
        <v>-3.5999999999999997E-2</v>
      </c>
      <c r="C24" s="12">
        <f t="shared" ref="C24:E24" si="7">B24</f>
        <v>-3.5999999999999997E-2</v>
      </c>
      <c r="D24" s="12">
        <f t="shared" si="7"/>
        <v>-3.5999999999999997E-2</v>
      </c>
      <c r="E24" s="12">
        <f t="shared" si="7"/>
        <v>-3.5999999999999997E-2</v>
      </c>
      <c r="F24" s="12"/>
    </row>
    <row r="25" spans="1:6">
      <c r="A25" s="3" t="s">
        <v>690</v>
      </c>
      <c r="B25" s="283">
        <v>-0.16900000000000001</v>
      </c>
      <c r="C25" s="12">
        <f t="shared" ref="C25:E25" si="8">B25</f>
        <v>-0.16900000000000001</v>
      </c>
      <c r="D25" s="12">
        <f t="shared" si="8"/>
        <v>-0.16900000000000001</v>
      </c>
      <c r="E25" s="12">
        <f t="shared" si="8"/>
        <v>-0.16900000000000001</v>
      </c>
      <c r="F25" s="12"/>
    </row>
    <row r="26" spans="1:6">
      <c r="A26" s="3" t="s">
        <v>691</v>
      </c>
      <c r="B26" s="283">
        <v>-0.04</v>
      </c>
      <c r="C26" s="12">
        <f t="shared" ref="C26:E26" si="9">B26</f>
        <v>-0.04</v>
      </c>
      <c r="D26" s="12">
        <f t="shared" si="9"/>
        <v>-0.04</v>
      </c>
      <c r="E26" s="12">
        <f t="shared" si="9"/>
        <v>-0.04</v>
      </c>
      <c r="F26" s="12"/>
    </row>
    <row r="27" spans="1:6">
      <c r="A27" s="3" t="s">
        <v>692</v>
      </c>
      <c r="B27" s="283">
        <v>-6.8000000000000005E-2</v>
      </c>
      <c r="C27" s="12">
        <f t="shared" ref="C27:E27" si="10">B27</f>
        <v>-6.8000000000000005E-2</v>
      </c>
      <c r="D27" s="12">
        <f t="shared" si="10"/>
        <v>-6.8000000000000005E-2</v>
      </c>
      <c r="E27" s="12">
        <f t="shared" si="10"/>
        <v>-6.8000000000000005E-2</v>
      </c>
      <c r="F27" s="12"/>
    </row>
    <row r="28" spans="1:6">
      <c r="A28" s="3"/>
      <c r="B28" s="283">
        <v>0</v>
      </c>
      <c r="C28" s="12">
        <f t="shared" ref="C28:E28" si="11">B28</f>
        <v>0</v>
      </c>
      <c r="D28" s="12">
        <f t="shared" si="11"/>
        <v>0</v>
      </c>
      <c r="E28" s="12">
        <f t="shared" si="11"/>
        <v>0</v>
      </c>
      <c r="F28" s="12"/>
    </row>
    <row r="29" spans="1:6">
      <c r="A29" s="3" t="s">
        <v>701</v>
      </c>
      <c r="B29" s="283">
        <v>-0.32500000000000001</v>
      </c>
      <c r="C29" s="12">
        <f t="shared" ref="C29:E29" si="12">B29</f>
        <v>-0.32500000000000001</v>
      </c>
      <c r="D29" s="12">
        <f t="shared" si="12"/>
        <v>-0.32500000000000001</v>
      </c>
      <c r="E29" s="12">
        <f t="shared" si="12"/>
        <v>-0.32500000000000001</v>
      </c>
      <c r="F29" s="11"/>
    </row>
    <row r="30" spans="1:6">
      <c r="A30" s="3" t="s">
        <v>702</v>
      </c>
      <c r="B30" s="283">
        <v>-0.84299999999999997</v>
      </c>
      <c r="C30" s="12">
        <f t="shared" ref="C30:E30" si="13">B30</f>
        <v>-0.84299999999999997</v>
      </c>
      <c r="D30" s="12">
        <f t="shared" si="13"/>
        <v>-0.84299999999999997</v>
      </c>
      <c r="E30" s="12">
        <f t="shared" si="13"/>
        <v>-0.84299999999999997</v>
      </c>
      <c r="F30" s="11"/>
    </row>
    <row r="31" spans="1:6">
      <c r="A31" s="3" t="s">
        <v>703</v>
      </c>
      <c r="B31" s="283">
        <v>-0.27600000000000002</v>
      </c>
      <c r="C31" s="12">
        <f t="shared" ref="C31:E31" si="14">B31</f>
        <v>-0.27600000000000002</v>
      </c>
      <c r="D31" s="12">
        <f t="shared" si="14"/>
        <v>-0.27600000000000002</v>
      </c>
      <c r="E31" s="12">
        <f t="shared" si="14"/>
        <v>-0.27600000000000002</v>
      </c>
      <c r="F31" s="11"/>
    </row>
    <row r="32" spans="1:6">
      <c r="A32" s="3" t="s">
        <v>704</v>
      </c>
      <c r="B32" s="283">
        <v>-0.74299999999999999</v>
      </c>
      <c r="C32" s="12">
        <f t="shared" ref="C32:E32" si="15">B32</f>
        <v>-0.74299999999999999</v>
      </c>
      <c r="D32" s="12">
        <f t="shared" si="15"/>
        <v>-0.74299999999999999</v>
      </c>
      <c r="E32" s="12">
        <f t="shared" si="15"/>
        <v>-0.74299999999999999</v>
      </c>
      <c r="F32" s="11"/>
    </row>
    <row r="33" spans="1:6">
      <c r="A33" s="3" t="s">
        <v>705</v>
      </c>
      <c r="B33" s="283">
        <v>-0.48899999999999999</v>
      </c>
      <c r="C33" s="12">
        <f t="shared" ref="C33:E33" si="16">B33</f>
        <v>-0.48899999999999999</v>
      </c>
      <c r="D33" s="12">
        <f t="shared" si="16"/>
        <v>-0.48899999999999999</v>
      </c>
      <c r="E33" s="12">
        <f t="shared" si="16"/>
        <v>-0.48899999999999999</v>
      </c>
      <c r="F33" s="11"/>
    </row>
    <row r="34" spans="1:6">
      <c r="A34" s="251" t="s">
        <v>70</v>
      </c>
      <c r="B34" s="285">
        <v>-0.223</v>
      </c>
      <c r="C34" s="12">
        <f t="shared" ref="C34:E34" si="17">B34</f>
        <v>-0.223</v>
      </c>
      <c r="D34" s="12">
        <f t="shared" si="17"/>
        <v>-0.223</v>
      </c>
      <c r="E34" s="12">
        <f t="shared" si="17"/>
        <v>-0.223</v>
      </c>
      <c r="F34" s="11" t="s">
        <v>727</v>
      </c>
    </row>
    <row r="35" spans="1:6">
      <c r="A35" s="3"/>
      <c r="B35" s="292">
        <v>0</v>
      </c>
      <c r="C35" s="12">
        <f t="shared" ref="C35:E35" si="18">B35</f>
        <v>0</v>
      </c>
      <c r="D35" s="12">
        <f t="shared" si="18"/>
        <v>0</v>
      </c>
      <c r="E35" s="12">
        <f t="shared" si="18"/>
        <v>0</v>
      </c>
      <c r="F35" s="11"/>
    </row>
    <row r="36" spans="1:6">
      <c r="A36" s="10"/>
      <c r="B36" s="286">
        <v>0</v>
      </c>
      <c r="C36" s="12">
        <f t="shared" ref="C36:E36" si="19">B36</f>
        <v>0</v>
      </c>
      <c r="D36" s="12">
        <f t="shared" si="19"/>
        <v>0</v>
      </c>
      <c r="E36" s="12">
        <f t="shared" si="19"/>
        <v>0</v>
      </c>
    </row>
    <row r="37" spans="1:6">
      <c r="A37" s="3" t="s">
        <v>710</v>
      </c>
      <c r="B37" s="283">
        <v>-8.0000000000000002E-3</v>
      </c>
      <c r="C37" s="12">
        <f t="shared" ref="C37:E37" si="20">B37</f>
        <v>-8.0000000000000002E-3</v>
      </c>
      <c r="D37" s="12">
        <f t="shared" si="20"/>
        <v>-8.0000000000000002E-3</v>
      </c>
      <c r="E37" s="12">
        <f t="shared" si="20"/>
        <v>-8.0000000000000002E-3</v>
      </c>
      <c r="F37" s="12"/>
    </row>
    <row r="38" spans="1:6">
      <c r="A38" s="3" t="s">
        <v>706</v>
      </c>
      <c r="B38" s="283">
        <v>-8.0000000000000002E-3</v>
      </c>
      <c r="C38" s="12">
        <f t="shared" ref="C38:E38" si="21">B38</f>
        <v>-8.0000000000000002E-3</v>
      </c>
      <c r="D38" s="12">
        <f t="shared" si="21"/>
        <v>-8.0000000000000002E-3</v>
      </c>
      <c r="E38" s="12">
        <f t="shared" si="21"/>
        <v>-8.0000000000000002E-3</v>
      </c>
      <c r="F38" s="12"/>
    </row>
    <row r="39" spans="1:6">
      <c r="A39" s="3" t="s">
        <v>707</v>
      </c>
      <c r="B39" s="283">
        <v>-3.9E-2</v>
      </c>
      <c r="C39" s="12">
        <f t="shared" ref="C39:E39" si="22">B39</f>
        <v>-3.9E-2</v>
      </c>
      <c r="D39" s="12">
        <f t="shared" si="22"/>
        <v>-3.9E-2</v>
      </c>
      <c r="E39" s="12">
        <f t="shared" si="22"/>
        <v>-3.9E-2</v>
      </c>
      <c r="F39" s="12"/>
    </row>
    <row r="40" spans="1:6" ht="15" customHeight="1">
      <c r="A40" s="3"/>
      <c r="B40" s="283">
        <v>0</v>
      </c>
      <c r="C40" s="12">
        <f t="shared" ref="C40:E40" si="23">B40</f>
        <v>0</v>
      </c>
      <c r="D40" s="12">
        <f t="shared" si="23"/>
        <v>0</v>
      </c>
      <c r="E40" s="12">
        <f t="shared" si="23"/>
        <v>0</v>
      </c>
      <c r="F40" s="12"/>
    </row>
    <row r="41" spans="1:6">
      <c r="A41" s="248" t="s">
        <v>708</v>
      </c>
      <c r="B41" s="287">
        <v>-2.5999999999999999E-2</v>
      </c>
      <c r="C41" s="12">
        <f t="shared" ref="C41:E41" si="24">B41</f>
        <v>-2.5999999999999999E-2</v>
      </c>
      <c r="D41" s="12">
        <f t="shared" si="24"/>
        <v>-2.5999999999999999E-2</v>
      </c>
      <c r="E41" s="12">
        <f t="shared" si="24"/>
        <v>-2.5999999999999999E-2</v>
      </c>
      <c r="F41" s="247" t="s">
        <v>693</v>
      </c>
    </row>
    <row r="42" spans="1:6">
      <c r="A42" s="248" t="s">
        <v>709</v>
      </c>
      <c r="B42" s="287">
        <v>-4.9000000000000002E-2</v>
      </c>
      <c r="C42" s="12">
        <f t="shared" ref="C42:E42" si="25">B42</f>
        <v>-4.9000000000000002E-2</v>
      </c>
      <c r="D42" s="12">
        <f t="shared" si="25"/>
        <v>-4.9000000000000002E-2</v>
      </c>
      <c r="E42" s="12">
        <f t="shared" si="25"/>
        <v>-4.9000000000000002E-2</v>
      </c>
      <c r="F42" s="12"/>
    </row>
    <row r="43" spans="1:6">
      <c r="A43" s="248" t="s">
        <v>711</v>
      </c>
      <c r="B43" s="287">
        <v>-3.5999999999999997E-2</v>
      </c>
      <c r="C43" s="12">
        <f t="shared" ref="C43:E43" si="26">B43</f>
        <v>-3.5999999999999997E-2</v>
      </c>
      <c r="D43" s="12">
        <f t="shared" si="26"/>
        <v>-3.5999999999999997E-2</v>
      </c>
      <c r="E43" s="12">
        <f t="shared" si="26"/>
        <v>-3.5999999999999997E-2</v>
      </c>
      <c r="F43" s="12"/>
    </row>
    <row r="44" spans="1:6">
      <c r="A44" s="248" t="s">
        <v>712</v>
      </c>
      <c r="B44" s="287">
        <v>-0.02</v>
      </c>
      <c r="C44" s="12">
        <f t="shared" ref="C44:E44" si="27">B44</f>
        <v>-0.02</v>
      </c>
      <c r="D44" s="12">
        <f t="shared" si="27"/>
        <v>-0.02</v>
      </c>
      <c r="E44" s="12">
        <f t="shared" si="27"/>
        <v>-0.02</v>
      </c>
      <c r="F44" s="12"/>
    </row>
    <row r="45" spans="1:6">
      <c r="A45" s="248" t="s">
        <v>713</v>
      </c>
      <c r="B45" s="287">
        <v>-3.5000000000000003E-2</v>
      </c>
      <c r="C45" s="12">
        <f t="shared" ref="C45:E45" si="28">B45</f>
        <v>-3.5000000000000003E-2</v>
      </c>
      <c r="D45" s="12">
        <f t="shared" si="28"/>
        <v>-3.5000000000000003E-2</v>
      </c>
      <c r="E45" s="12">
        <f t="shared" si="28"/>
        <v>-3.5000000000000003E-2</v>
      </c>
      <c r="F45" s="12"/>
    </row>
    <row r="46" spans="1:6">
      <c r="A46" s="248" t="s">
        <v>714</v>
      </c>
      <c r="B46" s="287">
        <v>-2.4E-2</v>
      </c>
      <c r="C46" s="12">
        <f t="shared" ref="C46:E46" si="29">B46</f>
        <v>-2.4E-2</v>
      </c>
      <c r="D46" s="12">
        <f t="shared" si="29"/>
        <v>-2.4E-2</v>
      </c>
      <c r="E46" s="12">
        <f t="shared" si="29"/>
        <v>-2.4E-2</v>
      </c>
      <c r="F46" s="12"/>
    </row>
    <row r="47" spans="1:6">
      <c r="A47" s="3"/>
      <c r="B47" s="283">
        <v>0</v>
      </c>
      <c r="C47" s="12">
        <f t="shared" ref="C47:E47" si="30">B47</f>
        <v>0</v>
      </c>
      <c r="D47" s="12">
        <f t="shared" si="30"/>
        <v>0</v>
      </c>
      <c r="E47" s="12">
        <f t="shared" si="30"/>
        <v>0</v>
      </c>
      <c r="F47" s="12"/>
    </row>
    <row r="48" spans="1:6">
      <c r="B48" s="288">
        <v>0</v>
      </c>
      <c r="C48" s="12">
        <f t="shared" ref="C48:E48" si="31">B48</f>
        <v>0</v>
      </c>
      <c r="D48" s="12">
        <f t="shared" si="31"/>
        <v>0</v>
      </c>
      <c r="E48" s="12">
        <f t="shared" si="31"/>
        <v>0</v>
      </c>
    </row>
    <row r="49" spans="1:11">
      <c r="A49" s="91" t="s">
        <v>716</v>
      </c>
      <c r="B49" s="289">
        <v>-2.2599999999999998</v>
      </c>
      <c r="C49" s="12">
        <f t="shared" ref="C49:E49" si="32">B49</f>
        <v>-2.2599999999999998</v>
      </c>
      <c r="D49" s="12">
        <f t="shared" si="32"/>
        <v>-2.2599999999999998</v>
      </c>
      <c r="E49" s="12">
        <f t="shared" si="32"/>
        <v>-2.2599999999999998</v>
      </c>
      <c r="F49" s="12"/>
    </row>
    <row r="50" spans="1:11">
      <c r="A50" s="91" t="s">
        <v>717</v>
      </c>
      <c r="B50" s="289">
        <v>-1.21</v>
      </c>
      <c r="C50" s="12">
        <f t="shared" ref="C50:E50" si="33">B50</f>
        <v>-1.21</v>
      </c>
      <c r="D50" s="12">
        <f t="shared" si="33"/>
        <v>-1.21</v>
      </c>
      <c r="E50" s="12">
        <f t="shared" si="33"/>
        <v>-1.21</v>
      </c>
      <c r="F50" s="12"/>
    </row>
    <row r="51" spans="1:11">
      <c r="A51" s="91" t="s">
        <v>718</v>
      </c>
      <c r="B51" s="289">
        <v>-1.7350000000000001</v>
      </c>
      <c r="C51" s="12">
        <f t="shared" ref="C51:E51" si="34">B51</f>
        <v>-1.7350000000000001</v>
      </c>
      <c r="D51" s="12">
        <f t="shared" si="34"/>
        <v>-1.7350000000000001</v>
      </c>
      <c r="E51" s="12">
        <f t="shared" si="34"/>
        <v>-1.7350000000000001</v>
      </c>
      <c r="F51" s="12"/>
    </row>
    <row r="52" spans="1:11">
      <c r="A52" s="91" t="s">
        <v>719</v>
      </c>
      <c r="B52" s="289">
        <v>0</v>
      </c>
      <c r="C52" s="12">
        <f t="shared" ref="C52:E52" si="35">B52</f>
        <v>0</v>
      </c>
      <c r="D52" s="12">
        <f t="shared" si="35"/>
        <v>0</v>
      </c>
      <c r="E52" s="12">
        <f t="shared" si="35"/>
        <v>0</v>
      </c>
      <c r="F52" s="12"/>
    </row>
    <row r="53" spans="1:11">
      <c r="A53" s="252" t="s">
        <v>720</v>
      </c>
      <c r="B53" s="290">
        <v>0</v>
      </c>
      <c r="C53" s="12">
        <f t="shared" ref="C53:E53" si="36">B53</f>
        <v>0</v>
      </c>
      <c r="D53" s="12">
        <f t="shared" si="36"/>
        <v>0</v>
      </c>
      <c r="E53" s="12">
        <f t="shared" si="36"/>
        <v>0</v>
      </c>
      <c r="F53" s="12"/>
    </row>
    <row r="54" spans="1:11">
      <c r="B54" s="288">
        <v>0</v>
      </c>
      <c r="C54" s="12">
        <f t="shared" ref="C54:E54" si="37">B54</f>
        <v>0</v>
      </c>
      <c r="D54" s="12">
        <f t="shared" si="37"/>
        <v>0</v>
      </c>
      <c r="E54" s="12">
        <f t="shared" si="37"/>
        <v>0</v>
      </c>
    </row>
    <row r="55" spans="1:11">
      <c r="A55" s="10"/>
      <c r="B55" s="286">
        <v>0</v>
      </c>
      <c r="C55" s="12">
        <f t="shared" ref="C55:E55" si="38">B55</f>
        <v>0</v>
      </c>
      <c r="D55" s="12">
        <f t="shared" si="38"/>
        <v>0</v>
      </c>
      <c r="E55" s="12">
        <f t="shared" si="38"/>
        <v>0</v>
      </c>
    </row>
    <row r="56" spans="1:11">
      <c r="A56" s="91" t="s">
        <v>721</v>
      </c>
      <c r="B56" s="291">
        <v>-4.8999999999999998E-4</v>
      </c>
      <c r="C56" s="12">
        <f t="shared" ref="C56:E56" si="39">B56</f>
        <v>-4.8999999999999998E-4</v>
      </c>
      <c r="D56" s="12">
        <f t="shared" si="39"/>
        <v>-4.8999999999999998E-4</v>
      </c>
      <c r="E56" s="12">
        <f t="shared" si="39"/>
        <v>-4.8999999999999998E-4</v>
      </c>
      <c r="F56" s="12"/>
    </row>
    <row r="57" spans="1:11">
      <c r="A57" s="91" t="s">
        <v>722</v>
      </c>
      <c r="B57" s="291">
        <v>4.4000000000000003E-3</v>
      </c>
      <c r="C57" s="12">
        <f t="shared" ref="C57:E57" si="40">B57</f>
        <v>4.4000000000000003E-3</v>
      </c>
      <c r="D57" s="12">
        <f t="shared" si="40"/>
        <v>4.4000000000000003E-3</v>
      </c>
      <c r="E57" s="12">
        <f t="shared" si="40"/>
        <v>4.4000000000000003E-3</v>
      </c>
      <c r="F57" s="12"/>
    </row>
    <row r="58" spans="1:11">
      <c r="A58" s="91" t="s">
        <v>723</v>
      </c>
      <c r="B58" s="291">
        <v>3.2000000000000002E-3</v>
      </c>
      <c r="C58" s="12">
        <f t="shared" ref="C58:E58" si="41">B58</f>
        <v>3.2000000000000002E-3</v>
      </c>
      <c r="D58" s="12">
        <f t="shared" si="41"/>
        <v>3.2000000000000002E-3</v>
      </c>
      <c r="E58" s="12">
        <f t="shared" si="41"/>
        <v>3.2000000000000002E-3</v>
      </c>
      <c r="F58" s="12"/>
    </row>
    <row r="59" spans="1:11">
      <c r="A59" s="91" t="s">
        <v>724</v>
      </c>
      <c r="B59" s="291">
        <v>-4.1700000000000001E-3</v>
      </c>
      <c r="C59" s="12">
        <f t="shared" ref="C59:E59" si="42">B59</f>
        <v>-4.1700000000000001E-3</v>
      </c>
      <c r="D59" s="12">
        <f t="shared" si="42"/>
        <v>-4.1700000000000001E-3</v>
      </c>
      <c r="E59" s="12">
        <f t="shared" si="42"/>
        <v>-4.1700000000000001E-3</v>
      </c>
      <c r="F59" s="11"/>
    </row>
    <row r="60" spans="1:11">
      <c r="A60" s="252" t="s">
        <v>725</v>
      </c>
      <c r="B60" s="291">
        <v>0</v>
      </c>
      <c r="C60" s="12">
        <f t="shared" ref="C60:E60" si="43">B60</f>
        <v>0</v>
      </c>
      <c r="D60" s="12">
        <f t="shared" si="43"/>
        <v>0</v>
      </c>
      <c r="E60" s="12">
        <f t="shared" si="43"/>
        <v>0</v>
      </c>
      <c r="F60" s="11"/>
    </row>
    <row r="61" spans="1:11" ht="16" thickBot="1">
      <c r="A61" s="178"/>
      <c r="B61" s="178"/>
      <c r="C61" s="178"/>
      <c r="D61" s="178"/>
      <c r="E61" s="178"/>
      <c r="F61" s="178"/>
    </row>
    <row r="62" spans="1:11">
      <c r="J62" s="35"/>
    </row>
    <row r="63" spans="1:11">
      <c r="A63" s="65"/>
    </row>
    <row r="64" spans="1:11">
      <c r="A64" s="65"/>
      <c r="B64" s="65"/>
      <c r="C64" s="65"/>
      <c r="D64" s="65"/>
      <c r="E64" s="65"/>
      <c r="F64" s="65"/>
      <c r="K64" s="65"/>
    </row>
    <row r="65" spans="1:11">
      <c r="A65" s="65"/>
      <c r="B65" s="65"/>
      <c r="C65" s="65"/>
      <c r="D65" s="65"/>
      <c r="E65" s="65"/>
      <c r="F65" s="65"/>
      <c r="K65" s="65"/>
    </row>
    <row r="66" spans="1:11">
      <c r="A66" s="177"/>
      <c r="B66" s="177"/>
      <c r="C66" s="177"/>
      <c r="D66" s="177"/>
      <c r="E66" s="177"/>
      <c r="F66" s="177"/>
      <c r="K66" s="65"/>
    </row>
    <row r="67" spans="1:11">
      <c r="A67" s="177"/>
      <c r="B67" s="177"/>
      <c r="C67" s="177"/>
      <c r="D67" s="177"/>
      <c r="E67" s="177"/>
      <c r="F67" s="177"/>
      <c r="K67" s="65"/>
    </row>
    <row r="68" spans="1:11">
      <c r="A68" s="65"/>
      <c r="B68" s="65"/>
      <c r="C68" s="65"/>
      <c r="D68" s="65"/>
      <c r="E68" s="65"/>
      <c r="F68" s="65"/>
      <c r="K68" s="65"/>
    </row>
    <row r="69" spans="1:11">
      <c r="A69" s="65"/>
      <c r="B69" s="65"/>
      <c r="C69" s="65"/>
      <c r="D69" s="65"/>
      <c r="E69" s="65"/>
      <c r="F69" s="65"/>
    </row>
    <row r="70" spans="1:11">
      <c r="A70" s="177"/>
      <c r="B70" s="177"/>
      <c r="C70" s="177"/>
      <c r="D70" s="177"/>
      <c r="E70" s="177"/>
      <c r="F70" s="177"/>
    </row>
    <row r="71" spans="1:11">
      <c r="K71" s="65"/>
    </row>
    <row r="72" spans="1:11">
      <c r="K72" s="65"/>
    </row>
    <row r="73" spans="1:11">
      <c r="K73" s="65"/>
    </row>
    <row r="74" spans="1:11">
      <c r="K74" s="65"/>
    </row>
    <row r="76" spans="1:11">
      <c r="A76" s="179"/>
    </row>
    <row r="77" spans="1:11">
      <c r="K77" s="65"/>
    </row>
    <row r="78" spans="1:11">
      <c r="B78" s="180"/>
      <c r="C78" s="6"/>
      <c r="D78" s="6"/>
      <c r="E78" s="6"/>
      <c r="F78" s="181"/>
      <c r="K78" s="65"/>
    </row>
    <row r="79" spans="1:11">
      <c r="B79" s="182"/>
      <c r="F79" s="161"/>
      <c r="K79" s="65"/>
    </row>
    <row r="80" spans="1:11">
      <c r="B80" s="182"/>
      <c r="F80" s="161"/>
      <c r="K80" s="65"/>
    </row>
    <row r="81" spans="1:6">
      <c r="B81" s="182"/>
      <c r="D81" s="183"/>
      <c r="E81" s="183"/>
      <c r="F81" s="184"/>
    </row>
    <row r="82" spans="1:6">
      <c r="B82" s="182"/>
      <c r="C82" s="183"/>
      <c r="D82" s="183"/>
      <c r="E82" s="183"/>
      <c r="F82" s="184"/>
    </row>
    <row r="83" spans="1:6">
      <c r="B83" s="186"/>
      <c r="C83" s="10"/>
      <c r="D83" s="10"/>
      <c r="E83" s="10"/>
      <c r="F83" s="160"/>
    </row>
    <row r="85" spans="1:6">
      <c r="A85" s="179"/>
    </row>
    <row r="87" spans="1:6">
      <c r="B87" s="180"/>
      <c r="C87" s="6"/>
      <c r="D87" s="6"/>
      <c r="E87" s="6"/>
      <c r="F87" s="181"/>
    </row>
    <row r="88" spans="1:6">
      <c r="B88" s="182"/>
      <c r="F88" s="161"/>
    </row>
    <row r="89" spans="1:6">
      <c r="B89" s="182"/>
      <c r="F89" s="161"/>
    </row>
    <row r="90" spans="1:6">
      <c r="B90" s="182"/>
      <c r="C90" s="183"/>
      <c r="D90" s="183"/>
      <c r="E90" s="183"/>
      <c r="F90" s="184"/>
    </row>
    <row r="91" spans="1:6">
      <c r="B91" s="182"/>
      <c r="C91" s="183"/>
      <c r="D91" s="183"/>
      <c r="E91" s="183"/>
      <c r="F91" s="184"/>
    </row>
    <row r="92" spans="1:6">
      <c r="B92" s="186"/>
      <c r="C92" s="10"/>
      <c r="D92" s="10"/>
      <c r="E92" s="10"/>
      <c r="F92" s="160"/>
    </row>
    <row r="94" spans="1:6">
      <c r="A94" s="179"/>
    </row>
    <row r="96" spans="1:6">
      <c r="B96" s="180"/>
      <c r="C96" s="6"/>
      <c r="D96" s="6"/>
      <c r="E96" s="6"/>
      <c r="F96" s="181"/>
    </row>
    <row r="97" spans="1:6">
      <c r="B97" s="182"/>
      <c r="F97" s="161"/>
    </row>
    <row r="98" spans="1:6">
      <c r="B98" s="182"/>
      <c r="F98" s="161"/>
    </row>
    <row r="99" spans="1:6">
      <c r="B99" s="185"/>
      <c r="C99" s="183"/>
      <c r="F99" s="161"/>
    </row>
    <row r="100" spans="1:6">
      <c r="B100" s="182"/>
      <c r="F100" s="161"/>
    </row>
    <row r="101" spans="1:6">
      <c r="B101" s="186"/>
      <c r="C101" s="10"/>
      <c r="D101" s="10"/>
      <c r="E101" s="10"/>
      <c r="F101" s="160"/>
    </row>
    <row r="103" spans="1:6">
      <c r="A103" s="179"/>
    </row>
    <row r="105" spans="1:6">
      <c r="B105" s="180"/>
      <c r="C105" s="6"/>
      <c r="D105" s="6"/>
      <c r="E105" s="6"/>
      <c r="F105" s="181"/>
    </row>
    <row r="106" spans="1:6">
      <c r="B106" s="182"/>
      <c r="F106" s="161"/>
    </row>
    <row r="107" spans="1:6">
      <c r="B107" s="182"/>
      <c r="F107" s="161"/>
    </row>
    <row r="108" spans="1:6">
      <c r="B108" s="182"/>
      <c r="F108" s="161"/>
    </row>
    <row r="109" spans="1:6">
      <c r="B109" s="182"/>
      <c r="F109" s="161"/>
    </row>
    <row r="110" spans="1:6">
      <c r="B110" s="186"/>
      <c r="C110" s="10"/>
      <c r="D110" s="10"/>
      <c r="E110" s="10"/>
      <c r="F110" s="160"/>
    </row>
    <row r="128" spans="1:6">
      <c r="A128" s="3"/>
      <c r="B128" s="3"/>
      <c r="C128" s="3"/>
      <c r="D128" s="3"/>
      <c r="E128" s="3"/>
      <c r="F128" s="3"/>
    </row>
    <row r="129" spans="1:27">
      <c r="A129" s="90"/>
      <c r="B129" s="90"/>
      <c r="C129" s="90"/>
      <c r="D129" s="90"/>
      <c r="E129" s="90"/>
      <c r="F129" s="64"/>
      <c r="I129" s="90"/>
      <c r="J129" s="90"/>
      <c r="K129" s="90"/>
      <c r="N129" s="90"/>
      <c r="O129" s="90"/>
      <c r="P129" s="90"/>
      <c r="R129" s="131"/>
      <c r="S129" s="131"/>
      <c r="T129" s="131"/>
      <c r="U129" s="135"/>
    </row>
    <row r="130" spans="1:27">
      <c r="A130" s="3"/>
      <c r="B130" s="3"/>
      <c r="I130" s="3"/>
      <c r="J130" s="3"/>
      <c r="K130" s="3"/>
      <c r="N130" s="3"/>
      <c r="O130" s="3"/>
      <c r="P130" s="3"/>
      <c r="R130" s="132"/>
      <c r="S130" s="132"/>
    </row>
    <row r="131" spans="1:27">
      <c r="A131" s="3"/>
      <c r="B131" s="3"/>
      <c r="I131" s="3"/>
      <c r="J131" s="3"/>
      <c r="K131" s="3"/>
      <c r="N131" s="3"/>
      <c r="O131" s="3"/>
      <c r="P131" s="3"/>
      <c r="R131" s="132"/>
      <c r="S131" s="132"/>
      <c r="X131" s="133"/>
      <c r="Y131" s="133"/>
      <c r="Z131" s="133"/>
      <c r="AA131" s="133"/>
    </row>
    <row r="132" spans="1:27">
      <c r="A132" s="3"/>
      <c r="B132" s="3"/>
      <c r="I132" s="3"/>
      <c r="J132" s="3"/>
      <c r="K132" s="3"/>
      <c r="N132" s="3"/>
      <c r="O132" s="3"/>
      <c r="P132" s="3"/>
      <c r="R132" s="132"/>
      <c r="S132" s="132"/>
      <c r="X132" s="133"/>
      <c r="Y132" s="133"/>
      <c r="Z132" s="133"/>
      <c r="AA132" s="133"/>
    </row>
    <row r="133" spans="1:27">
      <c r="A133" s="89"/>
      <c r="B133" s="89"/>
      <c r="I133" s="3"/>
      <c r="J133" s="89"/>
      <c r="K133" s="89"/>
      <c r="N133" s="3"/>
      <c r="O133" s="3"/>
      <c r="P133" s="3"/>
      <c r="R133" s="134"/>
      <c r="S133" s="134"/>
      <c r="X133" s="133"/>
      <c r="Y133" s="133"/>
      <c r="Z133" s="133"/>
      <c r="AA133" s="133"/>
    </row>
    <row r="134" spans="1:27">
      <c r="A134" s="3"/>
      <c r="B134" s="3"/>
      <c r="I134" s="3"/>
      <c r="J134" s="3"/>
      <c r="K134" s="3"/>
      <c r="N134" s="3"/>
      <c r="O134" s="3"/>
      <c r="P134" s="3"/>
      <c r="R134" s="132"/>
      <c r="S134" s="132"/>
      <c r="X134" s="133"/>
      <c r="Y134" s="133"/>
      <c r="Z134" s="133"/>
      <c r="AA134" s="133"/>
    </row>
    <row r="135" spans="1:27">
      <c r="A135" s="3"/>
      <c r="B135" s="3"/>
      <c r="I135" s="3"/>
      <c r="J135" s="3"/>
      <c r="K135" s="3"/>
      <c r="N135" s="3"/>
      <c r="O135" s="3"/>
      <c r="P135" s="3"/>
      <c r="R135" s="132"/>
      <c r="S135" s="132"/>
      <c r="X135" s="133"/>
      <c r="Y135" s="133"/>
      <c r="Z135" s="133"/>
      <c r="AA135" s="133"/>
    </row>
    <row r="136" spans="1:27">
      <c r="A136" s="3"/>
      <c r="B136" s="3"/>
      <c r="I136" s="3"/>
      <c r="J136" s="3"/>
      <c r="K136" s="3"/>
      <c r="N136" s="3"/>
      <c r="O136" s="3"/>
      <c r="P136" s="3"/>
      <c r="R136" s="132"/>
      <c r="S136" s="132"/>
    </row>
    <row r="137" spans="1:27">
      <c r="A137" s="89"/>
      <c r="B137" s="89"/>
      <c r="I137" s="3"/>
      <c r="J137" s="89"/>
      <c r="K137" s="89"/>
      <c r="N137" s="3"/>
      <c r="O137" s="3"/>
      <c r="P137" s="3"/>
      <c r="R137" s="134"/>
      <c r="S137" s="134"/>
    </row>
    <row r="138" spans="1:27">
      <c r="A138" s="3"/>
      <c r="B138" s="3"/>
      <c r="I138" s="3"/>
      <c r="J138" s="3"/>
      <c r="K138" s="3"/>
      <c r="N138" s="3"/>
      <c r="O138" s="3"/>
      <c r="P138" s="3"/>
      <c r="R138" s="132"/>
      <c r="S138" s="132"/>
    </row>
    <row r="139" spans="1:27">
      <c r="A139" s="3"/>
      <c r="B139" s="3"/>
      <c r="I139" s="3"/>
      <c r="J139" s="3"/>
      <c r="K139" s="3"/>
      <c r="N139" s="3"/>
      <c r="O139" s="3"/>
      <c r="P139" s="3"/>
      <c r="R139" s="132"/>
      <c r="S139" s="132"/>
      <c r="W139" s="132"/>
    </row>
    <row r="140" spans="1:27">
      <c r="A140" s="3"/>
      <c r="B140" s="3"/>
      <c r="I140" s="3"/>
      <c r="J140" s="3"/>
      <c r="K140" s="3"/>
      <c r="N140" s="3"/>
      <c r="O140" s="3"/>
      <c r="P140" s="3"/>
      <c r="R140" s="132"/>
      <c r="S140" s="132"/>
      <c r="W140" s="132"/>
    </row>
    <row r="141" spans="1:27">
      <c r="A141" s="89"/>
      <c r="B141" s="89"/>
      <c r="I141" s="3"/>
      <c r="J141" s="89"/>
      <c r="K141" s="89"/>
      <c r="N141" s="3"/>
      <c r="O141" s="3"/>
      <c r="P141" s="3"/>
      <c r="R141" s="134"/>
      <c r="S141" s="134"/>
      <c r="W141" s="132"/>
    </row>
    <row r="142" spans="1:27">
      <c r="A142" s="3"/>
      <c r="B142" s="3"/>
      <c r="I142" s="3"/>
      <c r="J142" s="3"/>
      <c r="K142" s="3"/>
      <c r="N142" s="3"/>
      <c r="O142" s="3"/>
      <c r="P142" s="3"/>
      <c r="R142" s="132"/>
      <c r="S142" s="132"/>
      <c r="W142" s="134"/>
    </row>
    <row r="143" spans="1:27">
      <c r="A143" s="3"/>
      <c r="B143" s="3"/>
      <c r="I143" s="3"/>
      <c r="J143" s="3"/>
      <c r="K143" s="3"/>
      <c r="N143" s="3"/>
      <c r="O143" s="3"/>
      <c r="P143" s="3"/>
      <c r="R143" s="132"/>
      <c r="S143" s="132"/>
    </row>
    <row r="144" spans="1:27">
      <c r="A144" s="3"/>
      <c r="B144" s="3"/>
      <c r="I144" s="3"/>
      <c r="J144" s="3"/>
      <c r="K144" s="3"/>
      <c r="N144" s="3"/>
      <c r="O144" s="3"/>
      <c r="P144" s="3"/>
      <c r="R144" s="132"/>
      <c r="S144" s="132"/>
    </row>
    <row r="145" spans="1:19">
      <c r="A145" s="89"/>
      <c r="B145" s="89"/>
      <c r="I145" s="3"/>
      <c r="J145" s="89"/>
      <c r="K145" s="89"/>
      <c r="N145" s="3"/>
      <c r="O145" s="3"/>
      <c r="P145" s="3"/>
      <c r="R145" s="134"/>
      <c r="S145" s="134"/>
    </row>
    <row r="146" spans="1:19">
      <c r="A146" s="3"/>
      <c r="B146" s="3"/>
      <c r="I146" s="3"/>
      <c r="J146" s="3"/>
      <c r="K146" s="3"/>
      <c r="N146" s="3"/>
      <c r="O146" s="3"/>
      <c r="P146" s="3"/>
      <c r="R146" s="132"/>
      <c r="S146" s="132"/>
    </row>
    <row r="147" spans="1:19">
      <c r="A147" s="3"/>
      <c r="B147" s="3"/>
      <c r="I147" s="3"/>
      <c r="J147" s="3"/>
      <c r="K147" s="3"/>
      <c r="N147" s="3"/>
      <c r="O147" s="3"/>
      <c r="P147" s="3"/>
      <c r="R147" s="132"/>
      <c r="S147" s="132"/>
    </row>
    <row r="148" spans="1:19">
      <c r="A148" s="3"/>
      <c r="B148" s="3"/>
      <c r="I148" s="3"/>
      <c r="J148" s="3"/>
      <c r="K148" s="3"/>
      <c r="N148" s="3"/>
      <c r="O148" s="3"/>
      <c r="P148" s="3"/>
      <c r="R148" s="132"/>
      <c r="S148" s="132"/>
    </row>
    <row r="149" spans="1:19">
      <c r="A149" s="3"/>
      <c r="B149" s="3"/>
      <c r="I149" s="3"/>
      <c r="J149" s="3"/>
      <c r="K149" s="3"/>
      <c r="N149" s="3"/>
      <c r="O149" s="3"/>
      <c r="P149" s="3"/>
      <c r="R149" s="132"/>
      <c r="S149" s="132"/>
    </row>
  </sheetData>
  <phoneticPr fontId="18"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8E5AE-3D1C-4D3D-AA0B-728C7350E27A}">
  <sheetPr>
    <tabColor theme="4"/>
  </sheetPr>
  <dimension ref="A1:AB173"/>
  <sheetViews>
    <sheetView topLeftCell="A2" zoomScale="70" zoomScaleNormal="70" workbookViewId="0">
      <selection activeCell="F57" sqref="F57"/>
    </sheetView>
  </sheetViews>
  <sheetFormatPr baseColWidth="10" defaultColWidth="8.83203125" defaultRowHeight="15"/>
  <cols>
    <col min="1" max="1" width="39.6640625" customWidth="1"/>
    <col min="2" max="4" width="14.5" bestFit="1" customWidth="1"/>
    <col min="5" max="5" width="15.5" bestFit="1" customWidth="1"/>
    <col min="6" max="6" width="15.5" customWidth="1"/>
    <col min="10" max="10" width="41.83203125" customWidth="1"/>
    <col min="11" max="11" width="18.1640625" customWidth="1"/>
    <col min="18" max="18" width="23.5" customWidth="1"/>
    <col min="23" max="23" width="23.83203125" bestFit="1" customWidth="1"/>
  </cols>
  <sheetData>
    <row r="1" spans="1:20" ht="24">
      <c r="A1" s="140" t="s">
        <v>266</v>
      </c>
      <c r="B1" s="254" t="s">
        <v>715</v>
      </c>
    </row>
    <row r="2" spans="1:20">
      <c r="K2" s="33" t="s">
        <v>98</v>
      </c>
    </row>
    <row r="3" spans="1:20">
      <c r="A3" t="s">
        <v>694</v>
      </c>
      <c r="G3" s="3"/>
    </row>
    <row r="4" spans="1:20">
      <c r="A4" t="s">
        <v>700</v>
      </c>
      <c r="G4" s="3"/>
      <c r="O4" s="10" t="s">
        <v>157</v>
      </c>
    </row>
    <row r="5" spans="1:20" hidden="1">
      <c r="G5" s="3"/>
      <c r="O5" t="s">
        <v>131</v>
      </c>
    </row>
    <row r="6" spans="1:20" hidden="1">
      <c r="A6" t="s">
        <v>695</v>
      </c>
      <c r="G6" s="3"/>
      <c r="O6" s="37" t="s">
        <v>132</v>
      </c>
      <c r="P6" t="s">
        <v>133</v>
      </c>
      <c r="Q6" s="37" t="s">
        <v>134</v>
      </c>
      <c r="R6">
        <v>394</v>
      </c>
      <c r="S6" t="s">
        <v>135</v>
      </c>
    </row>
    <row r="7" spans="1:20">
      <c r="A7" t="s">
        <v>696</v>
      </c>
      <c r="G7" s="3"/>
      <c r="K7" s="106" t="s">
        <v>226</v>
      </c>
      <c r="O7" s="37" t="s">
        <v>136</v>
      </c>
      <c r="P7" s="37" t="s">
        <v>137</v>
      </c>
      <c r="Q7" s="37" t="s">
        <v>138</v>
      </c>
      <c r="S7" t="s">
        <v>139</v>
      </c>
    </row>
    <row r="8" spans="1:20">
      <c r="A8" t="s">
        <v>698</v>
      </c>
      <c r="G8" s="3"/>
      <c r="K8">
        <v>5.1174835003731571</v>
      </c>
    </row>
    <row r="9" spans="1:20">
      <c r="A9" t="s">
        <v>697</v>
      </c>
      <c r="G9" s="3"/>
      <c r="K9">
        <v>13.120486427516372</v>
      </c>
      <c r="O9" t="s">
        <v>140</v>
      </c>
      <c r="P9">
        <v>41</v>
      </c>
      <c r="Q9">
        <v>45</v>
      </c>
      <c r="R9">
        <v>50</v>
      </c>
      <c r="S9">
        <v>72</v>
      </c>
    </row>
    <row r="10" spans="1:20">
      <c r="A10" t="s">
        <v>699</v>
      </c>
      <c r="G10" s="3"/>
      <c r="K10">
        <v>16.665396420944113</v>
      </c>
      <c r="O10" t="s">
        <v>141</v>
      </c>
      <c r="P10" t="s">
        <v>142</v>
      </c>
      <c r="Q10" t="s">
        <v>143</v>
      </c>
      <c r="R10" t="s">
        <v>144</v>
      </c>
      <c r="S10" t="s">
        <v>145</v>
      </c>
    </row>
    <row r="11" spans="1:20">
      <c r="G11" s="3"/>
      <c r="K11">
        <v>41.629123678977379</v>
      </c>
    </row>
    <row r="12" spans="1:20">
      <c r="A12" t="s">
        <v>688</v>
      </c>
      <c r="G12" s="36"/>
      <c r="H12" s="35"/>
      <c r="I12" s="35"/>
      <c r="J12" s="35"/>
      <c r="O12" t="s">
        <v>146</v>
      </c>
      <c r="P12" t="s">
        <v>147</v>
      </c>
      <c r="Q12" t="s">
        <v>144</v>
      </c>
      <c r="R12" t="s">
        <v>148</v>
      </c>
      <c r="S12" t="s">
        <v>149</v>
      </c>
      <c r="T12" t="s">
        <v>150</v>
      </c>
    </row>
    <row r="13" spans="1:20">
      <c r="A13" t="s">
        <v>687</v>
      </c>
      <c r="G13" s="3"/>
      <c r="O13" t="s">
        <v>151</v>
      </c>
      <c r="P13" t="s">
        <v>152</v>
      </c>
      <c r="Q13" t="s">
        <v>153</v>
      </c>
      <c r="R13" t="s">
        <v>154</v>
      </c>
      <c r="S13" t="s">
        <v>155</v>
      </c>
      <c r="T13" t="s">
        <v>156</v>
      </c>
    </row>
    <row r="14" spans="1:20">
      <c r="G14" s="3"/>
    </row>
    <row r="15" spans="1:20">
      <c r="A15" t="s">
        <v>459</v>
      </c>
      <c r="B15">
        <v>1</v>
      </c>
      <c r="C15">
        <v>2</v>
      </c>
      <c r="D15">
        <v>3</v>
      </c>
      <c r="E15">
        <v>4</v>
      </c>
      <c r="F15">
        <v>5</v>
      </c>
      <c r="G15" s="34"/>
      <c r="H15" s="35"/>
      <c r="I15" s="35"/>
      <c r="J15" s="35"/>
    </row>
    <row r="16" spans="1:20">
      <c r="A16" s="10"/>
      <c r="B16" s="10"/>
      <c r="C16" s="10"/>
      <c r="D16" s="10"/>
      <c r="E16" s="10"/>
      <c r="S16" t="s">
        <v>729</v>
      </c>
    </row>
    <row r="17" spans="1:23">
      <c r="A17" s="3" t="s">
        <v>681</v>
      </c>
      <c r="B17" s="12">
        <v>-9.8000000000000004E-2</v>
      </c>
      <c r="C17" s="12">
        <v>-9.8000000000000004E-2</v>
      </c>
      <c r="D17" s="12">
        <v>-9.8000000000000004E-2</v>
      </c>
      <c r="E17" s="12">
        <v>-9.8000000000000004E-2</v>
      </c>
      <c r="F17" s="12"/>
    </row>
    <row r="18" spans="1:23">
      <c r="A18" s="3" t="s">
        <v>682</v>
      </c>
      <c r="B18" s="12">
        <v>-8.7999999999999995E-2</v>
      </c>
      <c r="C18" s="12">
        <v>-8.7999999999999995E-2</v>
      </c>
      <c r="D18" s="12">
        <v>-8.7999999999999995E-2</v>
      </c>
      <c r="E18" s="12">
        <v>-8.7999999999999995E-2</v>
      </c>
      <c r="F18" s="12"/>
    </row>
    <row r="19" spans="1:23">
      <c r="A19" s="3" t="s">
        <v>683</v>
      </c>
      <c r="B19" s="12">
        <v>-0.16</v>
      </c>
      <c r="C19" s="12">
        <v>-0.16</v>
      </c>
      <c r="D19" s="12">
        <v>-0.16</v>
      </c>
      <c r="E19" s="12">
        <v>-0.16</v>
      </c>
      <c r="F19" s="12"/>
    </row>
    <row r="20" spans="1:23">
      <c r="A20" s="3" t="s">
        <v>684</v>
      </c>
      <c r="B20" s="11">
        <v>-0.13900000000000001</v>
      </c>
      <c r="C20" s="11">
        <v>-0.13900000000000001</v>
      </c>
      <c r="D20" s="11">
        <v>-0.13900000000000001</v>
      </c>
      <c r="E20" s="11">
        <v>-0.13900000000000001</v>
      </c>
      <c r="F20" s="11"/>
      <c r="G20" s="102"/>
      <c r="R20" s="5" t="s">
        <v>734</v>
      </c>
      <c r="S20" t="s">
        <v>735</v>
      </c>
      <c r="U20" t="s">
        <v>736</v>
      </c>
    </row>
    <row r="21" spans="1:23">
      <c r="A21" s="89" t="s">
        <v>685</v>
      </c>
      <c r="B21" s="250">
        <v>-0.13200000000000001</v>
      </c>
      <c r="C21" s="250">
        <v>-0.13200000000000001</v>
      </c>
      <c r="D21" s="250">
        <v>-0.13200000000000001</v>
      </c>
      <c r="E21" s="250">
        <v>-0.13200000000000001</v>
      </c>
      <c r="F21" s="11"/>
    </row>
    <row r="22" spans="1:23">
      <c r="A22" s="86"/>
      <c r="B22" s="86"/>
      <c r="C22" s="86"/>
      <c r="D22" s="86"/>
      <c r="E22" s="86"/>
      <c r="K22" t="s">
        <v>674</v>
      </c>
      <c r="L22" t="s">
        <v>675</v>
      </c>
      <c r="S22" t="s">
        <v>731</v>
      </c>
      <c r="T22" t="s">
        <v>732</v>
      </c>
      <c r="W22" t="s">
        <v>733</v>
      </c>
    </row>
    <row r="23" spans="1:23">
      <c r="A23" s="3" t="s">
        <v>686</v>
      </c>
      <c r="B23" s="12">
        <v>-0.05</v>
      </c>
      <c r="C23" s="12">
        <v>-0.05</v>
      </c>
      <c r="D23" s="12">
        <v>-0.05</v>
      </c>
      <c r="E23" s="12">
        <v>-0.05</v>
      </c>
      <c r="F23" s="12"/>
      <c r="I23" t="s">
        <v>100</v>
      </c>
      <c r="J23" t="s">
        <v>107</v>
      </c>
      <c r="K23">
        <f>B23/B29</f>
        <v>0.15384615384615385</v>
      </c>
      <c r="L23">
        <f>K23*60</f>
        <v>9.2307692307692317</v>
      </c>
      <c r="R23" s="3" t="s">
        <v>686</v>
      </c>
      <c r="S23">
        <f>(-0.22+-0.03)/2</f>
        <v>-0.125</v>
      </c>
      <c r="T23">
        <f>(-0.41+-0.09)/2</f>
        <v>-0.25</v>
      </c>
      <c r="W23" s="259">
        <v>-3.3000000000000002E-2</v>
      </c>
    </row>
    <row r="24" spans="1:23">
      <c r="A24" s="3" t="s">
        <v>689</v>
      </c>
      <c r="B24" s="12">
        <v>-3.5999999999999997E-2</v>
      </c>
      <c r="C24" s="12">
        <v>-3.5999999999999997E-2</v>
      </c>
      <c r="D24" s="12">
        <v>-3.5999999999999997E-2</v>
      </c>
      <c r="E24" s="12">
        <v>-3.5999999999999997E-2</v>
      </c>
      <c r="F24" s="12"/>
      <c r="J24" t="s">
        <v>104</v>
      </c>
      <c r="K24">
        <f t="shared" ref="K24:K27" si="0">B24/B30</f>
        <v>4.2704626334519574E-2</v>
      </c>
      <c r="L24">
        <f t="shared" ref="L24:L27" si="1">K24*60</f>
        <v>2.5622775800711746</v>
      </c>
      <c r="R24" s="3" t="s">
        <v>689</v>
      </c>
      <c r="S24">
        <v>-0.37</v>
      </c>
      <c r="T24">
        <v>-0.51</v>
      </c>
      <c r="W24">
        <v>-4.7800000000000002E-2</v>
      </c>
    </row>
    <row r="25" spans="1:23">
      <c r="A25" s="3" t="s">
        <v>690</v>
      </c>
      <c r="B25" s="12">
        <v>-0.16900000000000001</v>
      </c>
      <c r="C25" s="12">
        <v>-0.16900000000000001</v>
      </c>
      <c r="D25" s="12">
        <v>-0.16900000000000001</v>
      </c>
      <c r="E25" s="12">
        <v>-0.16900000000000001</v>
      </c>
      <c r="F25" s="12"/>
      <c r="J25" t="s">
        <v>105</v>
      </c>
      <c r="K25">
        <f>B25/B31</f>
        <v>0.61231884057971009</v>
      </c>
      <c r="L25">
        <f t="shared" si="1"/>
        <v>36.739130434782602</v>
      </c>
      <c r="R25" s="3" t="s">
        <v>690</v>
      </c>
      <c r="S25" t="s">
        <v>730</v>
      </c>
      <c r="T25" t="s">
        <v>730</v>
      </c>
    </row>
    <row r="26" spans="1:23">
      <c r="A26" s="3" t="s">
        <v>691</v>
      </c>
      <c r="B26" s="12">
        <v>-0.04</v>
      </c>
      <c r="C26" s="12">
        <v>-0.04</v>
      </c>
      <c r="D26" s="12">
        <v>-0.04</v>
      </c>
      <c r="E26" s="12">
        <v>-0.04</v>
      </c>
      <c r="F26" s="12"/>
      <c r="J26" t="s">
        <v>106</v>
      </c>
      <c r="K26">
        <f t="shared" si="0"/>
        <v>5.3835800807537013E-2</v>
      </c>
      <c r="L26">
        <f t="shared" si="1"/>
        <v>3.2301480484522207</v>
      </c>
      <c r="R26" s="3" t="s">
        <v>691</v>
      </c>
      <c r="S26">
        <v>-0.13</v>
      </c>
      <c r="T26">
        <v>-0.26</v>
      </c>
      <c r="W26" s="259">
        <v>-8.4099999999999994E-2</v>
      </c>
    </row>
    <row r="27" spans="1:23">
      <c r="A27" s="3" t="s">
        <v>692</v>
      </c>
      <c r="B27" s="12">
        <v>-6.8000000000000005E-2</v>
      </c>
      <c r="C27" s="12">
        <v>-6.8000000000000005E-2</v>
      </c>
      <c r="D27" s="12">
        <v>-6.8000000000000005E-2</v>
      </c>
      <c r="E27" s="12">
        <v>-6.8000000000000005E-2</v>
      </c>
      <c r="F27" s="12"/>
      <c r="J27" t="s">
        <v>673</v>
      </c>
      <c r="K27">
        <f t="shared" si="0"/>
        <v>0.13905930470347649</v>
      </c>
      <c r="L27">
        <f t="shared" si="1"/>
        <v>8.3435582822085905</v>
      </c>
      <c r="R27" s="3" t="s">
        <v>692</v>
      </c>
      <c r="S27">
        <v>-7.0000000000000007E-2</v>
      </c>
      <c r="T27">
        <v>-0.15</v>
      </c>
      <c r="W27" s="259">
        <v>-5.3499999999999999E-2</v>
      </c>
    </row>
    <row r="28" spans="1:23">
      <c r="A28" s="3"/>
      <c r="B28" s="12"/>
      <c r="C28" s="12"/>
      <c r="D28" s="12"/>
      <c r="E28" s="12"/>
      <c r="F28" s="12"/>
      <c r="R28" s="3"/>
    </row>
    <row r="29" spans="1:23">
      <c r="A29" s="3" t="s">
        <v>701</v>
      </c>
      <c r="B29" s="11">
        <v>-0.32500000000000001</v>
      </c>
      <c r="C29" s="11">
        <v>-0.32500000000000001</v>
      </c>
      <c r="D29" s="11">
        <v>-0.32500000000000001</v>
      </c>
      <c r="E29" s="11">
        <v>-0.32500000000000001</v>
      </c>
      <c r="F29" s="11"/>
      <c r="R29" s="3" t="s">
        <v>701</v>
      </c>
      <c r="S29">
        <f>(-0.1+-0.02)/2</f>
        <v>-6.0000000000000005E-2</v>
      </c>
    </row>
    <row r="30" spans="1:23">
      <c r="A30" s="3" t="s">
        <v>702</v>
      </c>
      <c r="B30" s="11">
        <v>-0.84299999999999997</v>
      </c>
      <c r="C30" s="11">
        <v>-0.84299999999999997</v>
      </c>
      <c r="D30" s="11">
        <v>-0.84299999999999997</v>
      </c>
      <c r="E30" s="11">
        <v>-0.84299999999999997</v>
      </c>
      <c r="F30" s="11"/>
      <c r="R30" s="3" t="s">
        <v>702</v>
      </c>
      <c r="S30">
        <v>-0.06</v>
      </c>
    </row>
    <row r="31" spans="1:23">
      <c r="A31" s="3" t="s">
        <v>703</v>
      </c>
      <c r="B31" s="11">
        <v>-0.27600000000000002</v>
      </c>
      <c r="C31" s="11">
        <v>-0.27600000000000002</v>
      </c>
      <c r="D31" s="11">
        <v>-0.27600000000000002</v>
      </c>
      <c r="E31" s="11">
        <v>-0.27600000000000002</v>
      </c>
      <c r="F31" s="11"/>
      <c r="R31" s="3" t="s">
        <v>703</v>
      </c>
      <c r="S31" t="s">
        <v>730</v>
      </c>
    </row>
    <row r="32" spans="1:23">
      <c r="A32" s="3" t="s">
        <v>704</v>
      </c>
      <c r="B32" s="11">
        <v>-0.74299999999999999</v>
      </c>
      <c r="C32" s="11">
        <v>-0.74299999999999999</v>
      </c>
      <c r="D32" s="11">
        <v>-0.74299999999999999</v>
      </c>
      <c r="E32" s="11">
        <v>-0.74299999999999999</v>
      </c>
      <c r="F32" s="11"/>
      <c r="R32" s="3" t="s">
        <v>704</v>
      </c>
      <c r="S32">
        <v>-0.19</v>
      </c>
    </row>
    <row r="33" spans="1:23">
      <c r="A33" s="3" t="s">
        <v>705</v>
      </c>
      <c r="B33" s="11">
        <v>-0.48899999999999999</v>
      </c>
      <c r="C33" s="11">
        <v>-0.48899999999999999</v>
      </c>
      <c r="D33" s="11">
        <v>-0.48899999999999999</v>
      </c>
      <c r="E33" s="11">
        <v>-0.48899999999999999</v>
      </c>
      <c r="F33" s="11"/>
      <c r="R33" s="3" t="s">
        <v>705</v>
      </c>
      <c r="S33">
        <v>-0.13</v>
      </c>
    </row>
    <row r="34" spans="1:23">
      <c r="A34" s="251" t="s">
        <v>70</v>
      </c>
      <c r="B34" s="250">
        <v>-0.223</v>
      </c>
      <c r="C34" s="250">
        <v>-0.223</v>
      </c>
      <c r="D34" s="250">
        <v>-0.223</v>
      </c>
      <c r="E34" s="250">
        <v>-0.223</v>
      </c>
      <c r="F34" s="11" t="s">
        <v>727</v>
      </c>
      <c r="K34" s="5" t="s">
        <v>680</v>
      </c>
      <c r="N34" s="5" t="s">
        <v>679</v>
      </c>
    </row>
    <row r="35" spans="1:23">
      <c r="A35" s="3"/>
      <c r="B35" s="11"/>
      <c r="C35" s="11"/>
      <c r="D35" s="11"/>
      <c r="E35" s="11"/>
      <c r="F35" s="11"/>
      <c r="K35" t="s">
        <v>674</v>
      </c>
      <c r="L35" t="s">
        <v>675</v>
      </c>
      <c r="N35" t="s">
        <v>674</v>
      </c>
      <c r="O35" t="s">
        <v>675</v>
      </c>
    </row>
    <row r="36" spans="1:23">
      <c r="A36" s="10"/>
      <c r="B36" s="10"/>
      <c r="C36" s="10"/>
      <c r="D36" s="10"/>
      <c r="E36" s="10"/>
      <c r="I36" t="s">
        <v>100</v>
      </c>
      <c r="J36" t="s">
        <v>676</v>
      </c>
      <c r="K36" t="e">
        <f>(B41/B52)</f>
        <v>#DIV/0!</v>
      </c>
      <c r="L36" t="e">
        <f>K36*60</f>
        <v>#DIV/0!</v>
      </c>
    </row>
    <row r="37" spans="1:23">
      <c r="A37" s="3" t="s">
        <v>710</v>
      </c>
      <c r="B37" s="12">
        <v>-8.0000000000000002E-3</v>
      </c>
      <c r="C37" s="12">
        <v>-8.0000000000000002E-3</v>
      </c>
      <c r="D37" s="12">
        <v>-8.0000000000000002E-3</v>
      </c>
      <c r="E37" s="12">
        <v>-8.0000000000000002E-3</v>
      </c>
      <c r="F37" s="12"/>
      <c r="J37" t="s">
        <v>677</v>
      </c>
      <c r="K37" t="e">
        <f>(B42/B53)</f>
        <v>#DIV/0!</v>
      </c>
      <c r="L37" t="e">
        <f t="shared" ref="L37:L40" si="2">K37*60</f>
        <v>#DIV/0!</v>
      </c>
      <c r="R37" s="3" t="s">
        <v>710</v>
      </c>
      <c r="S37" t="s">
        <v>730</v>
      </c>
    </row>
    <row r="38" spans="1:23">
      <c r="A38" s="3" t="s">
        <v>706</v>
      </c>
      <c r="B38" s="12">
        <v>-8.0000000000000002E-3</v>
      </c>
      <c r="C38" s="12">
        <v>-8.0000000000000002E-3</v>
      </c>
      <c r="D38" s="12">
        <v>-8.0000000000000002E-3</v>
      </c>
      <c r="E38" s="12">
        <v>-8.0000000000000002E-3</v>
      </c>
      <c r="F38" s="12"/>
      <c r="J38" t="s">
        <v>101</v>
      </c>
      <c r="K38">
        <f>B37/K56</f>
        <v>3.5398230088495575E-2</v>
      </c>
      <c r="L38">
        <f t="shared" si="2"/>
        <v>2.1238938053097343</v>
      </c>
      <c r="N38">
        <f>B37/K49</f>
        <v>3.5398230088495579E-3</v>
      </c>
      <c r="O38">
        <f>N38*60</f>
        <v>0.21238938053097348</v>
      </c>
      <c r="R38" s="3" t="s">
        <v>706</v>
      </c>
      <c r="S38">
        <v>-0.4</v>
      </c>
    </row>
    <row r="39" spans="1:23">
      <c r="A39" s="3" t="s">
        <v>707</v>
      </c>
      <c r="B39" s="12">
        <v>-3.9E-2</v>
      </c>
      <c r="C39" s="12">
        <v>-3.9E-2</v>
      </c>
      <c r="D39" s="12">
        <v>-3.9E-2</v>
      </c>
      <c r="E39" s="12">
        <v>-3.9E-2</v>
      </c>
      <c r="F39" s="12"/>
      <c r="J39" t="s">
        <v>102</v>
      </c>
      <c r="K39">
        <f>B38/K57</f>
        <v>6.6115702479338845E-2</v>
      </c>
      <c r="L39">
        <f t="shared" si="2"/>
        <v>3.9669421487603307</v>
      </c>
      <c r="N39">
        <f t="shared" ref="N39" si="3">B38/K50</f>
        <v>6.611570247933885E-3</v>
      </c>
      <c r="O39">
        <f t="shared" ref="O39:O40" si="4">N39*60</f>
        <v>0.39669421487603312</v>
      </c>
      <c r="R39" s="3" t="s">
        <v>707</v>
      </c>
      <c r="S39">
        <v>-0.35</v>
      </c>
    </row>
    <row r="40" spans="1:23" ht="15" customHeight="1">
      <c r="A40" s="3"/>
      <c r="B40" s="12"/>
      <c r="C40" s="12"/>
      <c r="D40" s="12"/>
      <c r="E40" s="12"/>
      <c r="F40" s="12"/>
      <c r="J40" t="s">
        <v>678</v>
      </c>
      <c r="K40">
        <f>B39/K58</f>
        <v>0.22478386167146977</v>
      </c>
      <c r="L40">
        <f t="shared" si="2"/>
        <v>13.487031700288187</v>
      </c>
      <c r="N40">
        <f>B39/K51</f>
        <v>2.2478386167146973E-2</v>
      </c>
      <c r="O40">
        <f t="shared" si="4"/>
        <v>1.3487031700288183</v>
      </c>
      <c r="R40" s="3"/>
    </row>
    <row r="41" spans="1:23">
      <c r="A41" s="248" t="s">
        <v>708</v>
      </c>
      <c r="B41" s="249">
        <v>-2.5999999999999999E-2</v>
      </c>
      <c r="C41" s="249">
        <v>-2.5999999999999999E-2</v>
      </c>
      <c r="D41" s="249">
        <v>-2.5999999999999999E-2</v>
      </c>
      <c r="E41" s="249">
        <v>-2.5999999999999999E-2</v>
      </c>
      <c r="F41" s="247" t="s">
        <v>693</v>
      </c>
      <c r="R41" s="248" t="s">
        <v>708</v>
      </c>
      <c r="S41">
        <f>(-0.66+-0.24)/2</f>
        <v>-0.45</v>
      </c>
      <c r="W41" s="183">
        <v>-3.1600000000000003E-2</v>
      </c>
    </row>
    <row r="42" spans="1:23">
      <c r="A42" s="248" t="s">
        <v>709</v>
      </c>
      <c r="B42" s="249">
        <v>-4.9000000000000002E-2</v>
      </c>
      <c r="C42" s="249">
        <v>-4.9000000000000002E-2</v>
      </c>
      <c r="D42" s="249">
        <v>-4.9000000000000002E-2</v>
      </c>
      <c r="E42" s="249">
        <v>-4.9000000000000002E-2</v>
      </c>
      <c r="F42" s="12"/>
      <c r="R42" s="248"/>
    </row>
    <row r="43" spans="1:23">
      <c r="A43" s="248" t="s">
        <v>711</v>
      </c>
      <c r="B43" s="249">
        <v>-3.5999999999999997E-2</v>
      </c>
      <c r="C43" s="249">
        <v>-3.5999999999999997E-2</v>
      </c>
      <c r="D43" s="249">
        <v>-3.5999999999999997E-2</v>
      </c>
      <c r="E43" s="249">
        <v>-3.5999999999999997E-2</v>
      </c>
      <c r="F43" s="12"/>
      <c r="R43" s="248"/>
    </row>
    <row r="44" spans="1:23">
      <c r="A44" s="248" t="s">
        <v>712</v>
      </c>
      <c r="B44" s="249">
        <v>-0.02</v>
      </c>
      <c r="C44" s="249">
        <v>-0.02</v>
      </c>
      <c r="D44" s="249">
        <v>-0.02</v>
      </c>
      <c r="E44" s="249">
        <v>-0.02</v>
      </c>
      <c r="F44" s="12"/>
      <c r="R44" s="248" t="s">
        <v>712</v>
      </c>
      <c r="S44">
        <v>-0.55000000000000004</v>
      </c>
    </row>
    <row r="45" spans="1:23">
      <c r="A45" s="248" t="s">
        <v>713</v>
      </c>
      <c r="B45" s="249">
        <v>-3.5000000000000003E-2</v>
      </c>
      <c r="C45" s="249">
        <v>-3.5000000000000003E-2</v>
      </c>
      <c r="D45" s="249">
        <v>-3.5000000000000003E-2</v>
      </c>
      <c r="E45" s="249">
        <v>-3.5000000000000003E-2</v>
      </c>
      <c r="F45" s="12"/>
      <c r="R45" s="248"/>
    </row>
    <row r="46" spans="1:23">
      <c r="A46" s="248" t="s">
        <v>714</v>
      </c>
      <c r="B46" s="249">
        <v>-2.4E-2</v>
      </c>
      <c r="C46" s="249">
        <v>-2.4E-2</v>
      </c>
      <c r="D46" s="249">
        <v>-2.4E-2</v>
      </c>
      <c r="E46" s="249">
        <v>-2.4E-2</v>
      </c>
      <c r="F46" s="12"/>
      <c r="R46" s="248"/>
    </row>
    <row r="47" spans="1:23">
      <c r="A47" s="3"/>
      <c r="B47" s="12"/>
      <c r="C47" s="12"/>
      <c r="D47" s="12"/>
      <c r="E47" s="12"/>
      <c r="F47" s="12"/>
    </row>
    <row r="48" spans="1:23" ht="64">
      <c r="J48" s="258" t="s">
        <v>218</v>
      </c>
      <c r="K48" t="s">
        <v>201</v>
      </c>
    </row>
    <row r="49" spans="1:19">
      <c r="A49" s="91" t="s">
        <v>716</v>
      </c>
      <c r="B49" s="92">
        <v>-2.2599999999999998</v>
      </c>
      <c r="C49" s="92">
        <v>-2.2599999999999998</v>
      </c>
      <c r="D49" s="92">
        <v>-2.2599999999999998</v>
      </c>
      <c r="E49" s="92">
        <v>-2.2599999999999998</v>
      </c>
      <c r="F49" s="12"/>
      <c r="J49" s="93"/>
      <c r="K49" s="92">
        <v>-2.2599999999999998</v>
      </c>
      <c r="L49" s="92">
        <v>-2.2599999999999998</v>
      </c>
      <c r="M49" s="92">
        <v>-2.2599999999999998</v>
      </c>
      <c r="N49" s="92">
        <v>-2.2599999999999998</v>
      </c>
      <c r="R49" s="91" t="s">
        <v>716</v>
      </c>
      <c r="S49" t="s">
        <v>730</v>
      </c>
    </row>
    <row r="50" spans="1:19">
      <c r="A50" s="91" t="s">
        <v>717</v>
      </c>
      <c r="B50" s="92">
        <v>-1.21</v>
      </c>
      <c r="C50" s="92">
        <v>-1.21</v>
      </c>
      <c r="D50" s="92">
        <v>-1.21</v>
      </c>
      <c r="E50" s="92">
        <v>-1.21</v>
      </c>
      <c r="F50" s="12"/>
      <c r="J50" s="93"/>
      <c r="K50" s="92">
        <v>-1.21</v>
      </c>
      <c r="L50" s="92">
        <v>-1.21</v>
      </c>
      <c r="M50" s="92">
        <v>-1.21</v>
      </c>
      <c r="N50" s="92">
        <v>-1.21</v>
      </c>
      <c r="R50" s="91" t="s">
        <v>717</v>
      </c>
      <c r="S50">
        <v>-1</v>
      </c>
    </row>
    <row r="51" spans="1:19">
      <c r="A51" s="91" t="s">
        <v>718</v>
      </c>
      <c r="B51" s="92">
        <v>-1.7350000000000001</v>
      </c>
      <c r="C51" s="92">
        <v>-1.7350000000000001</v>
      </c>
      <c r="D51" s="92">
        <v>-1.7350000000000001</v>
      </c>
      <c r="E51" s="92">
        <v>-1.7350000000000001</v>
      </c>
      <c r="F51" s="12"/>
      <c r="K51" s="92">
        <v>-1.7350000000000001</v>
      </c>
      <c r="L51" s="92">
        <v>-1.7350000000000001</v>
      </c>
      <c r="M51" s="92">
        <v>-1.7350000000000001</v>
      </c>
      <c r="N51" s="92">
        <v>-1.7350000000000001</v>
      </c>
      <c r="R51" s="91" t="s">
        <v>718</v>
      </c>
      <c r="S51">
        <v>-0.65</v>
      </c>
    </row>
    <row r="52" spans="1:19">
      <c r="A52" s="91" t="s">
        <v>719</v>
      </c>
      <c r="B52" s="92">
        <v>0</v>
      </c>
      <c r="C52" s="92">
        <v>0</v>
      </c>
      <c r="D52" s="92">
        <v>0</v>
      </c>
      <c r="E52" s="92">
        <v>0</v>
      </c>
      <c r="F52" s="12"/>
      <c r="K52" s="92">
        <v>0</v>
      </c>
      <c r="L52" s="92">
        <v>0</v>
      </c>
      <c r="M52" s="92">
        <v>0</v>
      </c>
      <c r="N52" s="92">
        <v>0</v>
      </c>
      <c r="R52" s="91" t="s">
        <v>719</v>
      </c>
      <c r="S52">
        <f>(-0.36+-0.028)/2</f>
        <v>-0.19400000000000001</v>
      </c>
    </row>
    <row r="53" spans="1:19">
      <c r="A53" s="252" t="s">
        <v>720</v>
      </c>
      <c r="B53" s="253">
        <v>0</v>
      </c>
      <c r="C53" s="253">
        <v>0</v>
      </c>
      <c r="D53" s="253">
        <v>0</v>
      </c>
      <c r="E53" s="253">
        <v>0</v>
      </c>
      <c r="F53" s="12"/>
      <c r="K53" s="92">
        <v>0</v>
      </c>
      <c r="L53" s="92">
        <v>0</v>
      </c>
      <c r="M53" s="92">
        <v>0</v>
      </c>
      <c r="N53" s="92">
        <v>0</v>
      </c>
      <c r="R53" s="252" t="s">
        <v>720</v>
      </c>
      <c r="S53">
        <v>-0.21</v>
      </c>
    </row>
    <row r="55" spans="1:19">
      <c r="A55" s="10"/>
      <c r="B55" s="10"/>
      <c r="C55" s="10"/>
      <c r="D55" s="10"/>
      <c r="E55" s="10"/>
    </row>
    <row r="56" spans="1:19">
      <c r="A56" s="91" t="s">
        <v>721</v>
      </c>
      <c r="B56" s="294">
        <v>-4.8999999999999998E-4</v>
      </c>
      <c r="C56" s="293"/>
      <c r="D56" s="293"/>
      <c r="E56" s="293"/>
      <c r="F56" s="12"/>
      <c r="G56" t="s">
        <v>460</v>
      </c>
      <c r="K56" s="92">
        <v>-0.22600000000000001</v>
      </c>
      <c r="L56" s="92">
        <v>-0.22600000000000001</v>
      </c>
      <c r="M56" s="92">
        <v>-0.22600000000000001</v>
      </c>
      <c r="N56" s="92">
        <v>-0.22600000000000001</v>
      </c>
    </row>
    <row r="57" spans="1:19">
      <c r="A57" s="91" t="s">
        <v>722</v>
      </c>
      <c r="B57" s="294">
        <v>4.4000000000000003E-3</v>
      </c>
      <c r="C57" s="293"/>
      <c r="D57" s="293"/>
      <c r="E57" s="293"/>
      <c r="F57" s="12"/>
      <c r="K57" s="92">
        <v>-0.121</v>
      </c>
      <c r="L57" s="92">
        <v>-0.121</v>
      </c>
      <c r="M57" s="92">
        <v>-0.121</v>
      </c>
      <c r="N57" s="92">
        <v>-0.121</v>
      </c>
    </row>
    <row r="58" spans="1:19">
      <c r="A58" s="91" t="s">
        <v>723</v>
      </c>
      <c r="B58" s="294">
        <v>3.2000000000000002E-3</v>
      </c>
      <c r="C58" s="293"/>
      <c r="D58" s="293"/>
      <c r="E58" s="293"/>
      <c r="F58" s="12"/>
      <c r="K58" s="92">
        <v>-0.17349999999999999</v>
      </c>
      <c r="L58" s="92">
        <v>-0.17349999999999999</v>
      </c>
      <c r="M58" s="92">
        <v>-0.17349999999999999</v>
      </c>
      <c r="N58" s="92">
        <v>-0.17349999999999999</v>
      </c>
    </row>
    <row r="59" spans="1:19">
      <c r="A59" s="91" t="s">
        <v>724</v>
      </c>
      <c r="B59" s="294">
        <v>-4.1700000000000001E-3</v>
      </c>
      <c r="C59" s="293"/>
      <c r="D59" s="293"/>
      <c r="E59" s="293"/>
      <c r="F59" s="11"/>
    </row>
    <row r="60" spans="1:19">
      <c r="A60" s="252" t="s">
        <v>725</v>
      </c>
      <c r="B60" s="294">
        <v>0</v>
      </c>
      <c r="C60" s="293"/>
      <c r="D60" s="293"/>
      <c r="E60" s="293"/>
      <c r="F60" s="11"/>
    </row>
    <row r="61" spans="1:19" ht="16" thickBot="1">
      <c r="A61" s="178"/>
      <c r="B61" s="178"/>
      <c r="C61" s="178"/>
      <c r="D61" s="178"/>
      <c r="E61" s="178"/>
      <c r="F61" s="178"/>
    </row>
    <row r="62" spans="1:19">
      <c r="J62" s="35" t="s">
        <v>495</v>
      </c>
    </row>
    <row r="63" spans="1:19">
      <c r="A63" s="65"/>
      <c r="B63" t="s">
        <v>461</v>
      </c>
      <c r="C63" t="s">
        <v>462</v>
      </c>
      <c r="D63" t="s">
        <v>463</v>
      </c>
      <c r="E63" t="s">
        <v>464</v>
      </c>
      <c r="F63" t="s">
        <v>465</v>
      </c>
    </row>
    <row r="64" spans="1:19">
      <c r="A64" s="65" t="s">
        <v>466</v>
      </c>
      <c r="B64" s="65"/>
      <c r="C64" s="65">
        <v>0.18404166666666666</v>
      </c>
      <c r="D64" s="65">
        <v>0.22780555555555557</v>
      </c>
      <c r="E64" s="65">
        <v>0.21623513513513509</v>
      </c>
      <c r="F64" s="65">
        <v>0.20040540540540538</v>
      </c>
      <c r="J64" t="s">
        <v>480</v>
      </c>
      <c r="K64" s="65"/>
    </row>
    <row r="65" spans="1:11">
      <c r="A65" s="65"/>
      <c r="B65" s="65"/>
      <c r="C65" s="65"/>
      <c r="D65" s="65"/>
      <c r="E65" s="65"/>
      <c r="F65" s="65"/>
      <c r="J65" t="s">
        <v>481</v>
      </c>
      <c r="K65" s="65">
        <f>C66</f>
        <v>0.3193333333333333</v>
      </c>
    </row>
    <row r="66" spans="1:11">
      <c r="A66" s="177" t="s">
        <v>74</v>
      </c>
      <c r="B66" s="177"/>
      <c r="C66" s="177">
        <v>0.3193333333333333</v>
      </c>
      <c r="D66" s="177">
        <v>0.2563333333333333</v>
      </c>
      <c r="E66" s="177">
        <v>1.506999999999999E-2</v>
      </c>
      <c r="F66" s="177">
        <v>2.4181818181818183E-2</v>
      </c>
      <c r="J66" t="s">
        <v>482</v>
      </c>
      <c r="K66" s="65">
        <f>D66</f>
        <v>0.2563333333333333</v>
      </c>
    </row>
    <row r="67" spans="1:11">
      <c r="A67" s="177" t="s">
        <v>467</v>
      </c>
      <c r="B67" s="177"/>
      <c r="C67" s="177">
        <v>-0.63749999999999996</v>
      </c>
      <c r="D67" s="177">
        <v>-0.91059999999999997</v>
      </c>
      <c r="E67" s="177">
        <v>-1.2045999999999999</v>
      </c>
      <c r="F67" s="177">
        <v>-1.55</v>
      </c>
      <c r="J67" t="s">
        <v>483</v>
      </c>
      <c r="K67" s="65">
        <f>E66</f>
        <v>1.506999999999999E-2</v>
      </c>
    </row>
    <row r="68" spans="1:11">
      <c r="A68" s="65" t="s">
        <v>73</v>
      </c>
      <c r="B68" s="65"/>
      <c r="C68" s="65">
        <v>0.3823333333333333</v>
      </c>
      <c r="D68" s="65">
        <v>0.43953846153846154</v>
      </c>
      <c r="E68" s="65">
        <v>0.58506666666666662</v>
      </c>
      <c r="F68" s="65">
        <v>0.63313333333333333</v>
      </c>
      <c r="J68" t="s">
        <v>484</v>
      </c>
      <c r="K68" s="65">
        <f>F66</f>
        <v>2.4181818181818183E-2</v>
      </c>
    </row>
    <row r="69" spans="1:11">
      <c r="A69" s="65" t="s">
        <v>468</v>
      </c>
      <c r="B69" s="65"/>
      <c r="C69" s="65">
        <v>0.32199999999999995</v>
      </c>
      <c r="D69" s="65">
        <v>0.52588888888888896</v>
      </c>
      <c r="E69" s="65">
        <v>0.72814285714285709</v>
      </c>
      <c r="F69" s="65">
        <v>0.90033333333333321</v>
      </c>
    </row>
    <row r="70" spans="1:11">
      <c r="A70" s="177" t="s">
        <v>469</v>
      </c>
      <c r="B70" s="177"/>
      <c r="C70" s="177">
        <v>0.35216666666666663</v>
      </c>
      <c r="D70" s="177">
        <v>0.48271367521367525</v>
      </c>
      <c r="E70" s="177">
        <v>0.65660476190476191</v>
      </c>
      <c r="F70" s="177">
        <v>0.76673333333333327</v>
      </c>
      <c r="J70" t="s">
        <v>485</v>
      </c>
    </row>
    <row r="71" spans="1:11">
      <c r="J71" t="s">
        <v>486</v>
      </c>
      <c r="K71" s="65">
        <f>C67</f>
        <v>-0.63749999999999996</v>
      </c>
    </row>
    <row r="72" spans="1:11">
      <c r="J72" t="s">
        <v>487</v>
      </c>
      <c r="K72" s="65">
        <f>D67</f>
        <v>-0.91059999999999997</v>
      </c>
    </row>
    <row r="73" spans="1:11">
      <c r="J73" t="s">
        <v>488</v>
      </c>
      <c r="K73" s="65">
        <f>E67</f>
        <v>-1.2045999999999999</v>
      </c>
    </row>
    <row r="74" spans="1:11">
      <c r="J74" t="s">
        <v>489</v>
      </c>
      <c r="K74" s="65">
        <f>F67</f>
        <v>-1.55</v>
      </c>
    </row>
    <row r="76" spans="1:11">
      <c r="A76" s="179" t="s">
        <v>476</v>
      </c>
      <c r="J76" t="s">
        <v>490</v>
      </c>
    </row>
    <row r="77" spans="1:11">
      <c r="B77" t="s">
        <v>461</v>
      </c>
      <c r="C77" t="s">
        <v>462</v>
      </c>
      <c r="D77" t="s">
        <v>463</v>
      </c>
      <c r="E77" t="s">
        <v>464</v>
      </c>
      <c r="F77" t="s">
        <v>465</v>
      </c>
      <c r="J77" t="s">
        <v>491</v>
      </c>
      <c r="K77" s="65">
        <f>C70</f>
        <v>0.35216666666666663</v>
      </c>
    </row>
    <row r="78" spans="1:11">
      <c r="A78" t="s">
        <v>470</v>
      </c>
      <c r="B78" s="180"/>
      <c r="C78" s="6">
        <v>0.13</v>
      </c>
      <c r="D78" s="6">
        <v>0.14099999999999999</v>
      </c>
      <c r="E78" s="6">
        <v>0.191</v>
      </c>
      <c r="F78" s="181">
        <v>0.23100000000000001</v>
      </c>
      <c r="J78" t="s">
        <v>492</v>
      </c>
      <c r="K78" s="65">
        <f>D70</f>
        <v>0.48271367521367525</v>
      </c>
    </row>
    <row r="79" spans="1:11">
      <c r="A79" t="s">
        <v>471</v>
      </c>
      <c r="B79" s="182"/>
      <c r="E79">
        <v>-1.41</v>
      </c>
      <c r="F79" s="161">
        <v>1.15E-2</v>
      </c>
      <c r="J79" t="s">
        <v>493</v>
      </c>
      <c r="K79" s="65">
        <f>E70</f>
        <v>0.65660476190476191</v>
      </c>
    </row>
    <row r="80" spans="1:11">
      <c r="A80" t="s">
        <v>472</v>
      </c>
      <c r="B80" s="182"/>
      <c r="C80">
        <v>0.14499999999999999</v>
      </c>
      <c r="D80">
        <v>-0.13300000000000001</v>
      </c>
      <c r="E80">
        <v>-0.36099999999999999</v>
      </c>
      <c r="F80" s="161">
        <v>-0.38800000000000001</v>
      </c>
      <c r="J80" t="s">
        <v>494</v>
      </c>
      <c r="K80" s="65">
        <f>F70</f>
        <v>0.76673333333333327</v>
      </c>
    </row>
    <row r="81" spans="1:7">
      <c r="A81" t="s">
        <v>473</v>
      </c>
      <c r="B81" s="182"/>
      <c r="D81" s="183">
        <v>0.19900000000000001</v>
      </c>
      <c r="E81" s="183">
        <v>0.52600000000000002</v>
      </c>
      <c r="F81" s="184">
        <v>1.1399999999999999</v>
      </c>
    </row>
    <row r="82" spans="1:7">
      <c r="A82" t="s">
        <v>474</v>
      </c>
      <c r="B82" s="182"/>
      <c r="C82" s="183">
        <v>0.16600000000000001</v>
      </c>
      <c r="D82" s="183">
        <v>0.28399999999999997</v>
      </c>
      <c r="E82" s="183">
        <v>-0.318</v>
      </c>
      <c r="F82" s="184">
        <v>-1.1599999999999999</v>
      </c>
    </row>
    <row r="83" spans="1:7">
      <c r="A83" t="s">
        <v>475</v>
      </c>
      <c r="B83" s="186"/>
      <c r="C83" s="10"/>
      <c r="D83" s="10"/>
      <c r="E83" s="10"/>
      <c r="F83" s="160"/>
      <c r="G83">
        <v>8</v>
      </c>
    </row>
    <row r="85" spans="1:7">
      <c r="A85" s="179" t="s">
        <v>6</v>
      </c>
    </row>
    <row r="86" spans="1:7">
      <c r="B86" t="s">
        <v>461</v>
      </c>
      <c r="C86" t="s">
        <v>462</v>
      </c>
      <c r="D86" t="s">
        <v>463</v>
      </c>
      <c r="E86" t="s">
        <v>464</v>
      </c>
      <c r="F86" t="s">
        <v>465</v>
      </c>
    </row>
    <row r="87" spans="1:7">
      <c r="A87" t="s">
        <v>470</v>
      </c>
      <c r="B87" s="180"/>
      <c r="C87" s="6">
        <v>-0.42099999999999999</v>
      </c>
      <c r="D87" s="6">
        <v>-0.71499999999999997</v>
      </c>
      <c r="E87" s="6">
        <v>-0.93100000000000005</v>
      </c>
      <c r="F87" s="181">
        <v>-0.36199999999999999</v>
      </c>
    </row>
    <row r="88" spans="1:7">
      <c r="A88" t="s">
        <v>471</v>
      </c>
      <c r="B88" s="182"/>
      <c r="F88" s="161"/>
    </row>
    <row r="89" spans="1:7">
      <c r="A89" t="s">
        <v>472</v>
      </c>
      <c r="B89" s="182"/>
      <c r="D89">
        <v>-0.69699999999999995</v>
      </c>
      <c r="E89">
        <v>-0.53100000000000003</v>
      </c>
      <c r="F89" s="161">
        <v>-0.94799999999999995</v>
      </c>
    </row>
    <row r="90" spans="1:7">
      <c r="A90" t="s">
        <v>473</v>
      </c>
      <c r="B90" s="182"/>
      <c r="C90" s="183">
        <v>-0.63200000000000001</v>
      </c>
      <c r="D90" s="183">
        <v>-1.1499999999999999</v>
      </c>
      <c r="E90" s="183">
        <v>-1.26</v>
      </c>
      <c r="F90" s="184">
        <v>-1.26</v>
      </c>
    </row>
    <row r="91" spans="1:7">
      <c r="A91" t="s">
        <v>474</v>
      </c>
      <c r="B91" s="182"/>
      <c r="C91" s="183">
        <v>-0.996</v>
      </c>
      <c r="D91" s="183">
        <v>-1.54</v>
      </c>
      <c r="E91" s="183">
        <v>-2.77</v>
      </c>
      <c r="F91" s="184">
        <v>-4.75</v>
      </c>
    </row>
    <row r="92" spans="1:7">
      <c r="A92" t="s">
        <v>475</v>
      </c>
      <c r="B92" s="186"/>
      <c r="C92" s="10">
        <v>-0.501</v>
      </c>
      <c r="D92" s="10">
        <v>-0.45100000000000001</v>
      </c>
      <c r="E92" s="10">
        <v>-0.53100000000000003</v>
      </c>
      <c r="F92" s="160">
        <v>-0.43</v>
      </c>
    </row>
    <row r="94" spans="1:7">
      <c r="A94" s="179" t="s">
        <v>477</v>
      </c>
    </row>
    <row r="95" spans="1:7">
      <c r="B95" t="s">
        <v>461</v>
      </c>
      <c r="C95" t="s">
        <v>462</v>
      </c>
      <c r="D95" t="s">
        <v>463</v>
      </c>
      <c r="E95" t="s">
        <v>464</v>
      </c>
      <c r="F95" t="s">
        <v>465</v>
      </c>
    </row>
    <row r="96" spans="1:7">
      <c r="A96" t="s">
        <v>470</v>
      </c>
      <c r="B96" s="180"/>
      <c r="C96" s="6">
        <v>0.32700000000000001</v>
      </c>
      <c r="D96" s="6">
        <v>0.53500000000000003</v>
      </c>
      <c r="E96" s="6">
        <v>0.44700000000000001</v>
      </c>
      <c r="F96" s="181">
        <v>0.70699999999999996</v>
      </c>
    </row>
    <row r="97" spans="1:6">
      <c r="A97" t="s">
        <v>471</v>
      </c>
      <c r="B97" s="182"/>
      <c r="C97">
        <v>0.32400000000000001</v>
      </c>
      <c r="D97">
        <v>0.50900000000000001</v>
      </c>
      <c r="E97">
        <v>0.63500000000000001</v>
      </c>
      <c r="F97" s="161">
        <v>0.73899999999999999</v>
      </c>
    </row>
    <row r="98" spans="1:6">
      <c r="A98" t="s">
        <v>472</v>
      </c>
      <c r="B98" s="182"/>
      <c r="D98">
        <v>-0.22500000000000001</v>
      </c>
      <c r="E98">
        <v>0.24</v>
      </c>
      <c r="F98" s="161">
        <v>-0.48099999999999998</v>
      </c>
    </row>
    <row r="99" spans="1:6">
      <c r="A99" t="s">
        <v>473</v>
      </c>
      <c r="B99" s="185"/>
      <c r="C99" s="183"/>
      <c r="D99">
        <v>0.16800000000000001</v>
      </c>
      <c r="E99">
        <v>0.33800000000000002</v>
      </c>
      <c r="F99" s="161">
        <v>0.53300000000000003</v>
      </c>
    </row>
    <row r="100" spans="1:6">
      <c r="A100" t="s">
        <v>474</v>
      </c>
      <c r="B100" s="182"/>
      <c r="C100">
        <v>0.36499999999999999</v>
      </c>
      <c r="D100">
        <v>0.64400000000000002</v>
      </c>
      <c r="E100">
        <v>0.72099999999999997</v>
      </c>
      <c r="F100" s="161">
        <v>0.53300000000000003</v>
      </c>
    </row>
    <row r="101" spans="1:6">
      <c r="A101" t="s">
        <v>475</v>
      </c>
      <c r="B101" s="186"/>
      <c r="C101" s="10">
        <v>0.29899999999999999</v>
      </c>
      <c r="D101" s="10">
        <v>0.251</v>
      </c>
      <c r="E101" s="10">
        <v>0.38800000000000001</v>
      </c>
      <c r="F101" s="160">
        <v>0.94599999999999995</v>
      </c>
    </row>
    <row r="103" spans="1:6">
      <c r="A103" s="179" t="s">
        <v>478</v>
      </c>
    </row>
    <row r="104" spans="1:6">
      <c r="B104" t="s">
        <v>461</v>
      </c>
      <c r="C104" t="s">
        <v>462</v>
      </c>
      <c r="D104" t="s">
        <v>463</v>
      </c>
      <c r="E104" t="s">
        <v>464</v>
      </c>
      <c r="F104" t="s">
        <v>465</v>
      </c>
    </row>
    <row r="105" spans="1:6">
      <c r="A105" t="s">
        <v>470</v>
      </c>
      <c r="B105" s="180"/>
      <c r="C105" s="6">
        <v>0.32400000000000001</v>
      </c>
      <c r="D105" s="6">
        <v>0.44500000000000001</v>
      </c>
      <c r="E105" s="6">
        <v>0.59899999999999998</v>
      </c>
      <c r="F105" s="181">
        <v>0.67900000000000005</v>
      </c>
    </row>
    <row r="106" spans="1:6">
      <c r="A106" t="s">
        <v>471</v>
      </c>
      <c r="B106" s="182"/>
      <c r="C106">
        <v>0.32400000000000001</v>
      </c>
      <c r="D106">
        <v>0.50900000000000001</v>
      </c>
      <c r="E106">
        <v>0.63500000000000001</v>
      </c>
      <c r="F106" s="161">
        <v>0.73899999999999999</v>
      </c>
    </row>
    <row r="107" spans="1:6">
      <c r="A107" t="s">
        <v>472</v>
      </c>
      <c r="B107" s="182"/>
      <c r="D107">
        <v>-0.24</v>
      </c>
      <c r="F107" s="161"/>
    </row>
    <row r="108" spans="1:6">
      <c r="A108" t="s">
        <v>473</v>
      </c>
      <c r="B108" s="182"/>
      <c r="C108">
        <v>0.20799999999999999</v>
      </c>
      <c r="D108">
        <v>0.55000000000000004</v>
      </c>
      <c r="E108">
        <v>0.56299999999999994</v>
      </c>
      <c r="F108" s="161">
        <v>0.91700000000000004</v>
      </c>
    </row>
    <row r="109" spans="1:6">
      <c r="A109" t="s">
        <v>474</v>
      </c>
      <c r="B109" s="182"/>
      <c r="C109">
        <v>0.19</v>
      </c>
      <c r="D109">
        <v>0.55600000000000005</v>
      </c>
      <c r="E109">
        <v>0.58099999999999996</v>
      </c>
      <c r="F109" s="161">
        <v>0.35499999999999998</v>
      </c>
    </row>
    <row r="110" spans="1:6">
      <c r="A110" t="s">
        <v>475</v>
      </c>
      <c r="B110" s="186"/>
      <c r="C110" s="10">
        <v>0.44</v>
      </c>
      <c r="D110" s="10">
        <v>0.91900000000000004</v>
      </c>
      <c r="E110" s="10">
        <v>1.3</v>
      </c>
      <c r="F110" s="160">
        <v>1.59</v>
      </c>
    </row>
    <row r="112" spans="1:6">
      <c r="A112" t="s">
        <v>479</v>
      </c>
    </row>
    <row r="113" spans="1:14">
      <c r="B113" t="s">
        <v>461</v>
      </c>
      <c r="C113" t="s">
        <v>462</v>
      </c>
      <c r="D113" t="s">
        <v>463</v>
      </c>
      <c r="E113" t="s">
        <v>464</v>
      </c>
      <c r="F113" t="s">
        <v>465</v>
      </c>
    </row>
    <row r="114" spans="1:14">
      <c r="A114" t="s">
        <v>470</v>
      </c>
      <c r="C114">
        <f>AVERAGE(C96,C105)</f>
        <v>0.32550000000000001</v>
      </c>
      <c r="D114">
        <f t="shared" ref="D114:F114" si="5">AVERAGE(D96,D105)</f>
        <v>0.49</v>
      </c>
      <c r="E114">
        <f t="shared" si="5"/>
        <v>0.52300000000000002</v>
      </c>
      <c r="F114">
        <f t="shared" si="5"/>
        <v>0.69300000000000006</v>
      </c>
    </row>
    <row r="115" spans="1:14">
      <c r="A115" t="s">
        <v>471</v>
      </c>
      <c r="C115">
        <f t="shared" ref="C115:F116" si="6">AVERAGE(C97,C106)</f>
        <v>0.32400000000000001</v>
      </c>
      <c r="D115">
        <f t="shared" si="6"/>
        <v>0.50900000000000001</v>
      </c>
      <c r="E115">
        <f t="shared" si="6"/>
        <v>0.63500000000000001</v>
      </c>
      <c r="F115">
        <f t="shared" si="6"/>
        <v>0.73899999999999999</v>
      </c>
    </row>
    <row r="116" spans="1:14">
      <c r="A116" t="s">
        <v>472</v>
      </c>
      <c r="D116">
        <f t="shared" si="6"/>
        <v>-0.23249999999999998</v>
      </c>
      <c r="E116">
        <f t="shared" si="6"/>
        <v>0.24</v>
      </c>
      <c r="F116">
        <f t="shared" si="6"/>
        <v>-0.48099999999999998</v>
      </c>
    </row>
    <row r="117" spans="1:14">
      <c r="A117" t="s">
        <v>473</v>
      </c>
      <c r="C117">
        <f t="shared" ref="C117:F119" si="7">AVERAGE(C99,C108)</f>
        <v>0.20799999999999999</v>
      </c>
      <c r="D117">
        <f t="shared" si="7"/>
        <v>0.35900000000000004</v>
      </c>
      <c r="E117">
        <f t="shared" si="7"/>
        <v>0.45050000000000001</v>
      </c>
      <c r="F117">
        <f t="shared" si="7"/>
        <v>0.72500000000000009</v>
      </c>
    </row>
    <row r="118" spans="1:14">
      <c r="A118" t="s">
        <v>474</v>
      </c>
      <c r="C118">
        <f t="shared" si="7"/>
        <v>0.27749999999999997</v>
      </c>
      <c r="D118">
        <f t="shared" si="7"/>
        <v>0.60000000000000009</v>
      </c>
      <c r="E118">
        <f t="shared" si="7"/>
        <v>0.65100000000000002</v>
      </c>
      <c r="F118">
        <f t="shared" si="7"/>
        <v>0.44400000000000001</v>
      </c>
    </row>
    <row r="119" spans="1:14">
      <c r="A119" t="s">
        <v>475</v>
      </c>
      <c r="C119">
        <f t="shared" si="7"/>
        <v>0.3695</v>
      </c>
      <c r="D119">
        <f t="shared" si="7"/>
        <v>0.58499999999999996</v>
      </c>
      <c r="E119">
        <f t="shared" si="7"/>
        <v>0.84400000000000008</v>
      </c>
      <c r="F119">
        <f t="shared" si="7"/>
        <v>1.268</v>
      </c>
    </row>
    <row r="128" spans="1:14">
      <c r="A128" s="3" t="s">
        <v>71</v>
      </c>
      <c r="B128" s="3"/>
      <c r="C128" s="3"/>
      <c r="D128" s="3"/>
      <c r="E128" s="3"/>
      <c r="F128" s="3"/>
      <c r="I128" t="s">
        <v>247</v>
      </c>
      <c r="N128" t="s">
        <v>246</v>
      </c>
    </row>
    <row r="129" spans="1:28">
      <c r="A129" s="90" t="s">
        <v>217</v>
      </c>
      <c r="B129" s="90" t="s">
        <v>72</v>
      </c>
      <c r="C129" s="90" t="s">
        <v>73</v>
      </c>
      <c r="D129" s="90" t="s">
        <v>74</v>
      </c>
      <c r="E129" s="90" t="s">
        <v>6</v>
      </c>
      <c r="F129" s="64"/>
      <c r="I129" s="90" t="s">
        <v>73</v>
      </c>
      <c r="J129" s="90" t="s">
        <v>74</v>
      </c>
      <c r="K129" s="90" t="s">
        <v>6</v>
      </c>
      <c r="N129" s="90" t="s">
        <v>73</v>
      </c>
      <c r="O129" s="90" t="s">
        <v>74</v>
      </c>
      <c r="P129" s="90" t="s">
        <v>6</v>
      </c>
      <c r="R129" s="131" t="s">
        <v>217</v>
      </c>
      <c r="S129" s="131" t="s">
        <v>72</v>
      </c>
      <c r="T129" s="131" t="s">
        <v>74</v>
      </c>
      <c r="U129" s="135" t="s">
        <v>249</v>
      </c>
    </row>
    <row r="130" spans="1:28">
      <c r="A130" s="3" t="s">
        <v>212</v>
      </c>
      <c r="B130" s="3" t="s">
        <v>76</v>
      </c>
      <c r="C130">
        <v>0</v>
      </c>
      <c r="D130">
        <v>0.91792636749102297</v>
      </c>
      <c r="E130">
        <v>-3.9113520296685902</v>
      </c>
      <c r="I130" s="3">
        <v>0</v>
      </c>
      <c r="J130" s="3">
        <v>1.7926464999999999E-2</v>
      </c>
      <c r="K130" s="3">
        <v>3.8643673000000003E-2</v>
      </c>
      <c r="N130" s="3">
        <v>5</v>
      </c>
      <c r="O130" s="3">
        <v>0.1</v>
      </c>
      <c r="P130" s="3">
        <v>10</v>
      </c>
      <c r="R130" s="132" t="s">
        <v>212</v>
      </c>
      <c r="S130" s="132" t="s">
        <v>76</v>
      </c>
      <c r="T130">
        <v>0.91792636749102297</v>
      </c>
      <c r="X130" t="str">
        <f>S130</f>
        <v>korte trips</v>
      </c>
      <c r="Y130" t="str">
        <f>S131</f>
        <v>middelkorte trips</v>
      </c>
      <c r="Z130" t="str">
        <f>S132</f>
        <v>middellange trips</v>
      </c>
      <c r="AA130" t="str">
        <f>S133</f>
        <v>lange trips</v>
      </c>
    </row>
    <row r="131" spans="1:28">
      <c r="A131" s="3" t="s">
        <v>212</v>
      </c>
      <c r="B131" s="3" t="s">
        <v>77</v>
      </c>
      <c r="C131">
        <v>0</v>
      </c>
      <c r="D131">
        <v>0.57424822885928095</v>
      </c>
      <c r="E131">
        <v>-1.5220544328657799</v>
      </c>
      <c r="I131" s="3">
        <v>0</v>
      </c>
      <c r="J131" s="3">
        <v>-5.751646E-3</v>
      </c>
      <c r="K131" s="3">
        <v>3.7945408999999999E-2</v>
      </c>
      <c r="N131" s="3">
        <v>5</v>
      </c>
      <c r="O131" s="3">
        <v>0.1</v>
      </c>
      <c r="P131" s="3">
        <v>10</v>
      </c>
      <c r="R131" s="132" t="s">
        <v>212</v>
      </c>
      <c r="S131" s="132" t="s">
        <v>77</v>
      </c>
      <c r="T131">
        <v>0.57424822885928095</v>
      </c>
      <c r="W131" t="str">
        <f>R130</f>
        <v>other motive</v>
      </c>
      <c r="X131" s="133">
        <f>$T130</f>
        <v>0.91792636749102297</v>
      </c>
      <c r="Y131" s="133">
        <f>T131</f>
        <v>0.57424822885928095</v>
      </c>
      <c r="Z131" s="133">
        <f>T132</f>
        <v>3.5068598215944999</v>
      </c>
      <c r="AA131" s="133">
        <f>U132</f>
        <v>0</v>
      </c>
    </row>
    <row r="132" spans="1:28">
      <c r="A132" s="3" t="s">
        <v>212</v>
      </c>
      <c r="B132" s="3" t="s">
        <v>78</v>
      </c>
      <c r="C132">
        <v>0</v>
      </c>
      <c r="D132">
        <v>3.5068598215944999</v>
      </c>
      <c r="E132">
        <v>0.121550917277839</v>
      </c>
      <c r="I132" s="3">
        <v>0</v>
      </c>
      <c r="J132" s="3">
        <v>6.8675699999999999E-3</v>
      </c>
      <c r="K132" s="3">
        <v>7.1549925E-2</v>
      </c>
      <c r="N132" s="3">
        <v>5</v>
      </c>
      <c r="O132" s="3">
        <v>0.1</v>
      </c>
      <c r="P132" s="3">
        <v>10</v>
      </c>
      <c r="R132" s="132" t="s">
        <v>212</v>
      </c>
      <c r="S132" s="132" t="s">
        <v>78</v>
      </c>
      <c r="T132">
        <v>3.5068598215944999</v>
      </c>
      <c r="W132" t="str">
        <f>R134</f>
        <v>educational</v>
      </c>
      <c r="X132" s="133">
        <f t="shared" ref="X132:X135" si="8">$T131</f>
        <v>0.57424822885928095</v>
      </c>
      <c r="Y132" s="133">
        <f t="shared" ref="Y132:Y135" si="9">T132</f>
        <v>3.5068598215944999</v>
      </c>
      <c r="Z132" s="133">
        <f t="shared" ref="Z132:AA135" si="10">T133</f>
        <v>22.081114552655102</v>
      </c>
      <c r="AA132" s="133">
        <f t="shared" si="10"/>
        <v>0</v>
      </c>
    </row>
    <row r="133" spans="1:28">
      <c r="A133" s="89" t="s">
        <v>212</v>
      </c>
      <c r="B133" s="89" t="s">
        <v>79</v>
      </c>
      <c r="C133">
        <v>0</v>
      </c>
      <c r="D133">
        <v>22.081114552655102</v>
      </c>
      <c r="E133">
        <v>1.8112318693045399</v>
      </c>
      <c r="I133" s="3">
        <v>0</v>
      </c>
      <c r="J133" s="89">
        <v>20.331110549999998</v>
      </c>
      <c r="K133" s="89">
        <v>6.1231914999999998E-2</v>
      </c>
      <c r="N133" s="3">
        <v>5</v>
      </c>
      <c r="O133" s="3">
        <v>20</v>
      </c>
      <c r="P133" s="3">
        <v>10</v>
      </c>
      <c r="R133" s="134" t="s">
        <v>212</v>
      </c>
      <c r="S133" s="134" t="s">
        <v>79</v>
      </c>
      <c r="T133">
        <v>22.081114552655102</v>
      </c>
      <c r="W133" t="str">
        <f>R138</f>
        <v>recreational</v>
      </c>
      <c r="X133" s="133">
        <f t="shared" si="8"/>
        <v>3.5068598215944999</v>
      </c>
      <c r="Y133" s="133">
        <f t="shared" si="9"/>
        <v>22.081114552655102</v>
      </c>
      <c r="Z133" s="133">
        <f t="shared" si="10"/>
        <v>3.0253910173520802</v>
      </c>
      <c r="AA133" s="133">
        <f t="shared" si="10"/>
        <v>0</v>
      </c>
    </row>
    <row r="134" spans="1:28">
      <c r="A134" s="3" t="s">
        <v>213</v>
      </c>
      <c r="B134" s="3" t="s">
        <v>76</v>
      </c>
      <c r="C134">
        <v>0</v>
      </c>
      <c r="D134">
        <v>3.0253910173520802</v>
      </c>
      <c r="E134">
        <v>-0.50968094475538595</v>
      </c>
      <c r="I134" s="3">
        <v>0</v>
      </c>
      <c r="J134" s="3">
        <v>3.9193700000000003E-4</v>
      </c>
      <c r="K134" s="3">
        <v>2.5320004E-2</v>
      </c>
      <c r="N134" s="3">
        <v>5</v>
      </c>
      <c r="O134" s="3">
        <v>0.1</v>
      </c>
      <c r="P134" s="3">
        <v>10</v>
      </c>
      <c r="R134" s="132" t="s">
        <v>213</v>
      </c>
      <c r="S134" s="132" t="s">
        <v>76</v>
      </c>
      <c r="T134">
        <v>3.0253910173520802</v>
      </c>
      <c r="W134" t="str">
        <f>R142</f>
        <v>shopping personal care</v>
      </c>
      <c r="X134" s="133">
        <f t="shared" si="8"/>
        <v>22.081114552655102</v>
      </c>
      <c r="Y134" s="133">
        <f t="shared" si="9"/>
        <v>3.0253910173520802</v>
      </c>
      <c r="Z134" s="133">
        <f t="shared" si="10"/>
        <v>2.7660019755444001</v>
      </c>
      <c r="AA134" s="133">
        <f t="shared" si="10"/>
        <v>0</v>
      </c>
    </row>
    <row r="135" spans="1:28">
      <c r="A135" s="3" t="s">
        <v>213</v>
      </c>
      <c r="B135" s="3" t="s">
        <v>77</v>
      </c>
      <c r="C135">
        <v>0</v>
      </c>
      <c r="D135">
        <v>2.7660019755444001</v>
      </c>
      <c r="E135">
        <v>-0.63736334610415202</v>
      </c>
      <c r="I135" s="3">
        <v>0</v>
      </c>
      <c r="J135" s="3">
        <v>5.9999720000000001E-3</v>
      </c>
      <c r="K135" s="3">
        <v>2.2634643999999999E-2</v>
      </c>
      <c r="N135" s="3">
        <v>5</v>
      </c>
      <c r="O135" s="3">
        <v>0.1</v>
      </c>
      <c r="P135" s="3">
        <v>10</v>
      </c>
      <c r="R135" s="132" t="s">
        <v>213</v>
      </c>
      <c r="S135" s="132" t="s">
        <v>77</v>
      </c>
      <c r="T135">
        <v>2.7660019755444001</v>
      </c>
      <c r="W135" t="str">
        <f>R146</f>
        <v>commuting</v>
      </c>
      <c r="X135" s="133">
        <f t="shared" si="8"/>
        <v>3.0253910173520802</v>
      </c>
      <c r="Y135" s="133">
        <f t="shared" si="9"/>
        <v>2.7660019755444001</v>
      </c>
      <c r="Z135" s="133">
        <f t="shared" si="10"/>
        <v>3.84870238419908</v>
      </c>
      <c r="AA135" s="133">
        <f t="shared" si="10"/>
        <v>0</v>
      </c>
    </row>
    <row r="136" spans="1:28">
      <c r="A136" s="3" t="s">
        <v>213</v>
      </c>
      <c r="B136" s="3" t="s">
        <v>78</v>
      </c>
      <c r="C136">
        <v>0</v>
      </c>
      <c r="D136">
        <v>3.84870238419908</v>
      </c>
      <c r="E136">
        <v>-0.134606839955835</v>
      </c>
      <c r="I136" s="3">
        <v>0</v>
      </c>
      <c r="J136" s="3">
        <v>-1.2980730000000001E-3</v>
      </c>
      <c r="K136" s="3">
        <v>4.0392952000000003E-2</v>
      </c>
      <c r="N136" s="3">
        <v>5</v>
      </c>
      <c r="O136" s="3">
        <v>0.1</v>
      </c>
      <c r="P136" s="3">
        <v>10</v>
      </c>
      <c r="R136" s="132" t="s">
        <v>213</v>
      </c>
      <c r="S136" s="132" t="s">
        <v>78</v>
      </c>
      <c r="T136">
        <v>3.84870238419908</v>
      </c>
    </row>
    <row r="137" spans="1:28">
      <c r="A137" s="89" t="s">
        <v>213</v>
      </c>
      <c r="B137" s="89" t="s">
        <v>79</v>
      </c>
      <c r="C137">
        <v>0</v>
      </c>
      <c r="D137">
        <v>12.212190638580401</v>
      </c>
      <c r="E137">
        <v>-1.3201793950424701</v>
      </c>
      <c r="I137" s="3">
        <v>0</v>
      </c>
      <c r="J137" s="89">
        <v>4.8872415299999998</v>
      </c>
      <c r="K137" s="89">
        <v>4.3320596000000003E-2</v>
      </c>
      <c r="N137" s="3">
        <v>5</v>
      </c>
      <c r="O137" s="3">
        <v>5</v>
      </c>
      <c r="P137" s="3">
        <v>10</v>
      </c>
      <c r="R137" s="134" t="s">
        <v>213</v>
      </c>
      <c r="S137" s="134" t="s">
        <v>79</v>
      </c>
      <c r="T137">
        <v>12.212190638580401</v>
      </c>
    </row>
    <row r="138" spans="1:28">
      <c r="A138" s="3" t="s">
        <v>214</v>
      </c>
      <c r="B138" s="3" t="s">
        <v>76</v>
      </c>
      <c r="C138">
        <v>0</v>
      </c>
      <c r="D138">
        <v>1.1232417054147099</v>
      </c>
      <c r="E138">
        <v>-4.3683594954520002</v>
      </c>
      <c r="I138" s="3">
        <v>0</v>
      </c>
      <c r="J138" s="3">
        <v>1.3244706E-2</v>
      </c>
      <c r="K138" s="3">
        <v>1.640489E-3</v>
      </c>
      <c r="N138" s="3">
        <v>5</v>
      </c>
      <c r="O138" s="3">
        <v>0.1</v>
      </c>
      <c r="P138" s="3">
        <v>10</v>
      </c>
      <c r="R138" s="132" t="s">
        <v>214</v>
      </c>
      <c r="S138" s="132" t="s">
        <v>76</v>
      </c>
      <c r="T138">
        <v>1.1232417054147099</v>
      </c>
      <c r="X138" t="str">
        <f>R130</f>
        <v>other motive</v>
      </c>
      <c r="Y138" t="str">
        <f>R134</f>
        <v>educational</v>
      </c>
      <c r="Z138" t="str">
        <f>R138</f>
        <v>recreational</v>
      </c>
      <c r="AA138" t="str">
        <f>R142</f>
        <v>shopping personal care</v>
      </c>
      <c r="AB138" t="str">
        <f>R146</f>
        <v>commuting</v>
      </c>
    </row>
    <row r="139" spans="1:28">
      <c r="A139" s="3" t="s">
        <v>214</v>
      </c>
      <c r="B139" s="3" t="s">
        <v>77</v>
      </c>
      <c r="C139">
        <v>0</v>
      </c>
      <c r="D139">
        <v>1.8223039075103999</v>
      </c>
      <c r="E139">
        <v>-2.3125988349470501</v>
      </c>
      <c r="I139" s="3">
        <v>0</v>
      </c>
      <c r="J139" s="3">
        <v>2.2303903999999999E-2</v>
      </c>
      <c r="K139" s="3">
        <v>7.4011609999999999E-3</v>
      </c>
      <c r="N139" s="3">
        <v>5</v>
      </c>
      <c r="O139" s="3">
        <v>0.1</v>
      </c>
      <c r="P139" s="3">
        <v>10</v>
      </c>
      <c r="R139" s="132" t="s">
        <v>214</v>
      </c>
      <c r="S139" s="132" t="s">
        <v>77</v>
      </c>
      <c r="T139">
        <v>1.8223039075103999</v>
      </c>
      <c r="W139" s="132" t="s">
        <v>76</v>
      </c>
      <c r="X139">
        <v>0.91792636749102297</v>
      </c>
      <c r="Y139">
        <v>3.0253910173520802</v>
      </c>
      <c r="Z139">
        <v>1.1232417054147099</v>
      </c>
      <c r="AA139">
        <v>1.68036972606988</v>
      </c>
      <c r="AB139">
        <v>1.46718712389059</v>
      </c>
    </row>
    <row r="140" spans="1:28">
      <c r="A140" s="3" t="s">
        <v>214</v>
      </c>
      <c r="B140" s="3" t="s">
        <v>78</v>
      </c>
      <c r="C140">
        <v>0</v>
      </c>
      <c r="D140">
        <v>7.1761725190059504</v>
      </c>
      <c r="E140">
        <v>-0.98359224950253299</v>
      </c>
      <c r="I140" s="3">
        <v>0</v>
      </c>
      <c r="J140" s="3">
        <v>1.2025200000000001E-3</v>
      </c>
      <c r="K140" s="3">
        <v>1.6457699999999999E-2</v>
      </c>
      <c r="N140" s="3">
        <v>5</v>
      </c>
      <c r="O140" s="3">
        <v>0.1</v>
      </c>
      <c r="P140" s="3">
        <v>10</v>
      </c>
      <c r="R140" s="132" t="s">
        <v>214</v>
      </c>
      <c r="S140" s="132" t="s">
        <v>78</v>
      </c>
      <c r="T140">
        <v>7.1761725190059504</v>
      </c>
      <c r="W140" s="132" t="s">
        <v>77</v>
      </c>
      <c r="X140">
        <v>0.57424822885928095</v>
      </c>
      <c r="Y140">
        <v>2.7660019755444001</v>
      </c>
      <c r="Z140">
        <v>1.8223039075103999</v>
      </c>
      <c r="AA140">
        <v>1.5659924364634501</v>
      </c>
      <c r="AB140">
        <v>1.2853111532845201</v>
      </c>
    </row>
    <row r="141" spans="1:28">
      <c r="A141" s="89" t="s">
        <v>214</v>
      </c>
      <c r="B141" s="89" t="s">
        <v>79</v>
      </c>
      <c r="C141">
        <v>0</v>
      </c>
      <c r="D141">
        <v>28.1270847507624</v>
      </c>
      <c r="E141">
        <v>-2.1985747868460499</v>
      </c>
      <c r="I141" s="3">
        <v>0</v>
      </c>
      <c r="J141" s="89">
        <v>28.627084830000001</v>
      </c>
      <c r="K141" s="89">
        <v>-0.198574838</v>
      </c>
      <c r="N141" s="3">
        <v>5</v>
      </c>
      <c r="O141" s="3">
        <v>20</v>
      </c>
      <c r="P141" s="3">
        <v>10</v>
      </c>
      <c r="R141" s="134" t="s">
        <v>214</v>
      </c>
      <c r="S141" s="134" t="s">
        <v>79</v>
      </c>
      <c r="T141">
        <v>28.1270847507624</v>
      </c>
      <c r="W141" s="132" t="s">
        <v>78</v>
      </c>
      <c r="X141">
        <v>3.5068598215944999</v>
      </c>
      <c r="Y141">
        <v>3.84870238419908</v>
      </c>
      <c r="Z141">
        <v>7.1761725190059504</v>
      </c>
      <c r="AA141">
        <v>4.63760535240728</v>
      </c>
      <c r="AB141">
        <v>2.9151957128974901</v>
      </c>
    </row>
    <row r="142" spans="1:28">
      <c r="A142" s="3" t="s">
        <v>215</v>
      </c>
      <c r="B142" s="3" t="s">
        <v>76</v>
      </c>
      <c r="C142">
        <v>0</v>
      </c>
      <c r="D142">
        <v>1.68036972606988</v>
      </c>
      <c r="E142">
        <v>-2.9217645092764002</v>
      </c>
      <c r="I142" s="3">
        <v>0</v>
      </c>
      <c r="J142" s="3">
        <v>3.7372600000000001E-4</v>
      </c>
      <c r="K142" s="3">
        <v>-1.7565090000000001E-3</v>
      </c>
      <c r="N142" s="3">
        <v>5</v>
      </c>
      <c r="O142" s="3">
        <v>0.1</v>
      </c>
      <c r="P142" s="3">
        <v>10</v>
      </c>
      <c r="R142" s="132" t="s">
        <v>215</v>
      </c>
      <c r="S142" s="132" t="s">
        <v>76</v>
      </c>
      <c r="T142">
        <v>1.68036972606988</v>
      </c>
      <c r="W142" s="134" t="s">
        <v>79</v>
      </c>
      <c r="X142">
        <v>22.081114552655102</v>
      </c>
      <c r="Y142">
        <v>12.212190638580401</v>
      </c>
      <c r="Z142">
        <v>28.1270847507624</v>
      </c>
      <c r="AA142">
        <v>24.267659220949898</v>
      </c>
      <c r="AB142">
        <v>13.9453752248439</v>
      </c>
    </row>
    <row r="143" spans="1:28">
      <c r="A143" s="3" t="s">
        <v>215</v>
      </c>
      <c r="B143" s="3" t="s">
        <v>77</v>
      </c>
      <c r="C143">
        <v>0</v>
      </c>
      <c r="D143">
        <v>1.5659924364634501</v>
      </c>
      <c r="E143">
        <v>-1.83718780942754</v>
      </c>
      <c r="I143" s="3">
        <v>0</v>
      </c>
      <c r="J143" s="3">
        <v>9.9167099999999996E-4</v>
      </c>
      <c r="K143" s="3">
        <v>1.7811041999999999E-2</v>
      </c>
      <c r="N143" s="3">
        <v>5</v>
      </c>
      <c r="O143" s="3">
        <v>0.1</v>
      </c>
      <c r="P143" s="3">
        <v>10</v>
      </c>
      <c r="R143" s="132" t="s">
        <v>215</v>
      </c>
      <c r="S143" s="132" t="s">
        <v>77</v>
      </c>
      <c r="T143">
        <v>1.5659924364634501</v>
      </c>
    </row>
    <row r="144" spans="1:28">
      <c r="A144" s="3" t="s">
        <v>215</v>
      </c>
      <c r="B144" s="3" t="s">
        <v>78</v>
      </c>
      <c r="C144">
        <v>0</v>
      </c>
      <c r="D144">
        <v>4.63760535240728</v>
      </c>
      <c r="E144">
        <v>-1.27749166862941</v>
      </c>
      <c r="I144" s="3">
        <v>0</v>
      </c>
      <c r="J144" s="3">
        <v>-2.3947590000000002E-3</v>
      </c>
      <c r="K144" s="3">
        <v>3.2508349999999998E-2</v>
      </c>
      <c r="N144" s="3">
        <v>5</v>
      </c>
      <c r="O144" s="3">
        <v>0.1</v>
      </c>
      <c r="P144" s="3">
        <v>10</v>
      </c>
      <c r="R144" s="132" t="s">
        <v>215</v>
      </c>
      <c r="S144" s="132" t="s">
        <v>78</v>
      </c>
      <c r="T144">
        <v>4.63760535240728</v>
      </c>
    </row>
    <row r="145" spans="1:20">
      <c r="A145" s="89" t="s">
        <v>215</v>
      </c>
      <c r="B145" s="89" t="s">
        <v>79</v>
      </c>
      <c r="C145">
        <v>0</v>
      </c>
      <c r="D145">
        <v>24.267659220949898</v>
      </c>
      <c r="E145">
        <v>-0.980201304134657</v>
      </c>
      <c r="I145" s="3">
        <v>0</v>
      </c>
      <c r="J145" s="89">
        <v>24.267660329999998</v>
      </c>
      <c r="K145" s="89">
        <v>9.7987490000000007E-3</v>
      </c>
      <c r="N145" s="3">
        <v>5</v>
      </c>
      <c r="O145" s="3">
        <v>24</v>
      </c>
      <c r="P145" s="3">
        <v>10</v>
      </c>
      <c r="R145" s="134" t="s">
        <v>215</v>
      </c>
      <c r="S145" s="134" t="s">
        <v>79</v>
      </c>
      <c r="T145">
        <v>24.267659220949898</v>
      </c>
    </row>
    <row r="146" spans="1:20">
      <c r="A146" s="3" t="s">
        <v>216</v>
      </c>
      <c r="B146" s="3" t="s">
        <v>76</v>
      </c>
      <c r="C146">
        <v>0</v>
      </c>
      <c r="D146">
        <v>1.46718712389059</v>
      </c>
      <c r="E146">
        <v>-1.87621055344976</v>
      </c>
      <c r="I146" s="3">
        <v>0</v>
      </c>
      <c r="J146" s="3">
        <v>-2.8128770000000001E-3</v>
      </c>
      <c r="K146" s="3">
        <v>2.3789452999999999E-2</v>
      </c>
      <c r="N146" s="3">
        <v>5</v>
      </c>
      <c r="O146" s="3">
        <v>0.1</v>
      </c>
      <c r="P146" s="3">
        <v>10</v>
      </c>
      <c r="R146" s="132" t="s">
        <v>216</v>
      </c>
      <c r="S146" s="132" t="s">
        <v>76</v>
      </c>
      <c r="T146">
        <v>1.46718712389059</v>
      </c>
    </row>
    <row r="147" spans="1:20">
      <c r="A147" s="3" t="s">
        <v>216</v>
      </c>
      <c r="B147" s="3" t="s">
        <v>77</v>
      </c>
      <c r="C147">
        <v>0</v>
      </c>
      <c r="D147">
        <v>1.2853111532845201</v>
      </c>
      <c r="E147">
        <v>-2.18796292742701</v>
      </c>
      <c r="I147" s="3">
        <v>0</v>
      </c>
      <c r="J147" s="3">
        <v>-4.6888249999999998E-3</v>
      </c>
      <c r="K147" s="3">
        <v>3.2037114999999998E-2</v>
      </c>
      <c r="N147" s="3">
        <v>5</v>
      </c>
      <c r="O147" s="3">
        <v>0.1</v>
      </c>
      <c r="P147" s="3">
        <v>10</v>
      </c>
      <c r="R147" s="132" t="s">
        <v>216</v>
      </c>
      <c r="S147" s="132" t="s">
        <v>77</v>
      </c>
      <c r="T147">
        <v>1.2853111532845201</v>
      </c>
    </row>
    <row r="148" spans="1:20">
      <c r="A148" s="3" t="s">
        <v>216</v>
      </c>
      <c r="B148" s="3" t="s">
        <v>78</v>
      </c>
      <c r="C148">
        <v>0</v>
      </c>
      <c r="D148">
        <v>2.9151957128974901</v>
      </c>
      <c r="E148">
        <v>-1.71885259859893</v>
      </c>
      <c r="I148" s="3">
        <v>0</v>
      </c>
      <c r="J148" s="3">
        <v>1.5195653999999999E-2</v>
      </c>
      <c r="K148" s="3">
        <v>7.1147403999999997E-2</v>
      </c>
      <c r="N148" s="3">
        <v>5</v>
      </c>
      <c r="O148" s="3">
        <v>0.1</v>
      </c>
      <c r="P148" s="3">
        <v>10</v>
      </c>
      <c r="R148" s="132" t="s">
        <v>216</v>
      </c>
      <c r="S148" s="132" t="s">
        <v>78</v>
      </c>
      <c r="T148">
        <v>2.9151957128974901</v>
      </c>
    </row>
    <row r="149" spans="1:20">
      <c r="A149" s="3" t="s">
        <v>216</v>
      </c>
      <c r="B149" s="3" t="s">
        <v>79</v>
      </c>
      <c r="C149">
        <v>0</v>
      </c>
      <c r="D149">
        <v>13.9453752248439</v>
      </c>
      <c r="E149">
        <v>-2.3375085402500502</v>
      </c>
      <c r="I149" s="3">
        <v>0</v>
      </c>
      <c r="J149" s="3">
        <v>13.84534111</v>
      </c>
      <c r="K149" s="3">
        <v>6.2491517000000003E-2</v>
      </c>
      <c r="N149" s="3">
        <v>5</v>
      </c>
      <c r="O149" s="3">
        <v>10</v>
      </c>
      <c r="P149" s="3">
        <v>10</v>
      </c>
      <c r="R149" s="132" t="s">
        <v>216</v>
      </c>
      <c r="S149" s="132" t="s">
        <v>79</v>
      </c>
      <c r="T149">
        <v>13.9453752248439</v>
      </c>
    </row>
    <row r="152" spans="1:20">
      <c r="C152" t="s">
        <v>248</v>
      </c>
    </row>
    <row r="153" spans="1:20">
      <c r="C153" t="s">
        <v>73</v>
      </c>
      <c r="D153" t="s">
        <v>74</v>
      </c>
      <c r="E153" t="s">
        <v>245</v>
      </c>
    </row>
    <row r="154" spans="1:20">
      <c r="C154">
        <v>0</v>
      </c>
      <c r="D154">
        <v>0.91792636749102297</v>
      </c>
      <c r="E154">
        <v>-3.9113520296685902</v>
      </c>
    </row>
    <row r="155" spans="1:20">
      <c r="C155">
        <v>0</v>
      </c>
      <c r="D155">
        <v>0.57424822885928095</v>
      </c>
      <c r="E155">
        <v>-1.5220544328657799</v>
      </c>
    </row>
    <row r="156" spans="1:20">
      <c r="C156">
        <v>0</v>
      </c>
      <c r="D156">
        <v>3.5068598215944999</v>
      </c>
      <c r="E156">
        <v>0.121550917277839</v>
      </c>
    </row>
    <row r="157" spans="1:20">
      <c r="C157">
        <v>0</v>
      </c>
      <c r="D157">
        <v>22.081114552655102</v>
      </c>
      <c r="E157">
        <v>1.8112318693045399</v>
      </c>
    </row>
    <row r="158" spans="1:20">
      <c r="C158">
        <v>0</v>
      </c>
      <c r="D158">
        <v>3.0253910173520802</v>
      </c>
      <c r="E158">
        <v>-0.50968094475538595</v>
      </c>
    </row>
    <row r="159" spans="1:20">
      <c r="C159">
        <v>0</v>
      </c>
      <c r="D159">
        <v>2.7660019755444001</v>
      </c>
      <c r="E159">
        <v>-0.63736334610415202</v>
      </c>
    </row>
    <row r="160" spans="1:20">
      <c r="C160">
        <v>0</v>
      </c>
      <c r="D160">
        <v>3.84870238419908</v>
      </c>
      <c r="E160">
        <v>-0.134606839955835</v>
      </c>
    </row>
    <row r="161" spans="3:5">
      <c r="C161">
        <v>0</v>
      </c>
      <c r="D161">
        <v>12.212190638580401</v>
      </c>
      <c r="E161">
        <v>-1.3201793950424701</v>
      </c>
    </row>
    <row r="162" spans="3:5">
      <c r="C162">
        <v>0</v>
      </c>
      <c r="D162">
        <v>1.1232417054147099</v>
      </c>
      <c r="E162">
        <v>-4.3683594954520002</v>
      </c>
    </row>
    <row r="163" spans="3:5">
      <c r="C163">
        <v>0</v>
      </c>
      <c r="D163">
        <v>1.8223039075103999</v>
      </c>
      <c r="E163">
        <v>-2.3125988349470501</v>
      </c>
    </row>
    <row r="164" spans="3:5">
      <c r="C164">
        <v>0</v>
      </c>
      <c r="D164">
        <v>7.1761725190059504</v>
      </c>
      <c r="E164">
        <v>-0.98359224950253299</v>
      </c>
    </row>
    <row r="165" spans="3:5">
      <c r="C165">
        <v>0</v>
      </c>
      <c r="D165">
        <v>28.1270847507624</v>
      </c>
      <c r="E165">
        <v>-2.1985747868460499</v>
      </c>
    </row>
    <row r="166" spans="3:5">
      <c r="C166">
        <v>0</v>
      </c>
      <c r="D166">
        <v>1.68036972606988</v>
      </c>
      <c r="E166">
        <v>-2.9217645092764002</v>
      </c>
    </row>
    <row r="167" spans="3:5">
      <c r="C167">
        <v>0</v>
      </c>
      <c r="D167">
        <v>1.5659924364634501</v>
      </c>
      <c r="E167">
        <v>-1.83718780942754</v>
      </c>
    </row>
    <row r="168" spans="3:5">
      <c r="C168">
        <v>0</v>
      </c>
      <c r="D168">
        <v>4.63760535240728</v>
      </c>
      <c r="E168">
        <v>-1.27749166862941</v>
      </c>
    </row>
    <row r="169" spans="3:5">
      <c r="C169">
        <v>0</v>
      </c>
      <c r="D169">
        <v>24.267659220949898</v>
      </c>
      <c r="E169">
        <v>-0.980201304134657</v>
      </c>
    </row>
    <row r="170" spans="3:5">
      <c r="C170">
        <v>0</v>
      </c>
      <c r="D170">
        <v>1.46718712389059</v>
      </c>
      <c r="E170">
        <v>-1.87621055344976</v>
      </c>
    </row>
    <row r="171" spans="3:5">
      <c r="C171">
        <v>0</v>
      </c>
      <c r="D171">
        <v>1.2853111532845201</v>
      </c>
      <c r="E171">
        <v>-2.18796292742701</v>
      </c>
    </row>
    <row r="172" spans="3:5">
      <c r="C172">
        <v>0</v>
      </c>
      <c r="D172">
        <v>2.9151957128974901</v>
      </c>
      <c r="E172">
        <v>-1.71885259859893</v>
      </c>
    </row>
    <row r="173" spans="3:5">
      <c r="C173">
        <v>0</v>
      </c>
      <c r="D173">
        <v>13.9453752248439</v>
      </c>
      <c r="E173">
        <v>-2.3375085402500502</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55A9-AFDC-4D19-B03A-47C072F35EF0}">
  <sheetPr>
    <tabColor theme="4"/>
  </sheetPr>
  <dimension ref="A1:BA105"/>
  <sheetViews>
    <sheetView topLeftCell="Y1" zoomScale="90" zoomScaleNormal="90" workbookViewId="0">
      <selection activeCell="AW37" sqref="AW37"/>
    </sheetView>
  </sheetViews>
  <sheetFormatPr baseColWidth="10" defaultColWidth="8.83203125" defaultRowHeight="15"/>
  <cols>
    <col min="21" max="21" width="11.83203125" customWidth="1"/>
    <col min="31" max="31" width="12" bestFit="1" customWidth="1"/>
    <col min="34" max="34" width="23.83203125" customWidth="1"/>
    <col min="35" max="35" width="18.33203125" customWidth="1"/>
    <col min="45" max="45" width="23.6640625" customWidth="1"/>
    <col min="47" max="47" width="11.1640625" bestFit="1" customWidth="1"/>
  </cols>
  <sheetData>
    <row r="1" spans="1:49">
      <c r="H1" s="35" t="s">
        <v>764</v>
      </c>
      <c r="I1" s="35"/>
      <c r="J1" s="35"/>
      <c r="K1" s="35"/>
      <c r="L1" s="35"/>
      <c r="M1" s="35"/>
      <c r="N1" s="35"/>
      <c r="O1" s="35"/>
      <c r="P1" s="35"/>
      <c r="Q1" s="35"/>
      <c r="R1" s="35"/>
      <c r="S1" s="35"/>
      <c r="T1" s="35"/>
      <c r="U1" s="35"/>
      <c r="V1" s="35"/>
    </row>
    <row r="2" spans="1:49" ht="16" thickBot="1">
      <c r="AJ2" t="s">
        <v>772</v>
      </c>
      <c r="AK2" t="s">
        <v>774</v>
      </c>
      <c r="AT2" t="s">
        <v>775</v>
      </c>
    </row>
    <row r="3" spans="1:49">
      <c r="A3" s="5" t="s">
        <v>753</v>
      </c>
      <c r="K3" s="5" t="s">
        <v>752</v>
      </c>
      <c r="U3" s="262" t="s">
        <v>752</v>
      </c>
      <c r="V3" s="263"/>
      <c r="W3" s="263"/>
      <c r="X3" s="263"/>
      <c r="Y3" s="263"/>
      <c r="Z3" s="263"/>
      <c r="AA3" s="263"/>
      <c r="AB3" s="263"/>
      <c r="AC3" s="263"/>
      <c r="AD3" s="263"/>
      <c r="AE3" s="264"/>
      <c r="AH3" s="5" t="s">
        <v>768</v>
      </c>
      <c r="AI3" t="s">
        <v>771</v>
      </c>
      <c r="AJ3" t="s">
        <v>769</v>
      </c>
      <c r="AK3" t="s">
        <v>773</v>
      </c>
    </row>
    <row r="4" spans="1:49">
      <c r="A4" t="s">
        <v>749</v>
      </c>
      <c r="K4" t="s">
        <v>750</v>
      </c>
      <c r="U4" s="265" t="s">
        <v>750</v>
      </c>
      <c r="AE4" s="266"/>
      <c r="AH4" s="3" t="s">
        <v>681</v>
      </c>
      <c r="AI4" s="12">
        <f>AC11</f>
        <v>0.2</v>
      </c>
      <c r="AJ4" s="12">
        <f>G12</f>
        <v>0.26</v>
      </c>
      <c r="AK4" s="12">
        <f>-AI4</f>
        <v>-0.2</v>
      </c>
      <c r="AL4" s="12"/>
      <c r="AS4" t="s">
        <v>776</v>
      </c>
      <c r="AT4" t="str" cm="1">
        <f t="array" ref="AT4:AU10">AC10:AD16</f>
        <v>Bike</v>
      </c>
      <c r="AU4" t="str">
        <v>walk</v>
      </c>
    </row>
    <row r="5" spans="1:49">
      <c r="A5" t="s">
        <v>737</v>
      </c>
      <c r="K5" s="136" t="s">
        <v>737</v>
      </c>
      <c r="L5" s="136"/>
      <c r="M5" s="136"/>
      <c r="N5" s="136"/>
      <c r="O5" s="136"/>
      <c r="U5" s="265" t="s">
        <v>737</v>
      </c>
      <c r="AE5" s="266"/>
      <c r="AH5" s="3" t="s">
        <v>682</v>
      </c>
      <c r="AI5" s="12">
        <f t="shared" ref="AI5" si="0">AC12</f>
        <v>7.0000000000000007E-2</v>
      </c>
      <c r="AJ5" s="12">
        <f>G14</f>
        <v>0.05</v>
      </c>
      <c r="AK5" s="12">
        <f t="shared" ref="AK5:AK8" si="1">-AI5</f>
        <v>-7.0000000000000007E-2</v>
      </c>
      <c r="AL5" s="12"/>
      <c r="AS5" s="265" t="s">
        <v>739</v>
      </c>
      <c r="AT5">
        <v>0.2</v>
      </c>
      <c r="AU5">
        <v>0.19500000000000001</v>
      </c>
      <c r="AW5" t="str">
        <f>IMSUB(AT5,AU5)</f>
        <v>0,005</v>
      </c>
    </row>
    <row r="6" spans="1:49">
      <c r="U6" s="265" t="s">
        <v>754</v>
      </c>
      <c r="AE6" s="266"/>
      <c r="AH6" s="3" t="s">
        <v>683</v>
      </c>
      <c r="AI6" s="12">
        <f>AC16</f>
        <v>0.09</v>
      </c>
      <c r="AJ6" s="12">
        <f>G16</f>
        <v>7.0000000000000007E-2</v>
      </c>
      <c r="AK6" s="12">
        <f t="shared" si="1"/>
        <v>-0.09</v>
      </c>
      <c r="AL6" s="12"/>
      <c r="AS6" s="269" t="s">
        <v>757</v>
      </c>
      <c r="AT6">
        <v>7.0000000000000007E-2</v>
      </c>
      <c r="AU6">
        <v>0.12</v>
      </c>
      <c r="AW6" t="str">
        <f t="shared" ref="AW6:AW10" si="2">IMSUB(AT6,AU6)</f>
        <v>-0,05</v>
      </c>
    </row>
    <row r="7" spans="1:49">
      <c r="A7" s="260"/>
      <c r="U7" s="265"/>
      <c r="AE7" s="266"/>
      <c r="AH7" s="3" t="s">
        <v>684</v>
      </c>
      <c r="AI7" s="12">
        <f>AC15</f>
        <v>0.13</v>
      </c>
      <c r="AJ7" s="11">
        <f>G15</f>
        <v>0.24</v>
      </c>
      <c r="AK7" s="12">
        <f t="shared" si="1"/>
        <v>-0.13</v>
      </c>
      <c r="AL7" s="11"/>
      <c r="AS7" s="271" t="s">
        <v>758</v>
      </c>
      <c r="AT7">
        <v>0.32</v>
      </c>
      <c r="AU7">
        <v>0.28999999999999998</v>
      </c>
      <c r="AW7" t="str">
        <f t="shared" si="2"/>
        <v>0,03</v>
      </c>
    </row>
    <row r="8" spans="1:49">
      <c r="A8" s="5" t="s">
        <v>738</v>
      </c>
      <c r="K8" s="102" t="s">
        <v>751</v>
      </c>
      <c r="U8" s="267" t="s">
        <v>756</v>
      </c>
      <c r="AE8" s="266"/>
      <c r="AH8" s="89" t="s">
        <v>685</v>
      </c>
      <c r="AI8" s="12">
        <f>AC16</f>
        <v>0.09</v>
      </c>
      <c r="AJ8" s="250">
        <f>G18</f>
        <v>0.23</v>
      </c>
      <c r="AK8" s="12">
        <f t="shared" si="1"/>
        <v>-0.09</v>
      </c>
      <c r="AL8" s="250"/>
      <c r="AS8" s="269" t="s">
        <v>759</v>
      </c>
      <c r="AT8">
        <v>0.08</v>
      </c>
      <c r="AU8">
        <v>0.1</v>
      </c>
      <c r="AW8" t="str">
        <f t="shared" si="2"/>
        <v>-0,02</v>
      </c>
    </row>
    <row r="9" spans="1:49">
      <c r="U9" s="265"/>
      <c r="AE9" s="266"/>
      <c r="AH9" s="86"/>
      <c r="AI9" s="281"/>
      <c r="AJ9" s="86"/>
      <c r="AK9" s="86"/>
      <c r="AL9" s="86"/>
      <c r="AS9" s="269" t="s">
        <v>760</v>
      </c>
      <c r="AT9">
        <v>0.13</v>
      </c>
      <c r="AU9">
        <v>0.1</v>
      </c>
      <c r="AW9" t="str">
        <f t="shared" si="2"/>
        <v>0,03</v>
      </c>
    </row>
    <row r="10" spans="1:49">
      <c r="A10" s="10" t="s">
        <v>743</v>
      </c>
      <c r="B10" s="10"/>
      <c r="C10" s="88" t="s">
        <v>748</v>
      </c>
      <c r="D10" s="10" t="s">
        <v>744</v>
      </c>
      <c r="E10" s="10" t="s">
        <v>186</v>
      </c>
      <c r="F10" s="10" t="s">
        <v>187</v>
      </c>
      <c r="G10" s="88" t="s">
        <v>41</v>
      </c>
      <c r="H10" s="88" t="s">
        <v>272</v>
      </c>
      <c r="I10" s="84" t="s">
        <v>6</v>
      </c>
      <c r="K10" s="10" t="s">
        <v>743</v>
      </c>
      <c r="L10" s="10"/>
      <c r="M10" s="88" t="s">
        <v>748</v>
      </c>
      <c r="N10" s="10" t="s">
        <v>744</v>
      </c>
      <c r="O10" s="10" t="s">
        <v>186</v>
      </c>
      <c r="P10" s="10" t="s">
        <v>187</v>
      </c>
      <c r="Q10" s="88" t="s">
        <v>41</v>
      </c>
      <c r="R10" s="88" t="s">
        <v>272</v>
      </c>
      <c r="S10" s="84" t="s">
        <v>6</v>
      </c>
      <c r="U10" s="268" t="s">
        <v>743</v>
      </c>
      <c r="V10" s="10"/>
      <c r="W10" s="10" t="s">
        <v>748</v>
      </c>
      <c r="X10" s="275" t="s">
        <v>767</v>
      </c>
      <c r="Y10" s="10" t="s">
        <v>744</v>
      </c>
      <c r="Z10" s="10" t="s">
        <v>186</v>
      </c>
      <c r="AA10" s="10" t="s">
        <v>765</v>
      </c>
      <c r="AB10" s="10" t="s">
        <v>187</v>
      </c>
      <c r="AC10" s="261" t="s">
        <v>41</v>
      </c>
      <c r="AD10" s="261" t="s">
        <v>272</v>
      </c>
      <c r="AE10" s="276" t="s">
        <v>6</v>
      </c>
      <c r="AH10" s="3" t="s">
        <v>686</v>
      </c>
      <c r="AI10" s="12">
        <f>X11</f>
        <v>-0.1875</v>
      </c>
      <c r="AJ10" s="12" cm="1">
        <f t="array" ref="AJ10:AJ14">C12:C16</f>
        <v>0</v>
      </c>
      <c r="AK10" s="12">
        <f>M12</f>
        <v>-0.22</v>
      </c>
      <c r="AL10" s="12"/>
      <c r="AS10" s="269" t="s">
        <v>189</v>
      </c>
      <c r="AT10">
        <v>0.09</v>
      </c>
      <c r="AU10">
        <v>0.09</v>
      </c>
      <c r="AW10" t="str">
        <f t="shared" si="2"/>
        <v>0</v>
      </c>
    </row>
    <row r="11" spans="1:49">
      <c r="C11" s="84"/>
      <c r="G11" s="84"/>
      <c r="H11" s="84"/>
      <c r="I11" s="84"/>
      <c r="M11" s="84"/>
      <c r="Q11" s="84"/>
      <c r="R11" s="84"/>
      <c r="S11" s="84"/>
      <c r="U11" s="265" t="s">
        <v>739</v>
      </c>
      <c r="W11">
        <f>(W13+W14)/2</f>
        <v>-0.125</v>
      </c>
      <c r="X11" s="277">
        <f t="shared" ref="X11:AD11" si="3">(X13+X14)/2</f>
        <v>-0.1875</v>
      </c>
      <c r="Y11">
        <f t="shared" si="3"/>
        <v>-0.25</v>
      </c>
      <c r="Z11">
        <f t="shared" si="3"/>
        <v>0.22499999999999998</v>
      </c>
      <c r="AA11">
        <f t="shared" si="3"/>
        <v>0.15000000000000002</v>
      </c>
      <c r="AB11">
        <f t="shared" si="3"/>
        <v>0.19</v>
      </c>
      <c r="AC11" s="277">
        <f t="shared" si="3"/>
        <v>0.2</v>
      </c>
      <c r="AD11" s="277">
        <f t="shared" si="3"/>
        <v>0.19500000000000001</v>
      </c>
      <c r="AE11" s="278">
        <f>(AE13+AE14)/2</f>
        <v>0.18833333333333335</v>
      </c>
      <c r="AH11" s="3" t="s">
        <v>689</v>
      </c>
      <c r="AI11" s="12">
        <f>X12</f>
        <v>-0.44</v>
      </c>
      <c r="AJ11" s="12">
        <v>0</v>
      </c>
      <c r="AK11" s="12">
        <f>M14</f>
        <v>-0.37</v>
      </c>
      <c r="AL11" s="12"/>
    </row>
    <row r="12" spans="1:49">
      <c r="A12" t="s">
        <v>739</v>
      </c>
      <c r="C12">
        <v>0</v>
      </c>
      <c r="D12">
        <v>-1.3</v>
      </c>
      <c r="E12">
        <v>0.27</v>
      </c>
      <c r="F12">
        <v>0.19</v>
      </c>
      <c r="G12">
        <v>0.26</v>
      </c>
      <c r="H12">
        <v>0.26</v>
      </c>
      <c r="I12" s="5">
        <f>AVERAGE(E12:F12)</f>
        <v>0.23</v>
      </c>
      <c r="K12" t="s">
        <v>739</v>
      </c>
      <c r="M12">
        <v>-0.22</v>
      </c>
      <c r="N12">
        <v>-0.41</v>
      </c>
      <c r="O12">
        <v>-0.66</v>
      </c>
      <c r="S12" s="5"/>
      <c r="U12" s="269" t="s">
        <v>757</v>
      </c>
      <c r="W12">
        <v>-0.37</v>
      </c>
      <c r="X12" s="280">
        <f>(W12+Y12)/2</f>
        <v>-0.44</v>
      </c>
      <c r="Y12">
        <v>-0.51</v>
      </c>
      <c r="Z12">
        <v>0.11</v>
      </c>
      <c r="AA12">
        <v>0.06</v>
      </c>
      <c r="AB12">
        <v>0.1</v>
      </c>
      <c r="AC12" s="277">
        <v>7.0000000000000007E-2</v>
      </c>
      <c r="AD12" s="277">
        <v>0.12</v>
      </c>
      <c r="AE12" s="279">
        <f>AVERAGE(Z12:AB12)</f>
        <v>9.0000000000000011E-2</v>
      </c>
      <c r="AH12" s="3" t="s">
        <v>690</v>
      </c>
      <c r="AI12" s="12">
        <f>X16</f>
        <v>-0.11</v>
      </c>
      <c r="AJ12" s="12">
        <v>0</v>
      </c>
      <c r="AK12" s="12">
        <f>M16</f>
        <v>-7.0000000000000007E-2</v>
      </c>
      <c r="AL12" s="12"/>
      <c r="AS12" t="s">
        <v>777</v>
      </c>
      <c r="AT12" t="str" cm="1">
        <f t="array" ref="AT12:AU18">AC33:AD39</f>
        <v>Bike</v>
      </c>
      <c r="AU12" t="str">
        <v>walk</v>
      </c>
    </row>
    <row r="13" spans="1:49">
      <c r="A13" s="136" t="s">
        <v>740</v>
      </c>
      <c r="C13">
        <v>0</v>
      </c>
      <c r="D13">
        <v>-0.94</v>
      </c>
      <c r="E13">
        <v>0.22</v>
      </c>
      <c r="F13">
        <v>0.14000000000000001</v>
      </c>
      <c r="G13">
        <v>0.12</v>
      </c>
      <c r="H13">
        <v>0.17</v>
      </c>
      <c r="I13" s="5">
        <f t="shared" ref="I13:I18" si="4">AVERAGE(E13:F13)</f>
        <v>0.18</v>
      </c>
      <c r="K13" s="136" t="s">
        <v>740</v>
      </c>
      <c r="M13">
        <v>-0.03</v>
      </c>
      <c r="N13">
        <v>-0.09</v>
      </c>
      <c r="O13">
        <v>-0.24</v>
      </c>
      <c r="S13" s="5"/>
      <c r="U13" s="271" t="s">
        <v>758</v>
      </c>
      <c r="W13">
        <v>-0.22</v>
      </c>
      <c r="X13" s="5">
        <f t="shared" ref="X13:X50" si="5">(W13+Y13)/2</f>
        <v>-0.315</v>
      </c>
      <c r="Y13">
        <v>-0.41</v>
      </c>
      <c r="Z13">
        <v>0.35</v>
      </c>
      <c r="AA13">
        <v>0.2</v>
      </c>
      <c r="AB13">
        <v>0.28000000000000003</v>
      </c>
      <c r="AC13">
        <v>0.32</v>
      </c>
      <c r="AD13">
        <v>0.28999999999999998</v>
      </c>
      <c r="AE13" s="270">
        <f t="shared" ref="AE13:AE16" si="6">AVERAGE(Z13:AB13)</f>
        <v>0.27666666666666667</v>
      </c>
      <c r="AH13" s="3" t="s">
        <v>691</v>
      </c>
      <c r="AI13" s="12">
        <f>X15</f>
        <v>-0.19500000000000001</v>
      </c>
      <c r="AJ13" s="12">
        <v>0</v>
      </c>
      <c r="AK13" s="12">
        <f>M15</f>
        <v>-0.13</v>
      </c>
      <c r="AL13" s="12"/>
      <c r="AS13" s="265" t="s">
        <v>739</v>
      </c>
      <c r="AT13">
        <v>0.21000000000000002</v>
      </c>
      <c r="AU13">
        <v>0.20500000000000002</v>
      </c>
      <c r="AW13" t="str">
        <f>IMSUB(AT13,AU13)</f>
        <v>0,005</v>
      </c>
    </row>
    <row r="14" spans="1:49">
      <c r="A14" t="s">
        <v>741</v>
      </c>
      <c r="C14">
        <v>0</v>
      </c>
      <c r="D14">
        <v>-1.42</v>
      </c>
      <c r="E14">
        <v>0.12</v>
      </c>
      <c r="F14">
        <v>0.09</v>
      </c>
      <c r="G14">
        <v>0.05</v>
      </c>
      <c r="H14">
        <v>0.05</v>
      </c>
      <c r="I14" s="5">
        <f t="shared" si="4"/>
        <v>0.105</v>
      </c>
      <c r="K14" t="s">
        <v>741</v>
      </c>
      <c r="M14">
        <v>-0.37</v>
      </c>
      <c r="N14">
        <v>-0.51</v>
      </c>
      <c r="O14">
        <v>-0.55000000000000004</v>
      </c>
      <c r="S14" s="5"/>
      <c r="U14" s="269" t="s">
        <v>759</v>
      </c>
      <c r="W14">
        <v>-0.03</v>
      </c>
      <c r="X14" s="5">
        <f t="shared" si="5"/>
        <v>-0.06</v>
      </c>
      <c r="Y14">
        <v>-0.09</v>
      </c>
      <c r="Z14">
        <v>0.1</v>
      </c>
      <c r="AA14">
        <v>0.1</v>
      </c>
      <c r="AB14">
        <v>0.1</v>
      </c>
      <c r="AC14">
        <v>0.08</v>
      </c>
      <c r="AD14">
        <v>0.1</v>
      </c>
      <c r="AE14" s="270">
        <f t="shared" si="6"/>
        <v>0.10000000000000002</v>
      </c>
      <c r="AH14" s="3" t="s">
        <v>692</v>
      </c>
      <c r="AI14" s="12">
        <f>X16</f>
        <v>-0.11</v>
      </c>
      <c r="AJ14" s="12">
        <v>0</v>
      </c>
      <c r="AK14" s="12">
        <f>M16</f>
        <v>-7.0000000000000007E-2</v>
      </c>
      <c r="AL14" s="12"/>
      <c r="AS14" s="269" t="s">
        <v>757</v>
      </c>
      <c r="AT14">
        <v>0.09</v>
      </c>
      <c r="AU14">
        <v>0.14000000000000001</v>
      </c>
      <c r="AW14" t="str">
        <f t="shared" ref="AW14:AW18" si="7">IMSUB(AT14,AU14)</f>
        <v>-0,05</v>
      </c>
    </row>
    <row r="15" spans="1:49">
      <c r="A15" t="s">
        <v>745</v>
      </c>
      <c r="C15">
        <v>0</v>
      </c>
      <c r="D15">
        <v>-1.84</v>
      </c>
      <c r="E15">
        <v>0.13</v>
      </c>
      <c r="F15">
        <v>0.13</v>
      </c>
      <c r="G15">
        <v>0.24</v>
      </c>
      <c r="H15">
        <v>0.23</v>
      </c>
      <c r="I15" s="5">
        <f t="shared" si="4"/>
        <v>0.13</v>
      </c>
      <c r="K15" t="s">
        <v>745</v>
      </c>
      <c r="M15">
        <v>-0.13</v>
      </c>
      <c r="N15">
        <v>-0.26</v>
      </c>
      <c r="O15">
        <v>-0.4</v>
      </c>
      <c r="S15" s="5"/>
      <c r="U15" s="269" t="s">
        <v>760</v>
      </c>
      <c r="W15">
        <v>-0.13</v>
      </c>
      <c r="X15" s="280">
        <f t="shared" si="5"/>
        <v>-0.19500000000000001</v>
      </c>
      <c r="Y15">
        <v>-0.26</v>
      </c>
      <c r="Z15">
        <v>7.0000000000000007E-2</v>
      </c>
      <c r="AA15">
        <v>7.0000000000000007E-2</v>
      </c>
      <c r="AB15">
        <v>0.1</v>
      </c>
      <c r="AC15" s="277">
        <v>0.13</v>
      </c>
      <c r="AD15" s="277">
        <v>0.1</v>
      </c>
      <c r="AE15" s="279">
        <f t="shared" si="6"/>
        <v>0.08</v>
      </c>
      <c r="AH15" s="3"/>
      <c r="AI15" s="12"/>
      <c r="AJ15" s="12"/>
      <c r="AK15" s="12"/>
      <c r="AL15" s="12"/>
      <c r="AS15" s="271" t="s">
        <v>758</v>
      </c>
      <c r="AT15">
        <v>0.34</v>
      </c>
      <c r="AU15">
        <v>0.31</v>
      </c>
      <c r="AW15" t="str">
        <f t="shared" si="7"/>
        <v>0,03</v>
      </c>
    </row>
    <row r="16" spans="1:49">
      <c r="A16" t="s">
        <v>746</v>
      </c>
      <c r="C16">
        <v>0</v>
      </c>
      <c r="D16">
        <v>-1.46</v>
      </c>
      <c r="E16">
        <v>0.05</v>
      </c>
      <c r="F16">
        <v>0.05</v>
      </c>
      <c r="G16">
        <v>7.0000000000000007E-2</v>
      </c>
      <c r="H16">
        <v>7.0000000000000007E-2</v>
      </c>
      <c r="I16" s="5">
        <f t="shared" si="4"/>
        <v>0.05</v>
      </c>
      <c r="K16" t="s">
        <v>746</v>
      </c>
      <c r="M16">
        <v>-7.0000000000000007E-2</v>
      </c>
      <c r="N16">
        <v>-0.15</v>
      </c>
      <c r="O16">
        <v>-0.35</v>
      </c>
      <c r="S16" s="5"/>
      <c r="U16" s="269" t="s">
        <v>189</v>
      </c>
      <c r="W16">
        <v>-7.0000000000000007E-2</v>
      </c>
      <c r="X16" s="280">
        <f t="shared" si="5"/>
        <v>-0.11</v>
      </c>
      <c r="Y16">
        <v>-0.15</v>
      </c>
      <c r="Z16">
        <v>0.22</v>
      </c>
      <c r="AA16">
        <v>0.06</v>
      </c>
      <c r="AB16">
        <v>0.08</v>
      </c>
      <c r="AC16" s="277">
        <v>0.09</v>
      </c>
      <c r="AD16" s="277">
        <v>0.09</v>
      </c>
      <c r="AE16" s="279">
        <f t="shared" si="6"/>
        <v>0.12000000000000001</v>
      </c>
      <c r="AH16" s="3" t="s">
        <v>701</v>
      </c>
      <c r="AI16" s="12">
        <f>X22</f>
        <v>-2.7500000000000004E-2</v>
      </c>
      <c r="AJ16" s="11" cm="1">
        <f t="array" ref="AJ16:AJ20">C23:C27</f>
        <v>0</v>
      </c>
      <c r="AK16" s="11">
        <f>M23</f>
        <v>-0.1</v>
      </c>
      <c r="AL16" s="11"/>
      <c r="AS16" s="269" t="s">
        <v>759</v>
      </c>
      <c r="AT16">
        <v>0.08</v>
      </c>
      <c r="AU16">
        <v>0.1</v>
      </c>
      <c r="AW16" t="str">
        <f t="shared" si="7"/>
        <v>-0,02</v>
      </c>
    </row>
    <row r="17" spans="1:49">
      <c r="F17" s="5"/>
      <c r="I17" s="5"/>
      <c r="P17" s="5"/>
      <c r="S17" s="5"/>
      <c r="U17" s="265"/>
      <c r="X17" s="5"/>
      <c r="AB17" s="5"/>
      <c r="AE17" s="270"/>
      <c r="AH17" s="3" t="s">
        <v>702</v>
      </c>
      <c r="AI17" s="12">
        <f>X23</f>
        <v>-7.4999999999999997E-2</v>
      </c>
      <c r="AJ17" s="11">
        <v>0</v>
      </c>
      <c r="AK17" s="11">
        <f>M25</f>
        <v>-0.06</v>
      </c>
      <c r="AL17" s="11"/>
      <c r="AS17" s="269" t="s">
        <v>760</v>
      </c>
      <c r="AT17">
        <v>0.14000000000000001</v>
      </c>
      <c r="AU17">
        <v>0.12</v>
      </c>
      <c r="AW17" t="str">
        <f t="shared" si="7"/>
        <v>0,02</v>
      </c>
    </row>
    <row r="18" spans="1:49">
      <c r="A18" t="s">
        <v>747</v>
      </c>
      <c r="C18">
        <v>0</v>
      </c>
      <c r="D18">
        <v>-2.52</v>
      </c>
      <c r="E18">
        <v>0</v>
      </c>
      <c r="F18">
        <v>0.3</v>
      </c>
      <c r="G18">
        <v>0.23</v>
      </c>
      <c r="H18">
        <v>0.42</v>
      </c>
      <c r="I18" s="5">
        <f t="shared" si="4"/>
        <v>0.15</v>
      </c>
      <c r="K18" t="s">
        <v>747</v>
      </c>
      <c r="S18" s="5"/>
      <c r="U18" s="265" t="s">
        <v>747</v>
      </c>
      <c r="X18" s="5"/>
      <c r="AE18" s="270"/>
      <c r="AH18" s="3" t="s">
        <v>703</v>
      </c>
      <c r="AI18" s="12">
        <f>X27</f>
        <v>-2.5000000000000001E-2</v>
      </c>
      <c r="AJ18" s="11">
        <v>0</v>
      </c>
      <c r="AK18" s="11">
        <f>M27</f>
        <v>-0.13</v>
      </c>
      <c r="AL18" s="11"/>
      <c r="AS18" s="269" t="s">
        <v>189</v>
      </c>
      <c r="AT18">
        <v>0.09</v>
      </c>
      <c r="AU18">
        <v>0.09</v>
      </c>
      <c r="AW18" t="str">
        <f t="shared" si="7"/>
        <v>0</v>
      </c>
    </row>
    <row r="19" spans="1:49">
      <c r="U19" s="265"/>
      <c r="X19" s="5"/>
      <c r="AE19" s="272"/>
      <c r="AH19" s="3" t="s">
        <v>704</v>
      </c>
      <c r="AI19" s="12">
        <f>X26</f>
        <v>-0.05</v>
      </c>
      <c r="AJ19" s="11">
        <v>0</v>
      </c>
      <c r="AK19" s="11">
        <f>M26</f>
        <v>-0.19</v>
      </c>
      <c r="AL19" s="11"/>
    </row>
    <row r="20" spans="1:49">
      <c r="U20" s="265"/>
      <c r="X20" s="5"/>
      <c r="AA20" t="s">
        <v>762</v>
      </c>
      <c r="AE20" s="272"/>
      <c r="AH20" s="3" t="s">
        <v>705</v>
      </c>
      <c r="AI20" s="12">
        <f>X27</f>
        <v>-2.5000000000000001E-2</v>
      </c>
      <c r="AJ20" s="11">
        <v>0</v>
      </c>
      <c r="AK20" s="11">
        <f>M27</f>
        <v>-0.13</v>
      </c>
      <c r="AL20" s="11"/>
    </row>
    <row r="21" spans="1:49">
      <c r="A21" s="10" t="s">
        <v>742</v>
      </c>
      <c r="B21" s="10"/>
      <c r="C21" s="88" t="s">
        <v>748</v>
      </c>
      <c r="D21" s="10" t="s">
        <v>744</v>
      </c>
      <c r="E21" s="10" t="s">
        <v>186</v>
      </c>
      <c r="F21" s="10" t="s">
        <v>187</v>
      </c>
      <c r="G21" s="10" t="s">
        <v>41</v>
      </c>
      <c r="H21" s="10" t="s">
        <v>272</v>
      </c>
      <c r="I21" s="84" t="s">
        <v>6</v>
      </c>
      <c r="K21" s="10" t="s">
        <v>742</v>
      </c>
      <c r="L21" s="10"/>
      <c r="M21" s="88" t="s">
        <v>748</v>
      </c>
      <c r="N21" s="10" t="s">
        <v>744</v>
      </c>
      <c r="O21" s="10" t="s">
        <v>186</v>
      </c>
      <c r="P21" s="10" t="s">
        <v>187</v>
      </c>
      <c r="Q21" s="10" t="s">
        <v>41</v>
      </c>
      <c r="R21" s="10" t="s">
        <v>272</v>
      </c>
      <c r="S21" s="84" t="s">
        <v>6</v>
      </c>
      <c r="U21" s="268" t="s">
        <v>742</v>
      </c>
      <c r="V21" s="10"/>
      <c r="W21" s="10" t="s">
        <v>748</v>
      </c>
      <c r="X21" s="5"/>
      <c r="Y21" s="10" t="s">
        <v>744</v>
      </c>
      <c r="Z21" s="10" t="s">
        <v>186</v>
      </c>
      <c r="AA21" s="10" t="s">
        <v>761</v>
      </c>
      <c r="AB21" s="10" t="s">
        <v>437</v>
      </c>
      <c r="AC21" s="10" t="s">
        <v>41</v>
      </c>
      <c r="AD21" s="10" t="s">
        <v>272</v>
      </c>
      <c r="AE21" s="272" t="s">
        <v>6</v>
      </c>
      <c r="AH21" s="251" t="s">
        <v>70</v>
      </c>
      <c r="AI21" s="282"/>
      <c r="AJ21" s="250"/>
      <c r="AK21" s="250"/>
      <c r="AL21" s="250"/>
      <c r="AS21" t="s">
        <v>778</v>
      </c>
      <c r="AT21" t="str" cm="1">
        <f t="array" ref="AT21:AU29">G10:H18</f>
        <v>Bike</v>
      </c>
      <c r="AU21" t="str">
        <v>walk</v>
      </c>
    </row>
    <row r="22" spans="1:49">
      <c r="C22" s="84"/>
      <c r="I22" s="84"/>
      <c r="M22" s="84"/>
      <c r="S22" s="84"/>
      <c r="U22" s="265" t="s">
        <v>739</v>
      </c>
      <c r="W22">
        <f>(W24+W25)/2</f>
        <v>-0.15000000000000002</v>
      </c>
      <c r="X22">
        <f t="shared" ref="X22:AE22" si="8">(X24+X25)/2</f>
        <v>-2.7500000000000004E-2</v>
      </c>
      <c r="Y22">
        <f t="shared" si="8"/>
        <v>9.5000000000000001E-2</v>
      </c>
      <c r="Z22">
        <f t="shared" si="8"/>
        <v>0.09</v>
      </c>
      <c r="AA22">
        <f t="shared" si="8"/>
        <v>6.0000000000000005E-2</v>
      </c>
      <c r="AB22">
        <f t="shared" si="8"/>
        <v>7.5000000000000011E-2</v>
      </c>
      <c r="AC22">
        <f t="shared" si="8"/>
        <v>0.08</v>
      </c>
      <c r="AD22">
        <f t="shared" si="8"/>
        <v>0.08</v>
      </c>
      <c r="AE22">
        <f t="shared" si="8"/>
        <v>7.5000000000000011E-2</v>
      </c>
      <c r="AH22" s="3"/>
      <c r="AI22" s="12"/>
      <c r="AJ22" s="11"/>
      <c r="AK22" s="11"/>
      <c r="AL22" s="11"/>
      <c r="AT22">
        <v>0</v>
      </c>
      <c r="AU22">
        <v>0</v>
      </c>
    </row>
    <row r="23" spans="1:49">
      <c r="A23" t="s">
        <v>739</v>
      </c>
      <c r="C23">
        <v>0</v>
      </c>
      <c r="D23">
        <v>0.13</v>
      </c>
      <c r="E23">
        <v>0.11</v>
      </c>
      <c r="F23">
        <v>0.08</v>
      </c>
      <c r="G23">
        <v>0.11</v>
      </c>
      <c r="H23">
        <v>0.11</v>
      </c>
      <c r="I23">
        <f>AVERAGE(E23:F23)</f>
        <v>9.5000000000000001E-2</v>
      </c>
      <c r="K23" t="s">
        <v>739</v>
      </c>
      <c r="M23">
        <v>-0.1</v>
      </c>
      <c r="O23">
        <v>-0.36</v>
      </c>
      <c r="U23" s="269" t="s">
        <v>757</v>
      </c>
      <c r="W23">
        <v>-0.06</v>
      </c>
      <c r="X23" s="5">
        <f t="shared" si="5"/>
        <v>-7.4999999999999997E-2</v>
      </c>
      <c r="Y23">
        <v>-0.09</v>
      </c>
      <c r="Z23">
        <v>0.02</v>
      </c>
      <c r="AA23">
        <v>0.01</v>
      </c>
      <c r="AB23">
        <v>0.02</v>
      </c>
      <c r="AC23">
        <v>0.01</v>
      </c>
      <c r="AD23">
        <v>0.02</v>
      </c>
      <c r="AE23" s="270">
        <f>AVERAGE(Z23:AB23)</f>
        <v>1.6666666666666666E-2</v>
      </c>
      <c r="AH23" s="10"/>
      <c r="AI23" s="87"/>
      <c r="AJ23" s="10"/>
      <c r="AK23" s="10"/>
      <c r="AL23" s="10"/>
      <c r="AS23" s="5" t="s">
        <v>739</v>
      </c>
      <c r="AT23" s="5">
        <v>0.26</v>
      </c>
      <c r="AU23" s="5">
        <v>0.26</v>
      </c>
      <c r="AV23" s="5"/>
      <c r="AW23" s="5" t="str">
        <f>IMSUB(AT23,AU23)</f>
        <v>0</v>
      </c>
    </row>
    <row r="24" spans="1:49">
      <c r="A24" s="136" t="s">
        <v>740</v>
      </c>
      <c r="C24">
        <v>0</v>
      </c>
      <c r="D24">
        <v>0.1</v>
      </c>
      <c r="E24">
        <v>0.09</v>
      </c>
      <c r="F24">
        <v>0.05</v>
      </c>
      <c r="G24">
        <v>0.05</v>
      </c>
      <c r="H24">
        <v>7.0000000000000007E-2</v>
      </c>
      <c r="I24">
        <f t="shared" ref="I24:I29" si="9">AVERAGE(E24:F24)</f>
        <v>7.0000000000000007E-2</v>
      </c>
      <c r="K24" s="136" t="s">
        <v>740</v>
      </c>
      <c r="M24">
        <v>-0.02</v>
      </c>
      <c r="O24">
        <v>-0.28000000000000003</v>
      </c>
      <c r="U24" s="271" t="s">
        <v>758</v>
      </c>
      <c r="W24">
        <v>-0.1</v>
      </c>
      <c r="X24" s="5">
        <f t="shared" si="5"/>
        <v>2.0000000000000004E-2</v>
      </c>
      <c r="Y24">
        <v>0.14000000000000001</v>
      </c>
      <c r="Z24">
        <v>0.12</v>
      </c>
      <c r="AA24">
        <v>7.0000000000000007E-2</v>
      </c>
      <c r="AB24">
        <v>0.1</v>
      </c>
      <c r="AC24">
        <v>0.12</v>
      </c>
      <c r="AD24">
        <v>0.11</v>
      </c>
      <c r="AE24" s="270">
        <f t="shared" ref="AE24:AE50" si="10">AVERAGE(Z24:AB24)</f>
        <v>9.6666666666666679E-2</v>
      </c>
      <c r="AH24" s="3" t="s">
        <v>710</v>
      </c>
      <c r="AI24" s="12">
        <f>AE16</f>
        <v>0.12000000000000001</v>
      </c>
      <c r="AJ24" s="12">
        <f>I16</f>
        <v>0.05</v>
      </c>
      <c r="AK24" s="12">
        <f>O16</f>
        <v>-0.35</v>
      </c>
      <c r="AL24" s="12"/>
      <c r="AS24" s="136" t="s">
        <v>740</v>
      </c>
      <c r="AT24">
        <v>0.12</v>
      </c>
      <c r="AU24">
        <v>0.17</v>
      </c>
      <c r="AW24" t="str">
        <f t="shared" ref="AW24:AW29" si="11">IMSUB(AT24,AU24)</f>
        <v>-0,05</v>
      </c>
    </row>
    <row r="25" spans="1:49">
      <c r="A25" t="s">
        <v>741</v>
      </c>
      <c r="C25">
        <v>0</v>
      </c>
      <c r="D25">
        <v>0</v>
      </c>
      <c r="E25">
        <v>0.01</v>
      </c>
      <c r="F25">
        <v>0.01</v>
      </c>
      <c r="G25">
        <v>0</v>
      </c>
      <c r="H25">
        <v>0</v>
      </c>
      <c r="I25">
        <f t="shared" si="9"/>
        <v>0.01</v>
      </c>
      <c r="K25" t="s">
        <v>741</v>
      </c>
      <c r="M25">
        <v>-0.06</v>
      </c>
      <c r="O25">
        <v>-0.21</v>
      </c>
      <c r="U25" s="269" t="s">
        <v>759</v>
      </c>
      <c r="W25">
        <v>-0.2</v>
      </c>
      <c r="X25" s="5">
        <f t="shared" si="5"/>
        <v>-7.5000000000000011E-2</v>
      </c>
      <c r="Y25">
        <v>0.05</v>
      </c>
      <c r="Z25">
        <v>0.06</v>
      </c>
      <c r="AA25">
        <v>0.05</v>
      </c>
      <c r="AB25">
        <v>0.05</v>
      </c>
      <c r="AC25">
        <v>0.04</v>
      </c>
      <c r="AD25">
        <v>0.05</v>
      </c>
      <c r="AE25" s="270">
        <f t="shared" si="10"/>
        <v>5.3333333333333337E-2</v>
      </c>
      <c r="AH25" s="3" t="s">
        <v>706</v>
      </c>
      <c r="AI25" s="12">
        <f>AE15</f>
        <v>0.08</v>
      </c>
      <c r="AJ25" s="12">
        <f>I15</f>
        <v>0.13</v>
      </c>
      <c r="AK25" s="12">
        <f>O15</f>
        <v>-0.4</v>
      </c>
      <c r="AL25" s="12"/>
      <c r="AS25" s="5" t="s">
        <v>741</v>
      </c>
      <c r="AT25" s="5">
        <v>0.05</v>
      </c>
      <c r="AU25" s="5">
        <v>0.05</v>
      </c>
      <c r="AV25" s="5"/>
      <c r="AW25" s="5" t="str">
        <f t="shared" si="11"/>
        <v>0</v>
      </c>
    </row>
    <row r="26" spans="1:49">
      <c r="A26" t="s">
        <v>745</v>
      </c>
      <c r="C26">
        <v>0</v>
      </c>
      <c r="D26">
        <v>0.06</v>
      </c>
      <c r="E26">
        <v>0.02</v>
      </c>
      <c r="F26">
        <v>0.03</v>
      </c>
      <c r="G26">
        <v>0.06</v>
      </c>
      <c r="H26">
        <v>0.06</v>
      </c>
      <c r="I26">
        <f t="shared" si="9"/>
        <v>2.5000000000000001E-2</v>
      </c>
      <c r="K26" t="s">
        <v>745</v>
      </c>
      <c r="M26">
        <v>-0.19</v>
      </c>
      <c r="O26">
        <v>-1</v>
      </c>
      <c r="U26" s="269" t="s">
        <v>760</v>
      </c>
      <c r="W26">
        <v>-0.19</v>
      </c>
      <c r="X26" s="5">
        <f t="shared" si="5"/>
        <v>-0.05</v>
      </c>
      <c r="Y26">
        <v>0.09</v>
      </c>
      <c r="Z26">
        <v>0.08</v>
      </c>
      <c r="AA26">
        <v>0.05</v>
      </c>
      <c r="AB26">
        <v>7.0000000000000007E-2</v>
      </c>
      <c r="AC26">
        <v>0.11</v>
      </c>
      <c r="AD26">
        <v>0.09</v>
      </c>
      <c r="AE26" s="270">
        <f t="shared" si="10"/>
        <v>6.6666666666666666E-2</v>
      </c>
      <c r="AH26" s="3" t="s">
        <v>707</v>
      </c>
      <c r="AI26" s="12">
        <f>AE16</f>
        <v>0.12000000000000001</v>
      </c>
      <c r="AJ26" s="12">
        <f>I18</f>
        <v>0.15</v>
      </c>
      <c r="AK26" s="12">
        <f>O16</f>
        <v>-0.35</v>
      </c>
      <c r="AL26" s="12"/>
      <c r="AS26" s="5" t="s">
        <v>745</v>
      </c>
      <c r="AT26" s="5">
        <v>0.24</v>
      </c>
      <c r="AU26" s="5">
        <v>0.23</v>
      </c>
      <c r="AV26" s="5"/>
      <c r="AW26" s="5" t="str">
        <f t="shared" si="11"/>
        <v>0,00999999999999998</v>
      </c>
    </row>
    <row r="27" spans="1:49">
      <c r="A27" t="s">
        <v>746</v>
      </c>
      <c r="C27">
        <v>0</v>
      </c>
      <c r="D27">
        <v>0.02</v>
      </c>
      <c r="E27">
        <v>0.01</v>
      </c>
      <c r="F27">
        <v>0.01</v>
      </c>
      <c r="G27">
        <v>0.02</v>
      </c>
      <c r="H27">
        <v>0.03</v>
      </c>
      <c r="I27">
        <f t="shared" si="9"/>
        <v>0.01</v>
      </c>
      <c r="K27" t="s">
        <v>746</v>
      </c>
      <c r="M27">
        <v>-0.13</v>
      </c>
      <c r="O27">
        <v>-0.65</v>
      </c>
      <c r="U27" s="269" t="s">
        <v>189</v>
      </c>
      <c r="W27">
        <v>-0.13</v>
      </c>
      <c r="X27" s="5">
        <f t="shared" si="5"/>
        <v>-2.5000000000000001E-2</v>
      </c>
      <c r="Y27">
        <v>0.08</v>
      </c>
      <c r="Z27">
        <v>0.06</v>
      </c>
      <c r="AA27">
        <v>0.04</v>
      </c>
      <c r="AB27">
        <v>0.06</v>
      </c>
      <c r="AC27">
        <v>0.08</v>
      </c>
      <c r="AD27">
        <v>0.09</v>
      </c>
      <c r="AE27" s="270">
        <f t="shared" si="10"/>
        <v>5.3333333333333337E-2</v>
      </c>
      <c r="AH27" s="3"/>
      <c r="AI27" s="12"/>
      <c r="AJ27" s="12"/>
      <c r="AK27" s="12"/>
      <c r="AL27" s="12"/>
      <c r="AS27" s="5" t="s">
        <v>746</v>
      </c>
      <c r="AT27" s="5">
        <v>7.0000000000000007E-2</v>
      </c>
      <c r="AU27" s="5">
        <v>7.0000000000000007E-2</v>
      </c>
      <c r="AV27" s="5"/>
      <c r="AW27" s="5" t="str">
        <f t="shared" si="11"/>
        <v>0</v>
      </c>
    </row>
    <row r="28" spans="1:49">
      <c r="U28" s="265"/>
      <c r="X28" s="5"/>
      <c r="AE28" s="270"/>
      <c r="AH28" s="248" t="s">
        <v>708</v>
      </c>
      <c r="AI28" s="249">
        <f>AE11</f>
        <v>0.18833333333333335</v>
      </c>
      <c r="AJ28" s="249">
        <f>I12</f>
        <v>0.23</v>
      </c>
      <c r="AK28" s="249">
        <f>O12</f>
        <v>-0.66</v>
      </c>
      <c r="AL28" s="249"/>
      <c r="AT28">
        <v>0</v>
      </c>
      <c r="AU28">
        <v>0</v>
      </c>
      <c r="AW28" t="str">
        <f t="shared" si="11"/>
        <v>0</v>
      </c>
    </row>
    <row r="29" spans="1:49">
      <c r="A29" t="s">
        <v>747</v>
      </c>
      <c r="C29">
        <v>0</v>
      </c>
      <c r="D29">
        <v>0.22</v>
      </c>
      <c r="E29">
        <v>0</v>
      </c>
      <c r="F29">
        <v>0.14000000000000001</v>
      </c>
      <c r="G29">
        <v>0.06</v>
      </c>
      <c r="H29">
        <v>0.16</v>
      </c>
      <c r="I29">
        <f t="shared" si="9"/>
        <v>7.0000000000000007E-2</v>
      </c>
      <c r="K29" t="s">
        <v>747</v>
      </c>
      <c r="U29" s="265" t="s">
        <v>747</v>
      </c>
      <c r="X29" s="5"/>
      <c r="AE29" s="270"/>
      <c r="AH29" s="248" t="s">
        <v>709</v>
      </c>
      <c r="AI29" s="249">
        <f>AE11</f>
        <v>0.18833333333333335</v>
      </c>
      <c r="AJ29" s="249">
        <f>AJ28</f>
        <v>0.23</v>
      </c>
      <c r="AK29" s="249">
        <f>O12</f>
        <v>-0.66</v>
      </c>
      <c r="AL29" s="249"/>
      <c r="AS29" t="s">
        <v>747</v>
      </c>
      <c r="AT29">
        <v>0.23</v>
      </c>
      <c r="AU29">
        <v>0.42</v>
      </c>
      <c r="AW29" t="str">
        <f t="shared" si="11"/>
        <v>-0,19</v>
      </c>
    </row>
    <row r="30" spans="1:49">
      <c r="U30" s="265"/>
      <c r="X30" s="5"/>
      <c r="AE30" s="270"/>
      <c r="AH30" s="248" t="s">
        <v>711</v>
      </c>
      <c r="AI30" s="249">
        <f>AE11</f>
        <v>0.18833333333333335</v>
      </c>
      <c r="AJ30" s="249">
        <f>AJ29</f>
        <v>0.23</v>
      </c>
      <c r="AK30" s="249">
        <f>O12</f>
        <v>-0.66</v>
      </c>
      <c r="AL30" s="249"/>
    </row>
    <row r="31" spans="1:49">
      <c r="K31" s="102" t="s">
        <v>755</v>
      </c>
      <c r="U31" s="267" t="s">
        <v>763</v>
      </c>
      <c r="X31" s="5"/>
      <c r="AE31" s="270"/>
      <c r="AH31" s="248" t="s">
        <v>712</v>
      </c>
      <c r="AI31" s="249">
        <f>AE12</f>
        <v>9.0000000000000011E-2</v>
      </c>
      <c r="AJ31" s="249">
        <f>I14</f>
        <v>0.105</v>
      </c>
      <c r="AK31" s="249">
        <f>O14</f>
        <v>-0.55000000000000004</v>
      </c>
      <c r="AL31" s="249"/>
    </row>
    <row r="32" spans="1:49">
      <c r="U32" s="265"/>
      <c r="X32" s="5"/>
      <c r="AE32" s="270"/>
      <c r="AH32" s="248" t="s">
        <v>713</v>
      </c>
      <c r="AI32" s="249">
        <f>AE12</f>
        <v>9.0000000000000011E-2</v>
      </c>
      <c r="AJ32" s="249">
        <f>AJ31</f>
        <v>0.105</v>
      </c>
      <c r="AK32" s="249">
        <f>O14</f>
        <v>-0.55000000000000004</v>
      </c>
      <c r="AL32" s="249"/>
    </row>
    <row r="33" spans="11:53">
      <c r="K33" s="10" t="s">
        <v>743</v>
      </c>
      <c r="L33" s="10"/>
      <c r="M33" s="88" t="s">
        <v>748</v>
      </c>
      <c r="N33" s="10" t="s">
        <v>744</v>
      </c>
      <c r="O33" s="10" t="s">
        <v>186</v>
      </c>
      <c r="P33" s="10" t="s">
        <v>187</v>
      </c>
      <c r="Q33" s="88" t="s">
        <v>41</v>
      </c>
      <c r="R33" s="88" t="s">
        <v>272</v>
      </c>
      <c r="S33" s="84" t="s">
        <v>6</v>
      </c>
      <c r="U33" s="268" t="s">
        <v>743</v>
      </c>
      <c r="V33" s="10"/>
      <c r="W33" s="10" t="s">
        <v>748</v>
      </c>
      <c r="X33" s="5"/>
      <c r="Y33" s="10" t="s">
        <v>744</v>
      </c>
      <c r="Z33" s="10" t="s">
        <v>186</v>
      </c>
      <c r="AA33" s="10" t="s">
        <v>766</v>
      </c>
      <c r="AB33" s="10" t="s">
        <v>187</v>
      </c>
      <c r="AC33" s="10" t="s">
        <v>41</v>
      </c>
      <c r="AD33" s="10" t="s">
        <v>272</v>
      </c>
      <c r="AE33" s="270" t="s">
        <v>6</v>
      </c>
      <c r="AH33" s="248" t="s">
        <v>714</v>
      </c>
      <c r="AI33" s="249">
        <f>AE12</f>
        <v>9.0000000000000011E-2</v>
      </c>
      <c r="AJ33" s="249">
        <f>AJ32</f>
        <v>0.105</v>
      </c>
      <c r="AK33" s="249">
        <f>O14</f>
        <v>-0.55000000000000004</v>
      </c>
      <c r="AL33" s="249"/>
    </row>
    <row r="34" spans="11:53">
      <c r="M34" s="84"/>
      <c r="Q34" s="84"/>
      <c r="R34" s="84"/>
      <c r="S34" s="84"/>
      <c r="U34" s="265" t="s">
        <v>739</v>
      </c>
      <c r="W34">
        <f>(W36+W37)/2</f>
        <v>-0.72</v>
      </c>
      <c r="X34">
        <f t="shared" ref="X34:AE34" si="12">(X36+X37)/2</f>
        <v>-0.71750000000000003</v>
      </c>
      <c r="Y34">
        <f t="shared" si="12"/>
        <v>-0.71500000000000008</v>
      </c>
      <c r="Z34">
        <f t="shared" si="12"/>
        <v>0.26500000000000001</v>
      </c>
      <c r="AA34">
        <f t="shared" si="12"/>
        <v>0.185</v>
      </c>
      <c r="AB34">
        <f t="shared" si="12"/>
        <v>0.22</v>
      </c>
      <c r="AC34">
        <f t="shared" si="12"/>
        <v>0.21000000000000002</v>
      </c>
      <c r="AD34">
        <f t="shared" si="12"/>
        <v>0.20500000000000002</v>
      </c>
      <c r="AE34">
        <f t="shared" si="12"/>
        <v>0.22333333333333333</v>
      </c>
      <c r="AH34" s="3"/>
      <c r="AI34" s="12"/>
      <c r="AJ34" s="12"/>
      <c r="AK34" s="12"/>
      <c r="AL34" s="12"/>
      <c r="AS34" t="s">
        <v>779</v>
      </c>
      <c r="AT34" t="s">
        <v>41</v>
      </c>
      <c r="AU34" s="277" t="s">
        <v>783</v>
      </c>
      <c r="AW34" s="277" t="s">
        <v>780</v>
      </c>
      <c r="AY34" t="s">
        <v>781</v>
      </c>
      <c r="BA34" t="s">
        <v>782</v>
      </c>
    </row>
    <row r="35" spans="11:53">
      <c r="K35" t="s">
        <v>739</v>
      </c>
      <c r="M35">
        <v>-1.05</v>
      </c>
      <c r="N35">
        <v>-1.08</v>
      </c>
      <c r="O35">
        <v>-1.19</v>
      </c>
      <c r="S35" s="5"/>
      <c r="U35" s="269" t="s">
        <v>757</v>
      </c>
      <c r="W35">
        <v>-1.4</v>
      </c>
      <c r="X35" s="5">
        <f t="shared" si="5"/>
        <v>-1.25</v>
      </c>
      <c r="Y35">
        <v>-1.1000000000000001</v>
      </c>
      <c r="Z35">
        <v>0.11</v>
      </c>
      <c r="AA35">
        <v>0.08</v>
      </c>
      <c r="AB35">
        <v>0.12</v>
      </c>
      <c r="AC35">
        <v>0.09</v>
      </c>
      <c r="AD35">
        <v>0.14000000000000001</v>
      </c>
      <c r="AE35" s="270">
        <f t="shared" si="10"/>
        <v>0.10333333333333333</v>
      </c>
      <c r="AI35" s="65"/>
      <c r="AS35" s="3" t="s">
        <v>681</v>
      </c>
      <c r="AT35" cm="1">
        <f t="array" ref="AT35:AT39">'input B (Octavius)'!B17:B21</f>
        <v>-9.8000000000000004E-2</v>
      </c>
      <c r="AU35" s="295">
        <f>AT35+(AW35)</f>
        <v>-9.8490000000000008E-2</v>
      </c>
      <c r="AW35">
        <f>AT35*AW5</f>
        <v>-4.8999999999999998E-4</v>
      </c>
      <c r="AY35">
        <f>AT35*AW23</f>
        <v>0</v>
      </c>
      <c r="BA35">
        <f>AT35+AY35</f>
        <v>-9.8000000000000004E-2</v>
      </c>
    </row>
    <row r="36" spans="11:53">
      <c r="K36" s="136" t="s">
        <v>740</v>
      </c>
      <c r="M36">
        <v>-0.39</v>
      </c>
      <c r="N36">
        <v>-0.35</v>
      </c>
      <c r="O36">
        <v>-0.51</v>
      </c>
      <c r="S36" s="5"/>
      <c r="U36" s="271" t="s">
        <v>758</v>
      </c>
      <c r="W36">
        <v>-1.05</v>
      </c>
      <c r="X36" s="5">
        <f t="shared" si="5"/>
        <v>-1.0649999999999999</v>
      </c>
      <c r="Y36">
        <v>-1.08</v>
      </c>
      <c r="Z36">
        <v>0.37</v>
      </c>
      <c r="AA36">
        <v>0.26</v>
      </c>
      <c r="AB36">
        <v>0.33</v>
      </c>
      <c r="AC36">
        <v>0.34</v>
      </c>
      <c r="AD36">
        <v>0.31</v>
      </c>
      <c r="AE36" s="270">
        <f t="shared" si="10"/>
        <v>0.32</v>
      </c>
      <c r="AH36" s="91" t="s">
        <v>716</v>
      </c>
      <c r="AI36" s="92">
        <f>AE27</f>
        <v>5.3333333333333337E-2</v>
      </c>
      <c r="AJ36" s="92">
        <f>I27</f>
        <v>0.01</v>
      </c>
      <c r="AK36" s="92">
        <f>O27</f>
        <v>-0.65</v>
      </c>
      <c r="AL36" s="92"/>
      <c r="AS36" s="3" t="s">
        <v>682</v>
      </c>
      <c r="AT36">
        <v>-8.7999999999999995E-2</v>
      </c>
      <c r="AU36" s="295">
        <f>AT36+(AW36)</f>
        <v>-8.3599999999999994E-2</v>
      </c>
      <c r="AW36">
        <f>AT36*AW6</f>
        <v>4.4000000000000003E-3</v>
      </c>
      <c r="AY36">
        <f>AT36*AW25</f>
        <v>0</v>
      </c>
      <c r="BA36">
        <f t="shared" ref="BA36:BA39" si="13">AT36+AY36</f>
        <v>-8.7999999999999995E-2</v>
      </c>
    </row>
    <row r="37" spans="11:53">
      <c r="K37" t="s">
        <v>741</v>
      </c>
      <c r="M37">
        <v>-1.4</v>
      </c>
      <c r="N37">
        <v>-1.1000000000000001</v>
      </c>
      <c r="O37">
        <v>-1.1499999999999999</v>
      </c>
      <c r="S37" s="5"/>
      <c r="U37" s="269" t="s">
        <v>759</v>
      </c>
      <c r="W37">
        <v>-0.39</v>
      </c>
      <c r="X37" s="5">
        <f t="shared" si="5"/>
        <v>-0.37</v>
      </c>
      <c r="Y37">
        <v>-0.35</v>
      </c>
      <c r="Z37">
        <v>0.16</v>
      </c>
      <c r="AA37">
        <v>0.11</v>
      </c>
      <c r="AB37">
        <v>0.11</v>
      </c>
      <c r="AC37">
        <v>0.08</v>
      </c>
      <c r="AD37">
        <v>0.1</v>
      </c>
      <c r="AE37" s="270">
        <f t="shared" si="10"/>
        <v>0.12666666666666668</v>
      </c>
      <c r="AH37" s="91" t="s">
        <v>717</v>
      </c>
      <c r="AI37" s="92">
        <f>AE26</f>
        <v>6.6666666666666666E-2</v>
      </c>
      <c r="AJ37" s="92">
        <f>I26</f>
        <v>2.5000000000000001E-2</v>
      </c>
      <c r="AK37" s="92">
        <f>O26</f>
        <v>-1</v>
      </c>
      <c r="AL37" s="92"/>
      <c r="AS37" s="3" t="s">
        <v>683</v>
      </c>
      <c r="AT37">
        <v>-0.16</v>
      </c>
      <c r="AU37" s="295">
        <f t="shared" ref="AU37:AU39" si="14">AT37+ABS(AW37)</f>
        <v>-0.15679999999999999</v>
      </c>
      <c r="AW37">
        <f>AT37*AW8</f>
        <v>3.2000000000000002E-3</v>
      </c>
      <c r="AY37">
        <f>AT37*AW27</f>
        <v>0</v>
      </c>
      <c r="BA37">
        <f t="shared" si="13"/>
        <v>-0.16</v>
      </c>
    </row>
    <row r="38" spans="11:53">
      <c r="K38" t="s">
        <v>745</v>
      </c>
      <c r="M38">
        <v>-0.71</v>
      </c>
      <c r="N38">
        <v>-0.81</v>
      </c>
      <c r="O38">
        <v>-0.76</v>
      </c>
      <c r="S38" s="5"/>
      <c r="U38" s="269" t="s">
        <v>760</v>
      </c>
      <c r="W38">
        <v>-0.71</v>
      </c>
      <c r="X38" s="5">
        <f t="shared" si="5"/>
        <v>-0.76</v>
      </c>
      <c r="Y38">
        <v>-0.81</v>
      </c>
      <c r="Z38">
        <v>0.1</v>
      </c>
      <c r="AA38">
        <v>0.09</v>
      </c>
      <c r="AB38">
        <v>0.11</v>
      </c>
      <c r="AC38">
        <v>0.14000000000000001</v>
      </c>
      <c r="AD38">
        <v>0.12</v>
      </c>
      <c r="AE38" s="270">
        <f t="shared" si="10"/>
        <v>9.9999999999999992E-2</v>
      </c>
      <c r="AH38" s="91" t="s">
        <v>718</v>
      </c>
      <c r="AI38" s="92">
        <f>AE27</f>
        <v>5.3333333333333337E-2</v>
      </c>
      <c r="AJ38" s="92">
        <f>I29</f>
        <v>7.0000000000000007E-2</v>
      </c>
      <c r="AK38" s="92">
        <f>O27</f>
        <v>-0.65</v>
      </c>
      <c r="AL38" s="92"/>
      <c r="AS38" s="3" t="s">
        <v>684</v>
      </c>
      <c r="AT38">
        <v>-0.13900000000000001</v>
      </c>
      <c r="AU38" s="295">
        <f>AT38+(AW38)</f>
        <v>-0.14317000000000002</v>
      </c>
      <c r="AW38">
        <f>AT38*AW9</f>
        <v>-4.1700000000000001E-3</v>
      </c>
      <c r="AY38">
        <f>AT38*AW26</f>
        <v>-1.3899999999999974E-3</v>
      </c>
      <c r="BA38">
        <f>AT38+AY38</f>
        <v>-0.14039000000000001</v>
      </c>
    </row>
    <row r="39" spans="11:53">
      <c r="K39" t="s">
        <v>746</v>
      </c>
      <c r="M39">
        <v>-0.83</v>
      </c>
      <c r="N39">
        <v>-0.8</v>
      </c>
      <c r="O39">
        <v>-0.84</v>
      </c>
      <c r="S39" s="5"/>
      <c r="U39" s="269" t="s">
        <v>189</v>
      </c>
      <c r="W39">
        <v>-0.83</v>
      </c>
      <c r="X39" s="5">
        <f t="shared" si="5"/>
        <v>-0.81499999999999995</v>
      </c>
      <c r="Y39">
        <v>-0.8</v>
      </c>
      <c r="Z39">
        <v>7.0000000000000007E-2</v>
      </c>
      <c r="AA39">
        <v>7.0000000000000007E-2</v>
      </c>
      <c r="AB39">
        <v>0.08</v>
      </c>
      <c r="AC39">
        <v>0.09</v>
      </c>
      <c r="AD39">
        <v>0.09</v>
      </c>
      <c r="AE39" s="270">
        <f t="shared" si="10"/>
        <v>7.3333333333333348E-2</v>
      </c>
      <c r="AH39" s="91" t="s">
        <v>719</v>
      </c>
      <c r="AI39" s="92">
        <f>AE22</f>
        <v>7.5000000000000011E-2</v>
      </c>
      <c r="AJ39" s="92">
        <f>I23</f>
        <v>9.5000000000000001E-2</v>
      </c>
      <c r="AK39" s="92">
        <f>O23</f>
        <v>-0.36</v>
      </c>
      <c r="AL39" s="92"/>
      <c r="AS39" s="89" t="s">
        <v>685</v>
      </c>
      <c r="AT39">
        <v>-0.13200000000000001</v>
      </c>
      <c r="AU39" s="295">
        <f t="shared" si="14"/>
        <v>-0.13200000000000001</v>
      </c>
      <c r="AW39">
        <f>AT39*AW10</f>
        <v>0</v>
      </c>
      <c r="AY39">
        <f t="shared" ref="AY39" si="15">AT39*AW27</f>
        <v>0</v>
      </c>
      <c r="BA39">
        <f t="shared" si="13"/>
        <v>-0.13200000000000001</v>
      </c>
    </row>
    <row r="40" spans="11:53">
      <c r="P40" s="5"/>
      <c r="S40" s="5"/>
      <c r="U40" s="265"/>
      <c r="X40" s="5"/>
      <c r="AB40" s="5"/>
      <c r="AE40" s="270"/>
      <c r="AH40" s="252" t="s">
        <v>720</v>
      </c>
      <c r="AI40" s="253">
        <f>AE23</f>
        <v>1.6666666666666666E-2</v>
      </c>
      <c r="AJ40" s="253">
        <f>I25</f>
        <v>0.01</v>
      </c>
      <c r="AK40" s="253">
        <f>O25</f>
        <v>-0.21</v>
      </c>
      <c r="AL40" s="253"/>
    </row>
    <row r="41" spans="11:53">
      <c r="K41" t="s">
        <v>747</v>
      </c>
      <c r="S41" s="5"/>
      <c r="U41" s="265" t="s">
        <v>747</v>
      </c>
      <c r="X41" s="5"/>
      <c r="AE41" s="270"/>
      <c r="AI41" s="65"/>
    </row>
    <row r="42" spans="11:53">
      <c r="U42" s="265"/>
      <c r="X42" s="5"/>
      <c r="AE42" s="270"/>
      <c r="AH42" s="10"/>
      <c r="AI42" s="87"/>
      <c r="AJ42" s="10"/>
      <c r="AK42" s="10"/>
      <c r="AL42" s="10"/>
    </row>
    <row r="43" spans="11:53">
      <c r="U43" s="265"/>
      <c r="X43" s="5"/>
      <c r="AA43" t="s">
        <v>762</v>
      </c>
      <c r="AE43" s="270"/>
      <c r="AH43" s="91" t="s">
        <v>721</v>
      </c>
      <c r="AI43" s="176">
        <f>AD11</f>
        <v>0.19500000000000001</v>
      </c>
      <c r="AJ43" s="176">
        <f>H12</f>
        <v>0.26</v>
      </c>
      <c r="AK43" s="176">
        <f>-AI43</f>
        <v>-0.19500000000000001</v>
      </c>
      <c r="AL43" s="176"/>
    </row>
    <row r="44" spans="11:53">
      <c r="K44" s="10" t="s">
        <v>742</v>
      </c>
      <c r="L44" s="10"/>
      <c r="M44" s="88" t="s">
        <v>748</v>
      </c>
      <c r="N44" s="10" t="s">
        <v>744</v>
      </c>
      <c r="O44" s="10" t="s">
        <v>186</v>
      </c>
      <c r="P44" s="10" t="s">
        <v>187</v>
      </c>
      <c r="Q44" s="10" t="s">
        <v>41</v>
      </c>
      <c r="R44" s="10" t="s">
        <v>272</v>
      </c>
      <c r="S44" s="84" t="s">
        <v>6</v>
      </c>
      <c r="U44" s="268" t="s">
        <v>742</v>
      </c>
      <c r="V44" s="10"/>
      <c r="W44" s="10" t="s">
        <v>748</v>
      </c>
      <c r="X44" s="5"/>
      <c r="Y44" s="10" t="s">
        <v>744</v>
      </c>
      <c r="Z44" s="10" t="s">
        <v>186</v>
      </c>
      <c r="AA44" s="10" t="s">
        <v>761</v>
      </c>
      <c r="AB44" s="10" t="s">
        <v>437</v>
      </c>
      <c r="AC44" s="10" t="s">
        <v>41</v>
      </c>
      <c r="AD44" s="10" t="s">
        <v>272</v>
      </c>
      <c r="AE44" s="270" t="s">
        <v>6</v>
      </c>
      <c r="AH44" s="91" t="s">
        <v>722</v>
      </c>
      <c r="AI44" s="176">
        <f>AD12</f>
        <v>0.12</v>
      </c>
      <c r="AJ44" s="176">
        <f>H14</f>
        <v>0.05</v>
      </c>
      <c r="AK44" s="176">
        <f t="shared" ref="AK44:AK47" si="16">-AI44</f>
        <v>-0.12</v>
      </c>
      <c r="AL44" s="176"/>
    </row>
    <row r="45" spans="11:53">
      <c r="M45" s="84"/>
      <c r="S45" s="84"/>
      <c r="U45" s="265" t="s">
        <v>739</v>
      </c>
      <c r="W45">
        <f>(W47+W48)/2</f>
        <v>-0.2</v>
      </c>
      <c r="X45">
        <f t="shared" ref="X45:AE45" si="17">(X47+X48)/2</f>
        <v>-4.7500000000000007E-2</v>
      </c>
      <c r="Y45">
        <f t="shared" si="17"/>
        <v>0.105</v>
      </c>
      <c r="Z45">
        <f t="shared" si="17"/>
        <v>0.1</v>
      </c>
      <c r="AA45">
        <f t="shared" si="17"/>
        <v>7.0000000000000007E-2</v>
      </c>
      <c r="AB45">
        <f t="shared" si="17"/>
        <v>8.4999999999999992E-2</v>
      </c>
      <c r="AC45">
        <f t="shared" si="17"/>
        <v>8.5000000000000006E-2</v>
      </c>
      <c r="AD45">
        <f t="shared" si="17"/>
        <v>8.4999999999999992E-2</v>
      </c>
      <c r="AE45">
        <f t="shared" si="17"/>
        <v>8.4999999999999992E-2</v>
      </c>
      <c r="AH45" s="91" t="s">
        <v>723</v>
      </c>
      <c r="AI45" s="176">
        <f>AD16</f>
        <v>0.09</v>
      </c>
      <c r="AJ45" s="176">
        <f>H16</f>
        <v>7.0000000000000007E-2</v>
      </c>
      <c r="AK45" s="176">
        <f t="shared" si="16"/>
        <v>-0.09</v>
      </c>
      <c r="AL45" s="176"/>
    </row>
    <row r="46" spans="11:53">
      <c r="K46" t="s">
        <v>739</v>
      </c>
      <c r="M46">
        <v>-0.27</v>
      </c>
      <c r="O46">
        <v>-0.46</v>
      </c>
      <c r="U46" s="269" t="s">
        <v>757</v>
      </c>
      <c r="W46">
        <v>-0.2</v>
      </c>
      <c r="X46" s="5">
        <f t="shared" si="5"/>
        <v>-0.17</v>
      </c>
      <c r="Y46">
        <v>-0.14000000000000001</v>
      </c>
      <c r="Z46">
        <v>0.02</v>
      </c>
      <c r="AA46">
        <v>0.01</v>
      </c>
      <c r="AB46">
        <v>0.02</v>
      </c>
      <c r="AC46">
        <v>0.02</v>
      </c>
      <c r="AD46">
        <v>0.02</v>
      </c>
      <c r="AE46" s="270">
        <f t="shared" si="10"/>
        <v>1.6666666666666666E-2</v>
      </c>
      <c r="AH46" s="91" t="s">
        <v>724</v>
      </c>
      <c r="AI46" s="176">
        <f>AD15</f>
        <v>0.1</v>
      </c>
      <c r="AJ46" s="176">
        <f>H15</f>
        <v>0.23</v>
      </c>
      <c r="AK46" s="176">
        <f t="shared" si="16"/>
        <v>-0.1</v>
      </c>
      <c r="AL46" s="176"/>
    </row>
    <row r="47" spans="11:53">
      <c r="K47" s="136" t="s">
        <v>740</v>
      </c>
      <c r="M47">
        <v>-0.13</v>
      </c>
      <c r="O47">
        <v>-0.38</v>
      </c>
      <c r="U47" s="271" t="s">
        <v>758</v>
      </c>
      <c r="W47">
        <v>-0.27</v>
      </c>
      <c r="X47" s="5">
        <f t="shared" si="5"/>
        <v>-6.0000000000000012E-2</v>
      </c>
      <c r="Y47">
        <v>0.15</v>
      </c>
      <c r="Z47">
        <v>0.13</v>
      </c>
      <c r="AA47">
        <v>0.09</v>
      </c>
      <c r="AB47">
        <v>0.12</v>
      </c>
      <c r="AC47">
        <v>0.13</v>
      </c>
      <c r="AD47">
        <v>0.12</v>
      </c>
      <c r="AE47" s="270">
        <f t="shared" si="10"/>
        <v>0.11333333333333333</v>
      </c>
      <c r="AH47" s="252" t="s">
        <v>725</v>
      </c>
      <c r="AI47" s="176">
        <f>AD16</f>
        <v>0.09</v>
      </c>
      <c r="AJ47" s="176">
        <f>H16</f>
        <v>7.0000000000000007E-2</v>
      </c>
      <c r="AK47" s="176">
        <f t="shared" si="16"/>
        <v>-0.09</v>
      </c>
      <c r="AL47" s="176"/>
    </row>
    <row r="48" spans="11:53">
      <c r="K48" t="s">
        <v>741</v>
      </c>
      <c r="M48">
        <v>-0.2</v>
      </c>
      <c r="O48">
        <v>-0.22</v>
      </c>
      <c r="U48" s="269" t="s">
        <v>759</v>
      </c>
      <c r="W48">
        <v>-0.13</v>
      </c>
      <c r="X48" s="5">
        <f t="shared" si="5"/>
        <v>-3.5000000000000003E-2</v>
      </c>
      <c r="Y48">
        <v>0.06</v>
      </c>
      <c r="Z48">
        <v>7.0000000000000007E-2</v>
      </c>
      <c r="AA48">
        <v>0.05</v>
      </c>
      <c r="AB48">
        <v>0.05</v>
      </c>
      <c r="AC48">
        <v>0.04</v>
      </c>
      <c r="AD48">
        <v>0.05</v>
      </c>
      <c r="AE48" s="270">
        <f t="shared" si="10"/>
        <v>5.6666666666666671E-2</v>
      </c>
    </row>
    <row r="49" spans="11:35">
      <c r="K49" t="s">
        <v>745</v>
      </c>
      <c r="M49">
        <v>-0.53</v>
      </c>
      <c r="O49">
        <v>-0.95</v>
      </c>
      <c r="U49" s="269" t="s">
        <v>760</v>
      </c>
      <c r="W49">
        <v>-0.53</v>
      </c>
      <c r="X49" s="5">
        <f t="shared" si="5"/>
        <v>-0.21500000000000002</v>
      </c>
      <c r="Y49">
        <v>0.1</v>
      </c>
      <c r="Z49">
        <v>7.0000000000000007E-2</v>
      </c>
      <c r="AA49">
        <v>0.06</v>
      </c>
      <c r="AB49">
        <v>0.08</v>
      </c>
      <c r="AC49">
        <v>0.12</v>
      </c>
      <c r="AD49">
        <v>0.1</v>
      </c>
      <c r="AE49" s="270">
        <f t="shared" si="10"/>
        <v>7.0000000000000007E-2</v>
      </c>
    </row>
    <row r="50" spans="11:35" ht="16" thickBot="1">
      <c r="K50" t="s">
        <v>746</v>
      </c>
      <c r="M50">
        <v>-0.7</v>
      </c>
      <c r="O50">
        <v>-0.89</v>
      </c>
      <c r="U50" s="273" t="s">
        <v>189</v>
      </c>
      <c r="V50" s="178"/>
      <c r="W50" s="178">
        <v>-0.7</v>
      </c>
      <c r="X50" s="5">
        <f t="shared" si="5"/>
        <v>-0.31</v>
      </c>
      <c r="Y50" s="178">
        <v>0.08</v>
      </c>
      <c r="Z50" s="178">
        <v>0.06</v>
      </c>
      <c r="AA50" s="178">
        <v>0.05</v>
      </c>
      <c r="AB50" s="178">
        <v>7.0000000000000007E-2</v>
      </c>
      <c r="AC50" s="178">
        <v>0.09</v>
      </c>
      <c r="AD50" s="178">
        <v>0.09</v>
      </c>
      <c r="AE50" s="274">
        <f t="shared" si="10"/>
        <v>0.06</v>
      </c>
    </row>
    <row r="52" spans="11:35">
      <c r="K52" t="s">
        <v>747</v>
      </c>
      <c r="U52" t="s">
        <v>747</v>
      </c>
    </row>
    <row r="60" spans="11:35">
      <c r="AI60" t="s">
        <v>770</v>
      </c>
    </row>
    <row r="61" spans="11:35">
      <c r="AH61" s="5" t="s">
        <v>768</v>
      </c>
    </row>
    <row r="62" spans="11:35">
      <c r="AH62" s="3" t="s">
        <v>681</v>
      </c>
      <c r="AI62" s="12">
        <f>AC69</f>
        <v>0.21000000000000002</v>
      </c>
    </row>
    <row r="63" spans="11:35">
      <c r="AH63" s="3" t="s">
        <v>682</v>
      </c>
      <c r="AI63" s="12">
        <f>AC70</f>
        <v>0.09</v>
      </c>
    </row>
    <row r="64" spans="11:35">
      <c r="AH64" s="3" t="s">
        <v>683</v>
      </c>
      <c r="AI64" s="12">
        <f>AC74</f>
        <v>0.09</v>
      </c>
    </row>
    <row r="65" spans="21:35">
      <c r="AH65" s="3" t="s">
        <v>684</v>
      </c>
      <c r="AI65" s="12">
        <f>AC73</f>
        <v>0.14000000000000001</v>
      </c>
    </row>
    <row r="66" spans="21:35">
      <c r="U66" s="267" t="s">
        <v>763</v>
      </c>
      <c r="X66" s="5"/>
      <c r="AE66" s="270"/>
      <c r="AH66" s="89" t="s">
        <v>685</v>
      </c>
      <c r="AI66" s="12">
        <f>AC74</f>
        <v>0.09</v>
      </c>
    </row>
    <row r="67" spans="21:35">
      <c r="U67" s="265"/>
      <c r="X67" s="5"/>
      <c r="AE67" s="270"/>
      <c r="AH67" s="86"/>
      <c r="AI67" s="281"/>
    </row>
    <row r="68" spans="21:35">
      <c r="U68" s="268" t="s">
        <v>743</v>
      </c>
      <c r="V68" s="10"/>
      <c r="W68" s="10" t="s">
        <v>748</v>
      </c>
      <c r="X68" s="5"/>
      <c r="Y68" s="10" t="s">
        <v>744</v>
      </c>
      <c r="Z68" s="10" t="s">
        <v>186</v>
      </c>
      <c r="AA68" s="10" t="s">
        <v>766</v>
      </c>
      <c r="AB68" s="10" t="s">
        <v>187</v>
      </c>
      <c r="AC68" s="10" t="s">
        <v>41</v>
      </c>
      <c r="AD68" s="10" t="s">
        <v>272</v>
      </c>
      <c r="AE68" s="270" t="s">
        <v>6</v>
      </c>
      <c r="AH68" s="3" t="s">
        <v>686</v>
      </c>
      <c r="AI68" s="12">
        <f>X69</f>
        <v>-0.71750000000000003</v>
      </c>
    </row>
    <row r="69" spans="21:35">
      <c r="U69" s="265" t="s">
        <v>739</v>
      </c>
      <c r="W69">
        <f>(W71+W72)/2</f>
        <v>-0.72</v>
      </c>
      <c r="X69">
        <f t="shared" ref="X69:AE69" si="18">(X71+X72)/2</f>
        <v>-0.71750000000000003</v>
      </c>
      <c r="Y69">
        <f t="shared" si="18"/>
        <v>-0.71500000000000008</v>
      </c>
      <c r="Z69">
        <f t="shared" si="18"/>
        <v>0.26500000000000001</v>
      </c>
      <c r="AA69">
        <f t="shared" si="18"/>
        <v>0.185</v>
      </c>
      <c r="AB69">
        <f t="shared" si="18"/>
        <v>0.22</v>
      </c>
      <c r="AC69">
        <f t="shared" si="18"/>
        <v>0.21000000000000002</v>
      </c>
      <c r="AD69">
        <f t="shared" si="18"/>
        <v>0.20500000000000002</v>
      </c>
      <c r="AE69">
        <f t="shared" si="18"/>
        <v>0.22333333333333333</v>
      </c>
      <c r="AH69" s="3" t="s">
        <v>689</v>
      </c>
      <c r="AI69" s="12">
        <f>X70</f>
        <v>-1.25</v>
      </c>
    </row>
    <row r="70" spans="21:35">
      <c r="U70" s="269" t="s">
        <v>757</v>
      </c>
      <c r="W70">
        <v>-1.4</v>
      </c>
      <c r="X70" s="5">
        <f t="shared" ref="X70:X85" si="19">(W70+Y70)/2</f>
        <v>-1.25</v>
      </c>
      <c r="Y70">
        <v>-1.1000000000000001</v>
      </c>
      <c r="Z70">
        <v>0.11</v>
      </c>
      <c r="AA70">
        <v>0.08</v>
      </c>
      <c r="AB70">
        <v>0.12</v>
      </c>
      <c r="AC70">
        <v>0.09</v>
      </c>
      <c r="AD70">
        <v>0.14000000000000001</v>
      </c>
      <c r="AE70" s="270">
        <f t="shared" ref="AE70:AE74" si="20">AVERAGE(Z70:AB70)</f>
        <v>0.10333333333333333</v>
      </c>
      <c r="AH70" s="3" t="s">
        <v>690</v>
      </c>
      <c r="AI70" s="12">
        <f>X74</f>
        <v>-0.81499999999999995</v>
      </c>
    </row>
    <row r="71" spans="21:35">
      <c r="U71" s="271" t="s">
        <v>758</v>
      </c>
      <c r="W71">
        <v>-1.05</v>
      </c>
      <c r="X71" s="5">
        <f t="shared" si="19"/>
        <v>-1.0649999999999999</v>
      </c>
      <c r="Y71">
        <v>-1.08</v>
      </c>
      <c r="Z71">
        <v>0.37</v>
      </c>
      <c r="AA71">
        <v>0.26</v>
      </c>
      <c r="AB71">
        <v>0.33</v>
      </c>
      <c r="AC71">
        <v>0.34</v>
      </c>
      <c r="AD71">
        <v>0.31</v>
      </c>
      <c r="AE71" s="270">
        <f t="shared" si="20"/>
        <v>0.32</v>
      </c>
      <c r="AH71" s="3" t="s">
        <v>691</v>
      </c>
      <c r="AI71" s="12">
        <f>X73</f>
        <v>-0.76</v>
      </c>
    </row>
    <row r="72" spans="21:35">
      <c r="U72" s="269" t="s">
        <v>759</v>
      </c>
      <c r="W72">
        <v>-0.39</v>
      </c>
      <c r="X72" s="5">
        <f t="shared" si="19"/>
        <v>-0.37</v>
      </c>
      <c r="Y72">
        <v>-0.35</v>
      </c>
      <c r="Z72">
        <v>0.16</v>
      </c>
      <c r="AA72">
        <v>0.11</v>
      </c>
      <c r="AB72">
        <v>0.11</v>
      </c>
      <c r="AC72">
        <v>0.08</v>
      </c>
      <c r="AD72">
        <v>0.1</v>
      </c>
      <c r="AE72" s="270">
        <f t="shared" si="20"/>
        <v>0.12666666666666668</v>
      </c>
      <c r="AH72" s="3" t="s">
        <v>692</v>
      </c>
      <c r="AI72" s="12">
        <f>X74</f>
        <v>-0.81499999999999995</v>
      </c>
    </row>
    <row r="73" spans="21:35">
      <c r="U73" s="269" t="s">
        <v>760</v>
      </c>
      <c r="W73">
        <v>-0.71</v>
      </c>
      <c r="X73" s="5">
        <f t="shared" si="19"/>
        <v>-0.76</v>
      </c>
      <c r="Y73">
        <v>-0.81</v>
      </c>
      <c r="Z73">
        <v>0.1</v>
      </c>
      <c r="AA73">
        <v>0.09</v>
      </c>
      <c r="AB73">
        <v>0.11</v>
      </c>
      <c r="AC73">
        <v>0.14000000000000001</v>
      </c>
      <c r="AD73">
        <v>0.12</v>
      </c>
      <c r="AE73" s="270">
        <f t="shared" si="20"/>
        <v>9.9999999999999992E-2</v>
      </c>
      <c r="AH73" s="3"/>
      <c r="AI73" s="12"/>
    </row>
    <row r="74" spans="21:35">
      <c r="U74" s="269" t="s">
        <v>189</v>
      </c>
      <c r="W74">
        <v>-0.83</v>
      </c>
      <c r="X74" s="5">
        <f t="shared" si="19"/>
        <v>-0.81499999999999995</v>
      </c>
      <c r="Y74">
        <v>-0.8</v>
      </c>
      <c r="Z74">
        <v>7.0000000000000007E-2</v>
      </c>
      <c r="AA74">
        <v>7.0000000000000007E-2</v>
      </c>
      <c r="AB74">
        <v>0.08</v>
      </c>
      <c r="AC74">
        <v>0.09</v>
      </c>
      <c r="AD74">
        <v>0.09</v>
      </c>
      <c r="AE74" s="270">
        <f t="shared" si="20"/>
        <v>7.3333333333333348E-2</v>
      </c>
      <c r="AH74" s="3" t="s">
        <v>701</v>
      </c>
      <c r="AI74" s="12">
        <f>X80</f>
        <v>-4.7500000000000007E-2</v>
      </c>
    </row>
    <row r="75" spans="21:35">
      <c r="U75" s="265"/>
      <c r="X75" s="5"/>
      <c r="AB75" s="5"/>
      <c r="AE75" s="270"/>
      <c r="AH75" s="3" t="s">
        <v>702</v>
      </c>
      <c r="AI75" s="12">
        <f>X81</f>
        <v>-0.17</v>
      </c>
    </row>
    <row r="76" spans="21:35">
      <c r="U76" s="265" t="s">
        <v>747</v>
      </c>
      <c r="X76" s="5"/>
      <c r="AE76" s="270"/>
      <c r="AH76" s="3" t="s">
        <v>703</v>
      </c>
      <c r="AI76" s="12">
        <f>X85</f>
        <v>-0.31</v>
      </c>
    </row>
    <row r="77" spans="21:35">
      <c r="U77" s="265"/>
      <c r="X77" s="5"/>
      <c r="AE77" s="270"/>
      <c r="AH77" s="3" t="s">
        <v>704</v>
      </c>
      <c r="AI77" s="12">
        <f>X84</f>
        <v>-0.21500000000000002</v>
      </c>
    </row>
    <row r="78" spans="21:35">
      <c r="U78" s="265"/>
      <c r="X78" s="5"/>
      <c r="AA78" t="s">
        <v>762</v>
      </c>
      <c r="AE78" s="270"/>
      <c r="AH78" s="3" t="s">
        <v>705</v>
      </c>
      <c r="AI78" s="12">
        <f>X85</f>
        <v>-0.31</v>
      </c>
    </row>
    <row r="79" spans="21:35">
      <c r="U79" s="268" t="s">
        <v>742</v>
      </c>
      <c r="V79" s="10"/>
      <c r="W79" s="10" t="s">
        <v>748</v>
      </c>
      <c r="X79" s="5"/>
      <c r="Y79" s="10" t="s">
        <v>744</v>
      </c>
      <c r="Z79" s="10" t="s">
        <v>186</v>
      </c>
      <c r="AA79" s="10" t="s">
        <v>761</v>
      </c>
      <c r="AB79" s="10" t="s">
        <v>437</v>
      </c>
      <c r="AC79" s="10" t="s">
        <v>41</v>
      </c>
      <c r="AD79" s="10" t="s">
        <v>272</v>
      </c>
      <c r="AE79" s="270" t="s">
        <v>6</v>
      </c>
      <c r="AH79" s="251" t="s">
        <v>70</v>
      </c>
      <c r="AI79" s="282"/>
    </row>
    <row r="80" spans="21:35">
      <c r="U80" s="265" t="s">
        <v>739</v>
      </c>
      <c r="W80">
        <f>(W82+W83)/2</f>
        <v>-0.2</v>
      </c>
      <c r="X80">
        <f t="shared" ref="X80:AE80" si="21">(X82+X83)/2</f>
        <v>-4.7500000000000007E-2</v>
      </c>
      <c r="Y80">
        <f t="shared" si="21"/>
        <v>0.105</v>
      </c>
      <c r="Z80">
        <f t="shared" si="21"/>
        <v>0.1</v>
      </c>
      <c r="AA80">
        <f t="shared" si="21"/>
        <v>7.0000000000000007E-2</v>
      </c>
      <c r="AB80">
        <f t="shared" si="21"/>
        <v>8.4999999999999992E-2</v>
      </c>
      <c r="AC80">
        <f t="shared" si="21"/>
        <v>8.5000000000000006E-2</v>
      </c>
      <c r="AD80">
        <f t="shared" si="21"/>
        <v>8.4999999999999992E-2</v>
      </c>
      <c r="AE80">
        <f t="shared" si="21"/>
        <v>8.4999999999999992E-2</v>
      </c>
      <c r="AH80" s="3"/>
      <c r="AI80" s="12"/>
    </row>
    <row r="81" spans="21:35">
      <c r="U81" s="269" t="s">
        <v>757</v>
      </c>
      <c r="W81">
        <v>-0.2</v>
      </c>
      <c r="X81" s="5">
        <f t="shared" si="19"/>
        <v>-0.17</v>
      </c>
      <c r="Y81">
        <v>-0.14000000000000001</v>
      </c>
      <c r="Z81">
        <v>0.02</v>
      </c>
      <c r="AA81">
        <v>0.01</v>
      </c>
      <c r="AB81">
        <v>0.02</v>
      </c>
      <c r="AC81">
        <v>0.02</v>
      </c>
      <c r="AD81">
        <v>0.02</v>
      </c>
      <c r="AE81" s="270">
        <f t="shared" ref="AE81:AE85" si="22">AVERAGE(Z81:AB81)</f>
        <v>1.6666666666666666E-2</v>
      </c>
      <c r="AH81" s="10"/>
      <c r="AI81" s="87"/>
    </row>
    <row r="82" spans="21:35">
      <c r="U82" s="271" t="s">
        <v>758</v>
      </c>
      <c r="W82">
        <v>-0.27</v>
      </c>
      <c r="X82" s="5">
        <f t="shared" si="19"/>
        <v>-6.0000000000000012E-2</v>
      </c>
      <c r="Y82">
        <v>0.15</v>
      </c>
      <c r="Z82">
        <v>0.13</v>
      </c>
      <c r="AA82">
        <v>0.09</v>
      </c>
      <c r="AB82">
        <v>0.12</v>
      </c>
      <c r="AC82">
        <v>0.13</v>
      </c>
      <c r="AD82">
        <v>0.12</v>
      </c>
      <c r="AE82" s="270">
        <f t="shared" si="22"/>
        <v>0.11333333333333333</v>
      </c>
      <c r="AH82" s="3" t="s">
        <v>710</v>
      </c>
      <c r="AI82" s="12">
        <f>AE74</f>
        <v>7.3333333333333348E-2</v>
      </c>
    </row>
    <row r="83" spans="21:35">
      <c r="U83" s="269" t="s">
        <v>759</v>
      </c>
      <c r="W83">
        <v>-0.13</v>
      </c>
      <c r="X83" s="5">
        <f t="shared" si="19"/>
        <v>-3.5000000000000003E-2</v>
      </c>
      <c r="Y83">
        <v>0.06</v>
      </c>
      <c r="Z83">
        <v>7.0000000000000007E-2</v>
      </c>
      <c r="AA83">
        <v>0.05</v>
      </c>
      <c r="AB83">
        <v>0.05</v>
      </c>
      <c r="AC83">
        <v>0.04</v>
      </c>
      <c r="AD83">
        <v>0.05</v>
      </c>
      <c r="AE83" s="270">
        <f t="shared" si="22"/>
        <v>5.6666666666666671E-2</v>
      </c>
      <c r="AH83" s="3" t="s">
        <v>706</v>
      </c>
      <c r="AI83" s="12">
        <f>AE73</f>
        <v>9.9999999999999992E-2</v>
      </c>
    </row>
    <row r="84" spans="21:35">
      <c r="U84" s="269" t="s">
        <v>760</v>
      </c>
      <c r="W84">
        <v>-0.53</v>
      </c>
      <c r="X84" s="5">
        <f t="shared" si="19"/>
        <v>-0.21500000000000002</v>
      </c>
      <c r="Y84">
        <v>0.1</v>
      </c>
      <c r="Z84">
        <v>7.0000000000000007E-2</v>
      </c>
      <c r="AA84">
        <v>0.06</v>
      </c>
      <c r="AB84">
        <v>0.08</v>
      </c>
      <c r="AC84">
        <v>0.12</v>
      </c>
      <c r="AD84">
        <v>0.1</v>
      </c>
      <c r="AE84" s="270">
        <f t="shared" si="22"/>
        <v>7.0000000000000007E-2</v>
      </c>
      <c r="AH84" s="3" t="s">
        <v>707</v>
      </c>
      <c r="AI84" s="12">
        <f>AE74</f>
        <v>7.3333333333333348E-2</v>
      </c>
    </row>
    <row r="85" spans="21:35" ht="16" thickBot="1">
      <c r="U85" s="273" t="s">
        <v>189</v>
      </c>
      <c r="V85" s="178"/>
      <c r="W85" s="178">
        <v>-0.7</v>
      </c>
      <c r="X85" s="5">
        <f t="shared" si="19"/>
        <v>-0.31</v>
      </c>
      <c r="Y85" s="178">
        <v>0.08</v>
      </c>
      <c r="Z85" s="178">
        <v>0.06</v>
      </c>
      <c r="AA85" s="178">
        <v>0.05</v>
      </c>
      <c r="AB85" s="178">
        <v>7.0000000000000007E-2</v>
      </c>
      <c r="AC85" s="178">
        <v>0.09</v>
      </c>
      <c r="AD85" s="178">
        <v>0.09</v>
      </c>
      <c r="AE85" s="274">
        <f t="shared" si="22"/>
        <v>0.06</v>
      </c>
      <c r="AH85" s="3"/>
      <c r="AI85" s="12"/>
    </row>
    <row r="86" spans="21:35">
      <c r="AH86" s="248" t="s">
        <v>708</v>
      </c>
      <c r="AI86" s="249">
        <f>AE69</f>
        <v>0.22333333333333333</v>
      </c>
    </row>
    <row r="87" spans="21:35">
      <c r="AH87" s="248" t="s">
        <v>709</v>
      </c>
      <c r="AI87" s="249">
        <f>AE69</f>
        <v>0.22333333333333333</v>
      </c>
    </row>
    <row r="88" spans="21:35">
      <c r="AH88" s="248" t="s">
        <v>711</v>
      </c>
      <c r="AI88" s="249">
        <f>AE69</f>
        <v>0.22333333333333333</v>
      </c>
    </row>
    <row r="89" spans="21:35">
      <c r="AH89" s="248" t="s">
        <v>712</v>
      </c>
      <c r="AI89" s="249">
        <f>AE70</f>
        <v>0.10333333333333333</v>
      </c>
    </row>
    <row r="90" spans="21:35">
      <c r="AH90" s="248" t="s">
        <v>713</v>
      </c>
      <c r="AI90" s="249">
        <f>AE70</f>
        <v>0.10333333333333333</v>
      </c>
    </row>
    <row r="91" spans="21:35">
      <c r="AH91" s="248" t="s">
        <v>714</v>
      </c>
      <c r="AI91" s="249">
        <f>AE70</f>
        <v>0.10333333333333333</v>
      </c>
    </row>
    <row r="92" spans="21:35">
      <c r="AH92" s="3"/>
      <c r="AI92" s="12"/>
    </row>
    <row r="93" spans="21:35">
      <c r="AI93" s="65"/>
    </row>
    <row r="94" spans="21:35">
      <c r="AH94" s="91" t="s">
        <v>716</v>
      </c>
      <c r="AI94" s="92">
        <f>AE85</f>
        <v>0.06</v>
      </c>
    </row>
    <row r="95" spans="21:35">
      <c r="AH95" s="91" t="s">
        <v>717</v>
      </c>
      <c r="AI95" s="92">
        <f>AE84</f>
        <v>7.0000000000000007E-2</v>
      </c>
    </row>
    <row r="96" spans="21:35">
      <c r="AH96" s="91" t="s">
        <v>718</v>
      </c>
      <c r="AI96" s="92">
        <f>AE85</f>
        <v>0.06</v>
      </c>
    </row>
    <row r="97" spans="34:35">
      <c r="AH97" s="91" t="s">
        <v>719</v>
      </c>
      <c r="AI97" s="92">
        <f>AE80</f>
        <v>8.4999999999999992E-2</v>
      </c>
    </row>
    <row r="98" spans="34:35">
      <c r="AH98" s="252" t="s">
        <v>720</v>
      </c>
      <c r="AI98" s="253">
        <f>AE81</f>
        <v>1.6666666666666666E-2</v>
      </c>
    </row>
    <row r="99" spans="34:35">
      <c r="AI99" s="65"/>
    </row>
    <row r="100" spans="34:35">
      <c r="AH100" s="10"/>
      <c r="AI100" s="87"/>
    </row>
    <row r="101" spans="34:35">
      <c r="AH101" s="91" t="s">
        <v>721</v>
      </c>
      <c r="AI101" s="176">
        <f>AD69</f>
        <v>0.20500000000000002</v>
      </c>
    </row>
    <row r="102" spans="34:35">
      <c r="AH102" s="91" t="s">
        <v>722</v>
      </c>
      <c r="AI102" s="176">
        <f>AD70</f>
        <v>0.14000000000000001</v>
      </c>
    </row>
    <row r="103" spans="34:35">
      <c r="AH103" s="91" t="s">
        <v>723</v>
      </c>
      <c r="AI103" s="176">
        <f>AD74</f>
        <v>0.09</v>
      </c>
    </row>
    <row r="104" spans="34:35">
      <c r="AH104" s="91" t="s">
        <v>724</v>
      </c>
      <c r="AI104" s="176">
        <f>AD73</f>
        <v>0.12</v>
      </c>
    </row>
    <row r="105" spans="34:35">
      <c r="AH105" s="252" t="s">
        <v>725</v>
      </c>
      <c r="AI105" s="176">
        <f>AD74</f>
        <v>0.09</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AED33-E639-4CB8-98D7-DB04CB0F3437}">
  <sheetPr>
    <tabColor theme="4"/>
  </sheetPr>
  <dimension ref="A1:V37"/>
  <sheetViews>
    <sheetView zoomScale="70" zoomScaleNormal="70" workbookViewId="0">
      <selection activeCell="M6" sqref="M6:Q27"/>
    </sheetView>
  </sheetViews>
  <sheetFormatPr baseColWidth="10" defaultColWidth="8.83203125" defaultRowHeight="15"/>
  <cols>
    <col min="1" max="1" width="16.6640625" bestFit="1" customWidth="1"/>
    <col min="13" max="13" width="34" bestFit="1" customWidth="1"/>
    <col min="14" max="14" width="17.33203125" bestFit="1" customWidth="1"/>
  </cols>
  <sheetData>
    <row r="1" spans="1:22" ht="21">
      <c r="A1" s="255" t="s">
        <v>726</v>
      </c>
    </row>
    <row r="4" spans="1:22">
      <c r="A4" s="5" t="s">
        <v>4</v>
      </c>
      <c r="M4" t="s">
        <v>252</v>
      </c>
    </row>
    <row r="5" spans="1:22">
      <c r="B5" t="s">
        <v>175</v>
      </c>
      <c r="C5" t="s">
        <v>213</v>
      </c>
      <c r="D5" t="s">
        <v>214</v>
      </c>
      <c r="E5" t="s">
        <v>215</v>
      </c>
      <c r="F5" t="s">
        <v>189</v>
      </c>
      <c r="V5" s="3" t="s">
        <v>175</v>
      </c>
    </row>
    <row r="6" spans="1:22">
      <c r="A6" t="s">
        <v>253</v>
      </c>
      <c r="B6">
        <v>0</v>
      </c>
      <c r="C6">
        <v>0</v>
      </c>
      <c r="D6">
        <v>0</v>
      </c>
      <c r="E6">
        <v>0</v>
      </c>
      <c r="F6">
        <v>0</v>
      </c>
      <c r="M6" t="s">
        <v>71</v>
      </c>
      <c r="V6" s="3" t="s">
        <v>176</v>
      </c>
    </row>
    <row r="7" spans="1:22">
      <c r="A7" t="s">
        <v>254</v>
      </c>
      <c r="B7">
        <v>0</v>
      </c>
      <c r="C7">
        <v>0</v>
      </c>
      <c r="D7">
        <v>0</v>
      </c>
      <c r="E7">
        <v>0</v>
      </c>
      <c r="F7">
        <v>0</v>
      </c>
      <c r="M7" s="10" t="s">
        <v>251</v>
      </c>
      <c r="N7" s="10" t="s">
        <v>72</v>
      </c>
      <c r="O7" s="10" t="s">
        <v>73</v>
      </c>
      <c r="P7" s="10" t="s">
        <v>74</v>
      </c>
      <c r="Q7" s="10" t="s">
        <v>245</v>
      </c>
      <c r="V7" s="3" t="s">
        <v>177</v>
      </c>
    </row>
    <row r="8" spans="1:22">
      <c r="A8" t="s">
        <v>255</v>
      </c>
      <c r="B8">
        <v>0</v>
      </c>
      <c r="C8">
        <v>0</v>
      </c>
      <c r="D8">
        <v>0</v>
      </c>
      <c r="E8">
        <v>0</v>
      </c>
      <c r="F8">
        <v>0</v>
      </c>
      <c r="M8" t="s">
        <v>83</v>
      </c>
      <c r="N8" t="s">
        <v>76</v>
      </c>
      <c r="O8">
        <v>0</v>
      </c>
      <c r="P8">
        <v>1.46718712389059</v>
      </c>
      <c r="Q8">
        <v>-1.87621055344976</v>
      </c>
      <c r="V8" s="3" t="s">
        <v>200</v>
      </c>
    </row>
    <row r="9" spans="1:22">
      <c r="A9" t="s">
        <v>256</v>
      </c>
      <c r="B9">
        <v>0</v>
      </c>
      <c r="C9">
        <v>0</v>
      </c>
      <c r="D9">
        <v>0</v>
      </c>
      <c r="E9">
        <v>0</v>
      </c>
      <c r="F9">
        <v>0</v>
      </c>
      <c r="M9" t="s">
        <v>83</v>
      </c>
      <c r="N9" t="s">
        <v>77</v>
      </c>
      <c r="O9">
        <v>0</v>
      </c>
      <c r="P9">
        <v>1.2853111532845201</v>
      </c>
      <c r="Q9">
        <v>-2.18796292742701</v>
      </c>
      <c r="V9" s="3" t="s">
        <v>179</v>
      </c>
    </row>
    <row r="10" spans="1:22">
      <c r="M10" t="s">
        <v>83</v>
      </c>
      <c r="N10" t="s">
        <v>78</v>
      </c>
      <c r="O10">
        <v>0</v>
      </c>
      <c r="P10">
        <v>2.9151957128974901</v>
      </c>
      <c r="Q10">
        <v>-1.71885259859893</v>
      </c>
    </row>
    <row r="11" spans="1:22">
      <c r="A11" s="5" t="s">
        <v>207</v>
      </c>
      <c r="M11" s="10" t="s">
        <v>83</v>
      </c>
      <c r="N11" s="10" t="s">
        <v>79</v>
      </c>
      <c r="O11" s="10">
        <v>0</v>
      </c>
      <c r="P11" s="10">
        <v>13.9453752248439</v>
      </c>
      <c r="Q11" s="10">
        <v>-2.3375085402500502</v>
      </c>
    </row>
    <row r="12" spans="1:22">
      <c r="B12" t="s">
        <v>175</v>
      </c>
      <c r="C12" t="s">
        <v>213</v>
      </c>
      <c r="D12" t="s">
        <v>214</v>
      </c>
      <c r="E12" t="s">
        <v>215</v>
      </c>
      <c r="F12" t="s">
        <v>189</v>
      </c>
      <c r="M12" t="s">
        <v>80</v>
      </c>
      <c r="N12" t="s">
        <v>76</v>
      </c>
      <c r="O12">
        <v>0</v>
      </c>
      <c r="P12">
        <v>3.0253910173520802</v>
      </c>
      <c r="Q12">
        <v>-0.50968094475538595</v>
      </c>
    </row>
    <row r="13" spans="1:22">
      <c r="A13" t="s">
        <v>253</v>
      </c>
      <c r="B13">
        <v>-1.87621055344976</v>
      </c>
      <c r="C13">
        <v>-0.50968094475538595</v>
      </c>
      <c r="D13">
        <v>-4.3683594954520002</v>
      </c>
      <c r="E13">
        <v>-2.9217645092764002</v>
      </c>
      <c r="F13">
        <v>-3.9113520296685902</v>
      </c>
      <c r="M13" t="s">
        <v>80</v>
      </c>
      <c r="N13" t="s">
        <v>77</v>
      </c>
      <c r="O13">
        <v>0</v>
      </c>
      <c r="P13">
        <v>2.7660019755444001</v>
      </c>
      <c r="Q13">
        <v>-0.63736334610415202</v>
      </c>
    </row>
    <row r="14" spans="1:22">
      <c r="A14" t="s">
        <v>254</v>
      </c>
      <c r="B14">
        <v>-2.18796292742701</v>
      </c>
      <c r="C14">
        <v>-0.63736334610415202</v>
      </c>
      <c r="D14">
        <v>-2.3125988349470501</v>
      </c>
      <c r="E14">
        <v>-1.83718780942754</v>
      </c>
      <c r="F14">
        <v>-1.5220544328657799</v>
      </c>
      <c r="M14" t="s">
        <v>80</v>
      </c>
      <c r="N14" t="s">
        <v>78</v>
      </c>
      <c r="O14">
        <v>0</v>
      </c>
      <c r="P14">
        <v>3.84870238419908</v>
      </c>
      <c r="Q14">
        <v>-0.134606839955835</v>
      </c>
    </row>
    <row r="15" spans="1:22">
      <c r="A15" t="s">
        <v>255</v>
      </c>
      <c r="B15">
        <v>-1.71885259859893</v>
      </c>
      <c r="C15">
        <v>-0.134606839955835</v>
      </c>
      <c r="D15">
        <v>-0.98359224950253299</v>
      </c>
      <c r="E15">
        <v>-1.27749166862941</v>
      </c>
      <c r="F15">
        <v>0.121550917277839</v>
      </c>
      <c r="M15" s="10" t="s">
        <v>80</v>
      </c>
      <c r="N15" s="10" t="s">
        <v>79</v>
      </c>
      <c r="O15" s="10">
        <v>0</v>
      </c>
      <c r="P15" s="10">
        <v>12.212190638580401</v>
      </c>
      <c r="Q15" s="10">
        <v>-1.3201793950424701</v>
      </c>
    </row>
    <row r="16" spans="1:22">
      <c r="A16" t="s">
        <v>256</v>
      </c>
      <c r="B16">
        <v>-2.3375085402500502</v>
      </c>
      <c r="C16" s="10">
        <v>-1.3201793950424701</v>
      </c>
      <c r="D16" s="10">
        <v>-2.1985747868460499</v>
      </c>
      <c r="E16" s="10">
        <v>-0.980201304134657</v>
      </c>
      <c r="F16">
        <v>1.8112318693045399</v>
      </c>
      <c r="M16" t="s">
        <v>81</v>
      </c>
      <c r="N16" t="s">
        <v>76</v>
      </c>
      <c r="O16">
        <v>0</v>
      </c>
      <c r="P16">
        <v>1.1232417054147099</v>
      </c>
      <c r="Q16">
        <v>-4.3683594954520002</v>
      </c>
    </row>
    <row r="17" spans="1:17">
      <c r="M17" t="s">
        <v>81</v>
      </c>
      <c r="N17" t="s">
        <v>77</v>
      </c>
      <c r="O17">
        <v>0</v>
      </c>
      <c r="P17">
        <v>1.8223039075103999</v>
      </c>
      <c r="Q17">
        <v>-2.3125988349470501</v>
      </c>
    </row>
    <row r="18" spans="1:17">
      <c r="A18" s="5" t="s">
        <v>187</v>
      </c>
      <c r="M18" t="s">
        <v>81</v>
      </c>
      <c r="N18" t="s">
        <v>78</v>
      </c>
      <c r="O18">
        <v>0</v>
      </c>
      <c r="P18">
        <v>7.1761725190059504</v>
      </c>
      <c r="Q18">
        <v>-0.98359224950253299</v>
      </c>
    </row>
    <row r="19" spans="1:17">
      <c r="B19" t="s">
        <v>175</v>
      </c>
      <c r="C19" t="s">
        <v>213</v>
      </c>
      <c r="D19" t="s">
        <v>214</v>
      </c>
      <c r="E19" t="s">
        <v>215</v>
      </c>
      <c r="F19" t="s">
        <v>189</v>
      </c>
      <c r="M19" s="10" t="s">
        <v>81</v>
      </c>
      <c r="N19" s="10" t="s">
        <v>79</v>
      </c>
      <c r="O19" s="10">
        <v>0</v>
      </c>
      <c r="P19" s="10">
        <v>28.1270847507624</v>
      </c>
      <c r="Q19" s="10">
        <v>-2.1985747868460499</v>
      </c>
    </row>
    <row r="20" spans="1:17">
      <c r="A20" t="s">
        <v>253</v>
      </c>
      <c r="B20">
        <v>-1.87621055344976</v>
      </c>
      <c r="C20">
        <v>-0.50968094475538595</v>
      </c>
      <c r="D20">
        <v>-4.3683594954520002</v>
      </c>
      <c r="E20">
        <v>-2.9217645092764002</v>
      </c>
      <c r="F20">
        <v>-3.9113520296685902</v>
      </c>
      <c r="M20" t="s">
        <v>82</v>
      </c>
      <c r="N20" t="s">
        <v>76</v>
      </c>
      <c r="O20">
        <v>0</v>
      </c>
      <c r="P20">
        <v>1.68036972606988</v>
      </c>
      <c r="Q20">
        <v>-2.9217645092764002</v>
      </c>
    </row>
    <row r="21" spans="1:17">
      <c r="A21" t="s">
        <v>254</v>
      </c>
      <c r="B21">
        <v>-2.18796292742701</v>
      </c>
      <c r="C21">
        <v>-0.63736334610415202</v>
      </c>
      <c r="D21">
        <v>-2.3125988349470501</v>
      </c>
      <c r="E21">
        <v>-1.83718780942754</v>
      </c>
      <c r="F21">
        <v>-1.5220544328657799</v>
      </c>
      <c r="M21" t="s">
        <v>82</v>
      </c>
      <c r="N21" t="s">
        <v>77</v>
      </c>
      <c r="O21">
        <v>0</v>
      </c>
      <c r="P21">
        <v>1.5659924364634501</v>
      </c>
      <c r="Q21">
        <v>-1.83718780942754</v>
      </c>
    </row>
    <row r="22" spans="1:17">
      <c r="A22" t="s">
        <v>255</v>
      </c>
      <c r="B22">
        <v>-1.71885259859893</v>
      </c>
      <c r="C22">
        <v>-0.134606839955835</v>
      </c>
      <c r="D22">
        <v>-0.98359224950253299</v>
      </c>
      <c r="E22">
        <v>-1.27749166862941</v>
      </c>
      <c r="F22">
        <v>0.121550917277839</v>
      </c>
      <c r="M22" t="s">
        <v>82</v>
      </c>
      <c r="N22" t="s">
        <v>78</v>
      </c>
      <c r="O22">
        <v>0</v>
      </c>
      <c r="P22">
        <v>4.63760535240728</v>
      </c>
      <c r="Q22">
        <v>-1.27749166862941</v>
      </c>
    </row>
    <row r="23" spans="1:17">
      <c r="A23" t="s">
        <v>256</v>
      </c>
      <c r="B23">
        <v>-2.3375085402500502</v>
      </c>
      <c r="C23" s="10">
        <v>-1.3201793950424701</v>
      </c>
      <c r="D23" s="10">
        <v>-2.1985747868460499</v>
      </c>
      <c r="E23" s="10">
        <v>-0.980201304134657</v>
      </c>
      <c r="F23">
        <v>1.8112318693045399</v>
      </c>
      <c r="M23" s="10" t="s">
        <v>82</v>
      </c>
      <c r="N23" s="10" t="s">
        <v>79</v>
      </c>
      <c r="O23" s="10">
        <v>0</v>
      </c>
      <c r="P23" s="10">
        <v>24.267659220949898</v>
      </c>
      <c r="Q23" s="10">
        <v>-0.980201304134657</v>
      </c>
    </row>
    <row r="24" spans="1:17">
      <c r="M24" t="s">
        <v>75</v>
      </c>
      <c r="N24" t="s">
        <v>76</v>
      </c>
      <c r="O24">
        <v>0</v>
      </c>
      <c r="P24">
        <v>0.91792636749102297</v>
      </c>
      <c r="Q24">
        <v>-3.9113520296685902</v>
      </c>
    </row>
    <row r="25" spans="1:17">
      <c r="A25" s="5" t="s">
        <v>5</v>
      </c>
      <c r="M25" t="s">
        <v>75</v>
      </c>
      <c r="N25" t="s">
        <v>77</v>
      </c>
      <c r="O25">
        <v>0</v>
      </c>
      <c r="P25">
        <v>0.57424822885928095</v>
      </c>
      <c r="Q25">
        <v>-1.5220544328657799</v>
      </c>
    </row>
    <row r="26" spans="1:17">
      <c r="B26" t="s">
        <v>175</v>
      </c>
      <c r="C26" t="s">
        <v>213</v>
      </c>
      <c r="D26" t="s">
        <v>214</v>
      </c>
      <c r="E26" t="s">
        <v>215</v>
      </c>
      <c r="F26" t="s">
        <v>189</v>
      </c>
      <c r="M26" t="s">
        <v>75</v>
      </c>
      <c r="N26" t="s">
        <v>78</v>
      </c>
      <c r="O26">
        <v>0</v>
      </c>
      <c r="P26">
        <v>3.5068598215944999</v>
      </c>
      <c r="Q26">
        <v>0.121550917277839</v>
      </c>
    </row>
    <row r="27" spans="1:17">
      <c r="A27" t="s">
        <v>253</v>
      </c>
      <c r="B27">
        <v>1.46718712389059</v>
      </c>
      <c r="C27">
        <v>3.0253910173520802</v>
      </c>
      <c r="D27">
        <v>1.1232417054147099</v>
      </c>
      <c r="E27">
        <v>1.68036972606988</v>
      </c>
      <c r="F27">
        <v>0.91792636749102297</v>
      </c>
      <c r="M27" t="s">
        <v>75</v>
      </c>
      <c r="N27" t="s">
        <v>79</v>
      </c>
      <c r="O27">
        <v>0</v>
      </c>
      <c r="P27">
        <v>22.081114552655102</v>
      </c>
      <c r="Q27">
        <v>1.8112318693045399</v>
      </c>
    </row>
    <row r="28" spans="1:17">
      <c r="A28" t="s">
        <v>254</v>
      </c>
      <c r="B28">
        <v>1.2853111532845201</v>
      </c>
      <c r="C28">
        <v>2.7660019755444001</v>
      </c>
      <c r="D28">
        <v>1.8223039075103999</v>
      </c>
      <c r="E28">
        <v>1.5659924364634501</v>
      </c>
      <c r="F28">
        <v>0.57424822885928095</v>
      </c>
    </row>
    <row r="29" spans="1:17">
      <c r="A29" t="s">
        <v>255</v>
      </c>
      <c r="B29">
        <v>2.9151957128974901</v>
      </c>
      <c r="C29">
        <v>3.84870238419908</v>
      </c>
      <c r="D29">
        <v>7.1761725190059504</v>
      </c>
      <c r="E29">
        <v>4.63760535240728</v>
      </c>
      <c r="F29">
        <v>3.5068598215944999</v>
      </c>
    </row>
    <row r="30" spans="1:17">
      <c r="A30" t="s">
        <v>256</v>
      </c>
      <c r="B30" s="10">
        <v>13.9453752248439</v>
      </c>
      <c r="C30" s="10">
        <v>12.212190638580401</v>
      </c>
      <c r="D30" s="10">
        <v>28.1270847507624</v>
      </c>
      <c r="E30" s="10">
        <v>24.267659220949898</v>
      </c>
      <c r="F30">
        <v>22.081114552655102</v>
      </c>
    </row>
    <row r="32" spans="1:17">
      <c r="A32" s="5" t="s">
        <v>250</v>
      </c>
    </row>
    <row r="33" spans="1:6">
      <c r="B33" t="s">
        <v>175</v>
      </c>
      <c r="C33" t="s">
        <v>213</v>
      </c>
      <c r="D33" t="s">
        <v>214</v>
      </c>
      <c r="E33" t="s">
        <v>215</v>
      </c>
      <c r="F33" t="s">
        <v>189</v>
      </c>
    </row>
    <row r="34" spans="1:6">
      <c r="A34" t="s">
        <v>253</v>
      </c>
      <c r="B34" s="136">
        <v>0.5</v>
      </c>
      <c r="C34" s="136">
        <v>0.5</v>
      </c>
      <c r="D34" s="136">
        <v>0.5</v>
      </c>
      <c r="E34" s="136">
        <v>0.5</v>
      </c>
      <c r="F34" s="136">
        <v>0.5</v>
      </c>
    </row>
    <row r="35" spans="1:6">
      <c r="A35" t="s">
        <v>254</v>
      </c>
      <c r="B35" s="136">
        <v>0.5</v>
      </c>
      <c r="C35" s="136">
        <v>0.5</v>
      </c>
      <c r="D35" s="136">
        <v>0.5</v>
      </c>
      <c r="E35" s="136">
        <v>0.5</v>
      </c>
      <c r="F35" s="136">
        <v>0.5</v>
      </c>
    </row>
    <row r="36" spans="1:6">
      <c r="A36" t="s">
        <v>255</v>
      </c>
      <c r="B36" s="136">
        <v>0.5</v>
      </c>
      <c r="C36" s="136">
        <v>0.5</v>
      </c>
      <c r="D36" s="136">
        <v>0.5</v>
      </c>
      <c r="E36" s="136">
        <v>0.5</v>
      </c>
      <c r="F36" s="136">
        <v>0.5</v>
      </c>
    </row>
    <row r="37" spans="1:6">
      <c r="A37" t="s">
        <v>256</v>
      </c>
      <c r="B37" s="136">
        <v>0.5</v>
      </c>
      <c r="C37" s="136">
        <v>0.5</v>
      </c>
      <c r="D37" s="136">
        <v>0.5</v>
      </c>
      <c r="E37" s="136">
        <v>0.5</v>
      </c>
      <c r="F37" s="136">
        <v>0.5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3B158-DAA3-4983-9DC0-7BA1BBE74AD6}">
  <sheetPr>
    <tabColor theme="4" tint="0.59999389629810485"/>
  </sheetPr>
  <dimension ref="A1:T80"/>
  <sheetViews>
    <sheetView zoomScale="80" zoomScaleNormal="80" workbookViewId="0">
      <selection activeCell="B13" sqref="B13:F13"/>
    </sheetView>
  </sheetViews>
  <sheetFormatPr baseColWidth="10" defaultColWidth="8.83203125" defaultRowHeight="15"/>
  <cols>
    <col min="1" max="1" width="60.1640625" customWidth="1"/>
    <col min="2" max="2" width="15.5" customWidth="1"/>
    <col min="3" max="3" width="16.1640625" customWidth="1"/>
    <col min="4" max="4" width="14.5" customWidth="1"/>
    <col min="5" max="5" width="16.1640625" customWidth="1"/>
    <col min="6" max="10" width="22" customWidth="1"/>
    <col min="11" max="11" width="50.6640625" customWidth="1"/>
    <col min="12" max="12" width="37" customWidth="1"/>
    <col min="17" max="17" width="14.83203125" customWidth="1"/>
  </cols>
  <sheetData>
    <row r="1" spans="1:20">
      <c r="A1" s="3"/>
      <c r="B1" s="3" t="s">
        <v>55</v>
      </c>
      <c r="C1" s="3" t="s">
        <v>56</v>
      </c>
      <c r="D1" s="3" t="s">
        <v>237</v>
      </c>
      <c r="E1" s="3" t="s">
        <v>238</v>
      </c>
      <c r="F1" s="3" t="s">
        <v>862</v>
      </c>
      <c r="G1" s="3"/>
      <c r="H1" s="3"/>
      <c r="I1" s="3"/>
      <c r="J1" s="3"/>
      <c r="K1" s="3" t="s">
        <v>57</v>
      </c>
      <c r="L1" s="3" t="s">
        <v>425</v>
      </c>
    </row>
    <row r="2" spans="1:20">
      <c r="A2" s="103" t="s">
        <v>58</v>
      </c>
      <c r="B2" s="104">
        <v>1</v>
      </c>
      <c r="C2" s="104">
        <v>2</v>
      </c>
      <c r="D2" s="104">
        <v>3</v>
      </c>
      <c r="E2" s="105">
        <v>4</v>
      </c>
      <c r="F2" s="11">
        <v>1</v>
      </c>
      <c r="G2" s="11">
        <v>2</v>
      </c>
      <c r="H2" s="11">
        <v>3</v>
      </c>
      <c r="I2" s="11">
        <v>4</v>
      </c>
      <c r="J2" s="11">
        <v>5</v>
      </c>
      <c r="K2" s="3"/>
    </row>
    <row r="3" spans="1:20">
      <c r="A3" s="106" t="s">
        <v>59</v>
      </c>
      <c r="B3" s="164">
        <f>D57</f>
        <v>26343143323.576485</v>
      </c>
      <c r="C3" s="164">
        <f>D58</f>
        <v>19584909024.107529</v>
      </c>
      <c r="D3" s="164">
        <f>D59</f>
        <v>52406018249.346375</v>
      </c>
      <c r="E3" s="164">
        <f>D60</f>
        <v>112540732381.09088</v>
      </c>
      <c r="F3" s="164"/>
      <c r="G3" s="164"/>
      <c r="H3" s="164"/>
      <c r="I3" s="164"/>
      <c r="J3" s="164"/>
      <c r="K3" s="3" t="s">
        <v>60</v>
      </c>
      <c r="L3" t="s">
        <v>418</v>
      </c>
    </row>
    <row r="4" spans="1:20">
      <c r="A4" s="106" t="s">
        <v>61</v>
      </c>
      <c r="B4" s="164">
        <f>E57</f>
        <v>10355972837.187511</v>
      </c>
      <c r="C4" s="164">
        <f>E58</f>
        <v>1903050814.2066727</v>
      </c>
      <c r="D4" s="164">
        <f>E59</f>
        <v>2211980787.3040905</v>
      </c>
      <c r="E4" s="164">
        <f>E60</f>
        <v>1400467762.4369254</v>
      </c>
      <c r="F4" s="164"/>
      <c r="G4" s="164"/>
      <c r="H4" s="164"/>
      <c r="I4" s="164"/>
      <c r="J4" s="164"/>
      <c r="K4" s="3" t="s">
        <v>60</v>
      </c>
      <c r="L4" t="s">
        <v>418</v>
      </c>
    </row>
    <row r="5" spans="1:20">
      <c r="A5" s="106" t="s">
        <v>22</v>
      </c>
      <c r="B5" s="165">
        <f>K57</f>
        <v>2.5437632695385468</v>
      </c>
      <c r="C5" s="165">
        <f>K58</f>
        <v>10.291322164338483</v>
      </c>
      <c r="D5" s="165">
        <f>K59</f>
        <v>23.691895766064761</v>
      </c>
      <c r="E5" s="166">
        <f>K60</f>
        <v>80.359388055645809</v>
      </c>
      <c r="F5" s="165"/>
      <c r="G5" s="165"/>
      <c r="H5" s="165"/>
      <c r="I5" s="165"/>
      <c r="J5" s="165"/>
      <c r="K5" s="3" t="s">
        <v>60</v>
      </c>
      <c r="L5" t="s">
        <v>418</v>
      </c>
      <c r="Q5" t="s">
        <v>434</v>
      </c>
    </row>
    <row r="6" spans="1:20">
      <c r="A6" s="106"/>
      <c r="B6" s="107"/>
      <c r="C6" s="107"/>
      <c r="D6" s="107"/>
      <c r="E6" s="108"/>
      <c r="F6" s="107"/>
      <c r="G6" s="107"/>
      <c r="H6" s="107"/>
      <c r="I6" s="107"/>
      <c r="J6" s="107"/>
      <c r="K6" s="3"/>
      <c r="Q6" s="10"/>
      <c r="R6" s="10" t="s">
        <v>435</v>
      </c>
      <c r="S6" s="10" t="s">
        <v>436</v>
      </c>
      <c r="T6" s="10"/>
    </row>
    <row r="7" spans="1:20">
      <c r="A7" s="137" t="s">
        <v>4</v>
      </c>
      <c r="B7" s="107"/>
      <c r="C7" s="107"/>
      <c r="D7" s="107"/>
      <c r="E7" s="108"/>
      <c r="F7" s="107"/>
      <c r="G7" s="107"/>
      <c r="H7" s="107"/>
      <c r="I7" s="107"/>
      <c r="J7" s="107"/>
      <c r="K7" s="3"/>
      <c r="Q7" t="s">
        <v>437</v>
      </c>
      <c r="R7">
        <f>(15+20)/2</f>
        <v>17.5</v>
      </c>
      <c r="S7">
        <f>(25+40)/2</f>
        <v>32.5</v>
      </c>
      <c r="T7" t="s">
        <v>443</v>
      </c>
    </row>
    <row r="8" spans="1:20">
      <c r="A8" s="106" t="s">
        <v>289</v>
      </c>
      <c r="B8" s="235">
        <v>30</v>
      </c>
      <c r="C8" s="235">
        <v>50</v>
      </c>
      <c r="D8" s="235">
        <v>80</v>
      </c>
      <c r="E8" s="236">
        <v>95</v>
      </c>
      <c r="F8" s="235"/>
      <c r="G8" s="235"/>
      <c r="H8" s="235"/>
      <c r="I8" s="235"/>
      <c r="J8" s="235"/>
      <c r="K8" s="3" t="s">
        <v>429</v>
      </c>
      <c r="L8" s="136" t="s">
        <v>430</v>
      </c>
      <c r="Q8" t="s">
        <v>438</v>
      </c>
      <c r="R8">
        <f t="shared" ref="R8" si="0">(15+20)/2</f>
        <v>17.5</v>
      </c>
      <c r="T8" t="s">
        <v>443</v>
      </c>
    </row>
    <row r="9" spans="1:20">
      <c r="A9" s="106" t="s">
        <v>276</v>
      </c>
      <c r="B9" s="142"/>
      <c r="C9" s="142"/>
      <c r="D9" s="142"/>
      <c r="E9" s="142"/>
      <c r="F9" s="142"/>
      <c r="G9" s="142"/>
      <c r="H9" s="142"/>
      <c r="I9" s="142"/>
      <c r="J9" s="142"/>
      <c r="K9" s="3" t="s">
        <v>62</v>
      </c>
      <c r="Q9" t="s">
        <v>439</v>
      </c>
      <c r="R9">
        <f>(20+30)/2</f>
        <v>25</v>
      </c>
      <c r="T9" t="s">
        <v>443</v>
      </c>
    </row>
    <row r="10" spans="1:20">
      <c r="A10" s="106" t="s">
        <v>275</v>
      </c>
      <c r="B10" s="142">
        <v>0.1</v>
      </c>
      <c r="C10" s="142">
        <v>0.3</v>
      </c>
      <c r="D10" s="142">
        <v>0.5</v>
      </c>
      <c r="E10" s="142">
        <v>0.9</v>
      </c>
      <c r="F10" s="142"/>
      <c r="G10" s="142"/>
      <c r="H10" s="142"/>
      <c r="I10" s="142"/>
      <c r="J10" s="142"/>
      <c r="K10" s="3" t="s">
        <v>62</v>
      </c>
      <c r="Q10" t="s">
        <v>66</v>
      </c>
      <c r="R10">
        <f>(30+35)/2</f>
        <v>32.5</v>
      </c>
      <c r="T10" t="s">
        <v>443</v>
      </c>
    </row>
    <row r="11" spans="1:20">
      <c r="A11" s="106" t="s">
        <v>412</v>
      </c>
      <c r="B11" s="171">
        <f>B5/B8</f>
        <v>8.4792108984618225E-2</v>
      </c>
      <c r="C11" s="171">
        <f>C5/C8</f>
        <v>0.20582644328676966</v>
      </c>
      <c r="D11" s="171">
        <f t="shared" ref="D11" si="1">D5/D8</f>
        <v>0.29614869707580949</v>
      </c>
      <c r="E11" s="171">
        <f>E5/E8</f>
        <v>0.84588829532258747</v>
      </c>
      <c r="F11" s="171"/>
      <c r="G11" s="171"/>
      <c r="H11" s="171"/>
      <c r="I11" s="171"/>
      <c r="J11" s="171"/>
      <c r="K11" s="3" t="s">
        <v>416</v>
      </c>
    </row>
    <row r="12" spans="1:20">
      <c r="A12" s="138" t="s">
        <v>6</v>
      </c>
      <c r="B12" s="109"/>
      <c r="C12" s="109"/>
      <c r="D12" s="109"/>
      <c r="E12" s="110"/>
      <c r="F12" s="109"/>
      <c r="G12" s="109"/>
      <c r="H12" s="109"/>
      <c r="I12" s="109"/>
      <c r="J12" s="109"/>
      <c r="K12" s="3"/>
      <c r="Q12" t="s">
        <v>440</v>
      </c>
      <c r="S12">
        <f>(40+60)/2</f>
        <v>50</v>
      </c>
      <c r="T12" t="s">
        <v>443</v>
      </c>
    </row>
    <row r="13" spans="1:20">
      <c r="A13" s="106" t="s">
        <v>445</v>
      </c>
      <c r="B13" s="171">
        <v>0.110000573817883</v>
      </c>
      <c r="C13" s="171">
        <v>0.22251507382353478</v>
      </c>
      <c r="D13" s="171">
        <v>0.3948649294344127</v>
      </c>
      <c r="E13" s="171">
        <v>1.0368953297502685</v>
      </c>
      <c r="F13" s="171"/>
      <c r="G13" s="171"/>
      <c r="H13" s="171"/>
      <c r="I13" s="171"/>
      <c r="J13" s="171"/>
      <c r="K13" s="3" t="s">
        <v>63</v>
      </c>
      <c r="L13" t="s">
        <v>433</v>
      </c>
      <c r="Q13" t="s">
        <v>441</v>
      </c>
      <c r="S13">
        <f>(50+70)/2</f>
        <v>60</v>
      </c>
      <c r="T13" t="s">
        <v>443</v>
      </c>
    </row>
    <row r="14" spans="1:20">
      <c r="A14" s="111" t="s">
        <v>282</v>
      </c>
      <c r="B14" s="256">
        <f>6/60</f>
        <v>0.1</v>
      </c>
      <c r="C14" s="256">
        <f>10/60</f>
        <v>0.16666666666666666</v>
      </c>
      <c r="D14" s="256">
        <f>17/60</f>
        <v>0.28333333333333333</v>
      </c>
      <c r="E14" s="257">
        <f>25/60</f>
        <v>0.41666666666666669</v>
      </c>
      <c r="F14" s="256"/>
      <c r="G14" s="256"/>
      <c r="H14" s="256"/>
      <c r="I14" s="256"/>
      <c r="J14" s="256"/>
      <c r="K14" s="36" t="s">
        <v>62</v>
      </c>
      <c r="L14" s="35" t="s">
        <v>728</v>
      </c>
      <c r="N14" s="35"/>
      <c r="Q14" t="s">
        <v>442</v>
      </c>
      <c r="S14">
        <v>75</v>
      </c>
      <c r="T14" t="s">
        <v>443</v>
      </c>
    </row>
    <row r="15" spans="1:20">
      <c r="A15" s="106" t="s">
        <v>64</v>
      </c>
      <c r="B15" s="167" t="s">
        <v>413</v>
      </c>
      <c r="C15" s="167" t="s">
        <v>414</v>
      </c>
      <c r="D15" s="167" t="s">
        <v>67</v>
      </c>
      <c r="E15" s="168" t="s">
        <v>68</v>
      </c>
      <c r="F15" s="167"/>
      <c r="G15" s="167"/>
      <c r="H15" s="167"/>
      <c r="I15" s="167"/>
      <c r="J15" s="167"/>
      <c r="K15" s="3"/>
      <c r="Q15" t="s">
        <v>68</v>
      </c>
      <c r="R15" t="s">
        <v>444</v>
      </c>
      <c r="S15">
        <v>80</v>
      </c>
      <c r="T15" t="s">
        <v>443</v>
      </c>
    </row>
    <row r="16" spans="1:20">
      <c r="A16" s="10" t="s">
        <v>241</v>
      </c>
      <c r="B16" s="10">
        <f>B21</f>
        <v>0.15</v>
      </c>
      <c r="C16" s="10">
        <f>C21</f>
        <v>0.15</v>
      </c>
      <c r="D16" s="10">
        <v>0.2</v>
      </c>
      <c r="E16" s="10">
        <v>0.2</v>
      </c>
      <c r="K16" t="s">
        <v>285</v>
      </c>
    </row>
    <row r="17" spans="1:14">
      <c r="A17" s="175" t="s">
        <v>428</v>
      </c>
      <c r="B17" s="237">
        <f>SUM(R7:R10)/4</f>
        <v>23.125</v>
      </c>
      <c r="C17" s="237">
        <f>(R10+S13)/2</f>
        <v>46.25</v>
      </c>
      <c r="D17" s="237">
        <f>S13</f>
        <v>60</v>
      </c>
      <c r="E17" s="237">
        <f>SUM(S14:S15)/2</f>
        <v>77.5</v>
      </c>
      <c r="F17" s="237"/>
      <c r="G17" s="237"/>
      <c r="H17" s="237"/>
      <c r="I17" s="237"/>
      <c r="J17" s="237"/>
      <c r="K17" s="5" t="s">
        <v>423</v>
      </c>
      <c r="L17" t="s">
        <v>422</v>
      </c>
    </row>
    <row r="18" spans="1:14">
      <c r="A18" t="s">
        <v>447</v>
      </c>
      <c r="B18" s="171">
        <f>B5/B17</f>
        <v>0.1100005738178831</v>
      </c>
      <c r="C18" s="171">
        <f>C5/C17</f>
        <v>0.22251507382353478</v>
      </c>
      <c r="D18" s="171">
        <f>D5/D17</f>
        <v>0.3948649294344127</v>
      </c>
      <c r="E18" s="171">
        <f>E5/E17</f>
        <v>1.0368953297502685</v>
      </c>
      <c r="F18" s="171"/>
      <c r="G18" s="171"/>
      <c r="H18" s="171"/>
      <c r="I18" s="171"/>
      <c r="J18" s="171"/>
      <c r="K18" s="3" t="s">
        <v>424</v>
      </c>
    </row>
    <row r="19" spans="1:14" ht="16">
      <c r="A19" t="s">
        <v>446</v>
      </c>
      <c r="B19" s="169">
        <f>8/60</f>
        <v>0.13333333333333333</v>
      </c>
      <c r="C19" s="169">
        <f>14/60</f>
        <v>0.23333333333333334</v>
      </c>
      <c r="D19" s="169">
        <f>35/60</f>
        <v>0.58333333333333337</v>
      </c>
      <c r="E19" s="170">
        <f>61/60</f>
        <v>1.0166666666666666</v>
      </c>
      <c r="F19" s="169"/>
      <c r="G19" s="169"/>
      <c r="H19" s="169"/>
      <c r="I19" s="169"/>
      <c r="J19" s="169"/>
      <c r="K19" s="173" t="s">
        <v>427</v>
      </c>
      <c r="L19" t="s">
        <v>426</v>
      </c>
    </row>
    <row r="20" spans="1:14" ht="32">
      <c r="A20" s="138" t="s">
        <v>417</v>
      </c>
      <c r="B20" s="163" t="s">
        <v>496</v>
      </c>
      <c r="C20" s="187" t="s">
        <v>497</v>
      </c>
      <c r="D20" s="109"/>
      <c r="E20" s="110"/>
      <c r="F20" s="109"/>
      <c r="G20" s="109"/>
      <c r="H20" s="109"/>
      <c r="I20" s="109"/>
      <c r="J20" s="109"/>
      <c r="K20" s="173" t="s">
        <v>291</v>
      </c>
    </row>
    <row r="21" spans="1:14">
      <c r="A21" s="139" t="s">
        <v>415</v>
      </c>
      <c r="B21" s="167">
        <v>0.15</v>
      </c>
      <c r="C21" s="167">
        <v>0.15</v>
      </c>
      <c r="D21" s="167">
        <v>0.2</v>
      </c>
      <c r="E21" s="168">
        <v>0.2</v>
      </c>
      <c r="F21" s="167"/>
      <c r="G21" s="167"/>
      <c r="H21" s="167"/>
      <c r="I21" s="167"/>
      <c r="J21" s="167"/>
      <c r="K21" s="3"/>
    </row>
    <row r="22" spans="1:14">
      <c r="A22" s="106"/>
      <c r="B22" s="109"/>
      <c r="C22" s="109"/>
      <c r="D22" s="109"/>
      <c r="E22" s="110"/>
      <c r="F22" s="109"/>
      <c r="G22" s="109"/>
      <c r="H22" s="109"/>
      <c r="I22" s="109"/>
      <c r="J22" s="109"/>
    </row>
    <row r="23" spans="1:14">
      <c r="A23" s="137" t="s">
        <v>5</v>
      </c>
      <c r="B23" s="109"/>
      <c r="C23" s="109"/>
      <c r="D23" s="109"/>
      <c r="E23" s="110"/>
      <c r="F23" s="109"/>
      <c r="G23" s="109"/>
      <c r="H23" s="109"/>
      <c r="I23" s="109"/>
      <c r="J23" s="109"/>
    </row>
    <row r="24" spans="1:14" ht="33" customHeight="1">
      <c r="A24" s="106" t="s">
        <v>69</v>
      </c>
      <c r="B24" s="165">
        <v>14.6</v>
      </c>
      <c r="C24" s="165">
        <v>14.6</v>
      </c>
      <c r="D24" s="165">
        <v>15.8</v>
      </c>
      <c r="E24" s="165">
        <v>15.8</v>
      </c>
      <c r="F24" s="165"/>
      <c r="G24" s="165"/>
      <c r="H24" s="165"/>
      <c r="I24" s="165"/>
      <c r="J24" s="165"/>
      <c r="K24" s="173" t="s">
        <v>421</v>
      </c>
      <c r="L24" t="s">
        <v>420</v>
      </c>
    </row>
    <row r="25" spans="1:14">
      <c r="A25" t="s">
        <v>295</v>
      </c>
      <c r="B25" s="172">
        <f>B5/B24</f>
        <v>0.17423036092729774</v>
      </c>
      <c r="C25" s="172">
        <f t="shared" ref="C25:E25" si="2">C5/C24</f>
        <v>0.70488507974921122</v>
      </c>
      <c r="D25" s="172">
        <f t="shared" si="2"/>
        <v>1.4994870738015671</v>
      </c>
      <c r="E25" s="172">
        <f t="shared" si="2"/>
        <v>5.08603721871176</v>
      </c>
      <c r="F25" s="172"/>
      <c r="G25" s="172"/>
      <c r="H25" s="172"/>
      <c r="I25" s="172"/>
      <c r="J25" s="172"/>
    </row>
    <row r="26" spans="1:14">
      <c r="A26" s="106"/>
      <c r="B26" s="107"/>
      <c r="C26" s="107"/>
      <c r="D26" s="107"/>
      <c r="E26" s="108"/>
      <c r="F26" s="107"/>
      <c r="G26" s="107"/>
      <c r="H26" s="107"/>
      <c r="I26" s="107"/>
      <c r="J26" s="107"/>
      <c r="K26" s="3"/>
      <c r="M26" s="35"/>
      <c r="N26" s="35"/>
    </row>
    <row r="27" spans="1:14">
      <c r="A27" s="3" t="s">
        <v>293</v>
      </c>
      <c r="B27" s="150"/>
      <c r="C27" s="150"/>
      <c r="D27" s="150"/>
      <c r="E27" s="150"/>
      <c r="F27" s="150"/>
      <c r="G27" s="150"/>
      <c r="H27" s="150"/>
      <c r="I27" s="150"/>
      <c r="J27" s="150"/>
      <c r="K27" s="3"/>
    </row>
    <row r="28" spans="1:14">
      <c r="A28" s="64" t="s">
        <v>250</v>
      </c>
      <c r="B28" s="107"/>
      <c r="C28" s="107"/>
      <c r="D28" s="107"/>
      <c r="E28" s="107"/>
      <c r="F28" s="107"/>
      <c r="G28" s="107"/>
      <c r="H28" s="107"/>
      <c r="I28" s="107"/>
      <c r="J28" s="107"/>
      <c r="K28" s="3"/>
    </row>
    <row r="29" spans="1:14">
      <c r="A29" t="s">
        <v>283</v>
      </c>
      <c r="B29">
        <v>6</v>
      </c>
      <c r="C29">
        <v>6</v>
      </c>
      <c r="D29">
        <v>5</v>
      </c>
      <c r="E29">
        <v>4</v>
      </c>
      <c r="K29" t="s">
        <v>296</v>
      </c>
    </row>
    <row r="30" spans="1:14">
      <c r="A30" t="s">
        <v>284</v>
      </c>
      <c r="B30">
        <f>B5/B29</f>
        <v>0.42396054492309115</v>
      </c>
      <c r="C30">
        <f t="shared" ref="C30:E30" si="3">C5/C29</f>
        <v>1.7152203607230805</v>
      </c>
      <c r="D30">
        <f t="shared" si="3"/>
        <v>4.7383791532129518</v>
      </c>
      <c r="E30">
        <f t="shared" si="3"/>
        <v>20.089847013911452</v>
      </c>
      <c r="K30" t="s">
        <v>419</v>
      </c>
    </row>
    <row r="31" spans="1:14" ht="16" thickBot="1"/>
    <row r="32" spans="1:14">
      <c r="A32" s="298" t="s">
        <v>6</v>
      </c>
    </row>
    <row r="33" spans="1:1">
      <c r="A33" s="299" t="s">
        <v>786</v>
      </c>
    </row>
    <row r="34" spans="1:1">
      <c r="A34" s="299" t="s">
        <v>787</v>
      </c>
    </row>
    <row r="35" spans="1:1">
      <c r="A35" s="299" t="s">
        <v>788</v>
      </c>
    </row>
    <row r="36" spans="1:1">
      <c r="A36" s="299" t="s">
        <v>789</v>
      </c>
    </row>
    <row r="37" spans="1:1" ht="16" thickBot="1">
      <c r="A37" s="300" t="s">
        <v>790</v>
      </c>
    </row>
    <row r="39" spans="1:1">
      <c r="A39" t="s">
        <v>791</v>
      </c>
    </row>
    <row r="55" spans="1:12">
      <c r="A55" s="5" t="s">
        <v>403</v>
      </c>
    </row>
    <row r="56" spans="1:12">
      <c r="A56" s="10" t="s">
        <v>404</v>
      </c>
      <c r="B56" s="10" t="s">
        <v>139</v>
      </c>
      <c r="C56" s="10"/>
      <c r="D56" s="10" t="s">
        <v>405</v>
      </c>
      <c r="E56" s="10" t="s">
        <v>406</v>
      </c>
      <c r="F56" s="10"/>
      <c r="G56" s="10"/>
      <c r="H56" s="10"/>
      <c r="I56" s="10"/>
      <c r="J56" s="10"/>
      <c r="K56" s="10" t="s">
        <v>407</v>
      </c>
      <c r="L56" s="10"/>
    </row>
    <row r="57" spans="1:12">
      <c r="A57">
        <v>1</v>
      </c>
      <c r="B57" t="s">
        <v>408</v>
      </c>
      <c r="D57">
        <v>26343143323.576485</v>
      </c>
      <c r="E57">
        <v>10355972837.187511</v>
      </c>
      <c r="K57">
        <v>2.5437632695385468</v>
      </c>
    </row>
    <row r="58" spans="1:12">
      <c r="A58">
        <v>2</v>
      </c>
      <c r="B58" t="s">
        <v>409</v>
      </c>
      <c r="D58">
        <v>19584909024.107529</v>
      </c>
      <c r="E58">
        <v>1903050814.2066727</v>
      </c>
      <c r="K58">
        <v>10.291322164338483</v>
      </c>
    </row>
    <row r="59" spans="1:12">
      <c r="A59">
        <v>3</v>
      </c>
      <c r="B59" t="s">
        <v>410</v>
      </c>
      <c r="D59">
        <v>52406018249.346375</v>
      </c>
      <c r="E59">
        <v>2211980787.3040905</v>
      </c>
      <c r="K59">
        <v>23.691895766064761</v>
      </c>
    </row>
    <row r="60" spans="1:12">
      <c r="A60">
        <v>4</v>
      </c>
      <c r="B60" t="s">
        <v>411</v>
      </c>
      <c r="D60">
        <v>112540732381.09088</v>
      </c>
      <c r="E60">
        <v>1400467762.4369254</v>
      </c>
      <c r="K60">
        <v>80.359388055645809</v>
      </c>
    </row>
    <row r="69" spans="2:5">
      <c r="B69" t="s">
        <v>501</v>
      </c>
    </row>
    <row r="70" spans="2:5">
      <c r="B70" s="189" t="s">
        <v>498</v>
      </c>
      <c r="C70" s="189" t="s">
        <v>499</v>
      </c>
      <c r="D70" s="189" t="s">
        <v>500</v>
      </c>
    </row>
    <row r="71" spans="2:5">
      <c r="B71" s="190">
        <v>6059920000</v>
      </c>
      <c r="C71" s="191">
        <v>1105830</v>
      </c>
      <c r="D71" s="189">
        <v>5479.9743179999996</v>
      </c>
    </row>
    <row r="72" spans="2:5">
      <c r="D72">
        <f>B71/C71</f>
        <v>5479.9743179331363</v>
      </c>
      <c r="E72" t="s">
        <v>502</v>
      </c>
    </row>
    <row r="74" spans="2:5">
      <c r="C74" s="5" t="s">
        <v>503</v>
      </c>
      <c r="D74" t="s">
        <v>504</v>
      </c>
    </row>
    <row r="79" spans="2:5">
      <c r="B79" t="s">
        <v>505</v>
      </c>
    </row>
    <row r="80" spans="2:5">
      <c r="B80" t="s">
        <v>506</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D9D74-8095-4FC2-96E8-DBD42181B5A5}">
  <dimension ref="A1:T98"/>
  <sheetViews>
    <sheetView zoomScale="80" zoomScaleNormal="80" workbookViewId="0">
      <selection activeCell="D23" sqref="D23"/>
    </sheetView>
  </sheetViews>
  <sheetFormatPr baseColWidth="10" defaultColWidth="8.83203125" defaultRowHeight="15"/>
  <cols>
    <col min="2" max="2" width="14.33203125" customWidth="1"/>
    <col min="3" max="3" width="15.33203125" customWidth="1"/>
    <col min="21" max="21" width="26.33203125" customWidth="1"/>
    <col min="22" max="22" width="17.33203125" customWidth="1"/>
    <col min="23" max="23" width="15.33203125" customWidth="1"/>
    <col min="24" max="24" width="20.5" customWidth="1"/>
    <col min="25" max="25" width="15.5" customWidth="1"/>
  </cols>
  <sheetData>
    <row r="1" spans="1:20" ht="19">
      <c r="A1" s="188" t="s">
        <v>257</v>
      </c>
      <c r="B1" s="35"/>
    </row>
    <row r="3" spans="1:20">
      <c r="D3" t="s">
        <v>87</v>
      </c>
      <c r="E3">
        <v>2010</v>
      </c>
      <c r="F3">
        <v>2011</v>
      </c>
      <c r="G3">
        <v>2012</v>
      </c>
      <c r="H3">
        <v>2013</v>
      </c>
      <c r="I3">
        <v>2014</v>
      </c>
      <c r="J3">
        <v>2015</v>
      </c>
      <c r="K3">
        <v>2016</v>
      </c>
      <c r="L3">
        <v>2017</v>
      </c>
      <c r="M3">
        <v>2018</v>
      </c>
      <c r="N3">
        <v>2019</v>
      </c>
      <c r="O3">
        <v>2020</v>
      </c>
      <c r="P3">
        <v>2021</v>
      </c>
      <c r="Q3">
        <v>2025</v>
      </c>
      <c r="R3">
        <v>2030</v>
      </c>
      <c r="S3">
        <v>2040</v>
      </c>
      <c r="T3">
        <v>2050</v>
      </c>
    </row>
    <row r="4" spans="1:20">
      <c r="A4" t="s">
        <v>259</v>
      </c>
      <c r="D4" t="s">
        <v>258</v>
      </c>
      <c r="E4">
        <f>B8</f>
        <v>16575000</v>
      </c>
      <c r="F4">
        <f>B9</f>
        <v>16655800</v>
      </c>
      <c r="G4">
        <f>B10</f>
        <v>16730300</v>
      </c>
      <c r="H4">
        <f>B11</f>
        <v>16779600</v>
      </c>
      <c r="I4">
        <f>B12</f>
        <v>16829300</v>
      </c>
      <c r="J4">
        <f>B13</f>
        <v>16900700</v>
      </c>
      <c r="K4">
        <f>B14</f>
        <v>16979100</v>
      </c>
      <c r="L4">
        <f>B15</f>
        <v>17081500</v>
      </c>
      <c r="M4">
        <f>B16</f>
        <v>17181100</v>
      </c>
      <c r="N4">
        <f>B17</f>
        <v>17282200</v>
      </c>
      <c r="O4">
        <f>B18</f>
        <v>17407600</v>
      </c>
      <c r="P4">
        <f>B19</f>
        <v>17475400</v>
      </c>
      <c r="Q4">
        <f>B20</f>
        <v>17870000</v>
      </c>
      <c r="R4">
        <f>B21</f>
        <v>18479500</v>
      </c>
      <c r="S4" s="136">
        <f>B22</f>
        <v>19211000</v>
      </c>
      <c r="T4">
        <f>B23</f>
        <v>19628200</v>
      </c>
    </row>
    <row r="5" spans="1:20">
      <c r="M5" s="5" t="s">
        <v>258</v>
      </c>
    </row>
    <row r="6" spans="1:20">
      <c r="A6" s="5" t="s">
        <v>258</v>
      </c>
      <c r="D6" t="s">
        <v>260</v>
      </c>
      <c r="M6" t="s">
        <v>87</v>
      </c>
      <c r="N6" t="s">
        <v>261</v>
      </c>
    </row>
    <row r="7" spans="1:20">
      <c r="A7" s="136" t="s">
        <v>263</v>
      </c>
      <c r="B7" s="136" t="s">
        <v>265</v>
      </c>
      <c r="M7">
        <v>2010</v>
      </c>
      <c r="N7">
        <v>16580000</v>
      </c>
    </row>
    <row r="8" spans="1:20">
      <c r="A8" s="136">
        <v>2010</v>
      </c>
      <c r="B8" s="136">
        <v>16575000</v>
      </c>
      <c r="C8" s="1"/>
      <c r="D8" s="1"/>
      <c r="M8">
        <v>2011</v>
      </c>
      <c r="N8">
        <v>16660000</v>
      </c>
    </row>
    <row r="9" spans="1:20">
      <c r="A9" s="136">
        <v>2011</v>
      </c>
      <c r="B9" s="136">
        <v>16655800</v>
      </c>
      <c r="C9" s="1"/>
      <c r="D9" s="1"/>
      <c r="M9">
        <v>2012</v>
      </c>
      <c r="N9">
        <v>16730000</v>
      </c>
    </row>
    <row r="10" spans="1:20">
      <c r="A10" s="136">
        <v>2012</v>
      </c>
      <c r="B10" s="136">
        <v>16730300</v>
      </c>
      <c r="C10" s="1"/>
      <c r="D10" s="1"/>
      <c r="M10">
        <v>2013</v>
      </c>
      <c r="N10">
        <v>16780000</v>
      </c>
    </row>
    <row r="11" spans="1:20">
      <c r="A11" s="136">
        <v>2013</v>
      </c>
      <c r="B11" s="136">
        <v>16779600</v>
      </c>
      <c r="C11" s="1"/>
      <c r="D11" s="1"/>
      <c r="M11">
        <v>2014</v>
      </c>
      <c r="N11">
        <v>16830000</v>
      </c>
    </row>
    <row r="12" spans="1:20">
      <c r="A12" s="136">
        <v>2014</v>
      </c>
      <c r="B12" s="136">
        <v>16829300</v>
      </c>
      <c r="C12" s="1"/>
      <c r="D12" s="1"/>
      <c r="M12">
        <v>2015</v>
      </c>
      <c r="N12">
        <v>16900700</v>
      </c>
      <c r="R12">
        <v>2025</v>
      </c>
      <c r="S12">
        <v>17870000</v>
      </c>
    </row>
    <row r="13" spans="1:20">
      <c r="A13" s="136">
        <v>2015</v>
      </c>
      <c r="B13" s="136">
        <v>16900700</v>
      </c>
      <c r="M13">
        <v>2016</v>
      </c>
      <c r="N13">
        <v>16980000</v>
      </c>
      <c r="R13">
        <v>2030</v>
      </c>
      <c r="S13">
        <v>18480000</v>
      </c>
    </row>
    <row r="14" spans="1:20">
      <c r="A14" s="136">
        <v>2016</v>
      </c>
      <c r="B14" s="136">
        <v>16979100</v>
      </c>
      <c r="C14" s="1"/>
      <c r="D14" s="1"/>
      <c r="M14">
        <v>2017</v>
      </c>
      <c r="N14">
        <v>17080000</v>
      </c>
      <c r="R14">
        <v>2040</v>
      </c>
      <c r="S14">
        <v>19210000</v>
      </c>
    </row>
    <row r="15" spans="1:20">
      <c r="A15" s="136">
        <v>2017</v>
      </c>
      <c r="B15" s="136">
        <v>17081500</v>
      </c>
      <c r="C15" s="1"/>
      <c r="D15" s="1"/>
      <c r="M15">
        <v>2018</v>
      </c>
      <c r="N15">
        <v>17180000</v>
      </c>
      <c r="R15">
        <v>2050</v>
      </c>
      <c r="S15">
        <v>19630000</v>
      </c>
    </row>
    <row r="16" spans="1:20">
      <c r="A16" s="136">
        <v>2018</v>
      </c>
      <c r="B16" s="136">
        <v>17181100</v>
      </c>
      <c r="C16" s="1"/>
      <c r="D16" s="1"/>
      <c r="M16">
        <v>2019</v>
      </c>
      <c r="N16">
        <v>17280000</v>
      </c>
    </row>
    <row r="17" spans="1:14">
      <c r="A17" s="136">
        <v>2019</v>
      </c>
      <c r="B17" s="136">
        <v>17282200</v>
      </c>
      <c r="C17" s="1"/>
      <c r="D17" s="1"/>
      <c r="M17">
        <v>2020</v>
      </c>
      <c r="N17">
        <v>17410000</v>
      </c>
    </row>
    <row r="18" spans="1:14">
      <c r="A18" s="136">
        <v>2020</v>
      </c>
      <c r="B18" s="136">
        <v>17407600</v>
      </c>
      <c r="C18" s="1"/>
      <c r="D18" s="1"/>
      <c r="M18">
        <v>2021</v>
      </c>
      <c r="N18">
        <v>17480000</v>
      </c>
    </row>
    <row r="19" spans="1:14">
      <c r="A19" s="136">
        <v>2021</v>
      </c>
      <c r="B19" s="136">
        <v>17475400</v>
      </c>
      <c r="C19" s="1"/>
      <c r="D19" s="1"/>
      <c r="M19">
        <v>2022</v>
      </c>
    </row>
    <row r="20" spans="1:14">
      <c r="A20" s="136">
        <v>2025</v>
      </c>
      <c r="B20" s="136">
        <v>17870000</v>
      </c>
      <c r="C20" s="1"/>
      <c r="D20" s="1"/>
      <c r="M20">
        <v>2023</v>
      </c>
    </row>
    <row r="21" spans="1:14">
      <c r="A21" s="136">
        <v>2030</v>
      </c>
      <c r="B21" s="136">
        <v>18479500</v>
      </c>
      <c r="C21" s="1"/>
      <c r="D21" s="1"/>
      <c r="M21">
        <v>2024</v>
      </c>
    </row>
    <row r="22" spans="1:14">
      <c r="A22" s="136">
        <v>2040</v>
      </c>
      <c r="B22" s="136">
        <v>19211000</v>
      </c>
      <c r="C22" s="1"/>
      <c r="D22" s="1"/>
      <c r="M22">
        <v>2025</v>
      </c>
      <c r="N22">
        <v>17870000</v>
      </c>
    </row>
    <row r="23" spans="1:14">
      <c r="A23" s="136">
        <v>2050</v>
      </c>
      <c r="B23" s="136">
        <v>19628200</v>
      </c>
      <c r="C23" s="1"/>
      <c r="D23" s="1" t="s">
        <v>861</v>
      </c>
      <c r="M23">
        <v>2026</v>
      </c>
    </row>
    <row r="24" spans="1:14">
      <c r="A24" s="136"/>
      <c r="B24" s="136"/>
      <c r="D24" t="s">
        <v>860</v>
      </c>
      <c r="M24">
        <v>2027</v>
      </c>
    </row>
    <row r="25" spans="1:14">
      <c r="A25" s="136"/>
      <c r="B25" s="136"/>
      <c r="D25" t="s">
        <v>859</v>
      </c>
      <c r="M25">
        <v>2028</v>
      </c>
    </row>
    <row r="26" spans="1:14">
      <c r="M26">
        <v>2029</v>
      </c>
    </row>
    <row r="27" spans="1:14">
      <c r="M27">
        <v>2030</v>
      </c>
      <c r="N27">
        <v>18480000</v>
      </c>
    </row>
    <row r="28" spans="1:14">
      <c r="M28">
        <v>2031</v>
      </c>
    </row>
    <row r="29" spans="1:14">
      <c r="M29">
        <v>2032</v>
      </c>
    </row>
    <row r="30" spans="1:14">
      <c r="M30">
        <v>2033</v>
      </c>
    </row>
    <row r="31" spans="1:14">
      <c r="M31">
        <v>2034</v>
      </c>
    </row>
    <row r="32" spans="1:14">
      <c r="M32">
        <v>2035</v>
      </c>
    </row>
    <row r="33" spans="13:14">
      <c r="M33">
        <v>2036</v>
      </c>
    </row>
    <row r="34" spans="13:14">
      <c r="M34">
        <v>2037</v>
      </c>
    </row>
    <row r="35" spans="13:14">
      <c r="M35">
        <v>2038</v>
      </c>
    </row>
    <row r="36" spans="13:14">
      <c r="M36">
        <v>2039</v>
      </c>
    </row>
    <row r="37" spans="13:14">
      <c r="M37">
        <v>2040</v>
      </c>
      <c r="N37">
        <v>19210000</v>
      </c>
    </row>
    <row r="38" spans="13:14">
      <c r="M38">
        <v>2041</v>
      </c>
    </row>
    <row r="39" spans="13:14">
      <c r="M39">
        <v>2042</v>
      </c>
    </row>
    <row r="40" spans="13:14">
      <c r="M40">
        <v>2043</v>
      </c>
    </row>
    <row r="41" spans="13:14">
      <c r="M41">
        <v>2044</v>
      </c>
    </row>
    <row r="42" spans="13:14">
      <c r="M42">
        <v>2045</v>
      </c>
    </row>
    <row r="43" spans="13:14">
      <c r="M43">
        <v>2046</v>
      </c>
    </row>
    <row r="44" spans="13:14">
      <c r="M44">
        <v>2047</v>
      </c>
    </row>
    <row r="45" spans="13:14">
      <c r="M45">
        <v>2048</v>
      </c>
    </row>
    <row r="46" spans="13:14">
      <c r="M46">
        <v>2049</v>
      </c>
    </row>
    <row r="47" spans="13:14">
      <c r="M47">
        <v>2050</v>
      </c>
      <c r="N47">
        <v>19630000</v>
      </c>
    </row>
    <row r="53" spans="1:1">
      <c r="A53" s="5"/>
    </row>
    <row r="72" spans="1:2">
      <c r="A72" s="5" t="s">
        <v>262</v>
      </c>
    </row>
    <row r="73" spans="1:2">
      <c r="A73" s="5" t="s">
        <v>87</v>
      </c>
      <c r="B73" t="s">
        <v>264</v>
      </c>
    </row>
    <row r="74" spans="1:2">
      <c r="A74">
        <v>2019</v>
      </c>
      <c r="B74">
        <v>0</v>
      </c>
    </row>
    <row r="75" spans="1:2">
      <c r="A75">
        <v>2020</v>
      </c>
      <c r="B75">
        <v>0</v>
      </c>
    </row>
    <row r="76" spans="1:2">
      <c r="A76">
        <v>2021</v>
      </c>
      <c r="B76">
        <v>0</v>
      </c>
    </row>
    <row r="77" spans="1:2">
      <c r="A77">
        <v>2022</v>
      </c>
      <c r="B77">
        <v>0</v>
      </c>
    </row>
    <row r="78" spans="1:2">
      <c r="A78">
        <v>2023</v>
      </c>
      <c r="B78">
        <v>0</v>
      </c>
    </row>
    <row r="79" spans="1:2">
      <c r="A79">
        <v>2024</v>
      </c>
      <c r="B79">
        <v>0.03</v>
      </c>
    </row>
    <row r="80" spans="1:2">
      <c r="A80">
        <v>2025</v>
      </c>
      <c r="B80">
        <v>0.03</v>
      </c>
    </row>
    <row r="81" spans="1:2">
      <c r="A81">
        <v>2026</v>
      </c>
      <c r="B81">
        <v>0.03</v>
      </c>
    </row>
    <row r="82" spans="1:2">
      <c r="A82">
        <v>2027</v>
      </c>
      <c r="B82">
        <v>0.02</v>
      </c>
    </row>
    <row r="83" spans="1:2">
      <c r="A83">
        <v>2028</v>
      </c>
      <c r="B83">
        <v>0.01</v>
      </c>
    </row>
    <row r="84" spans="1:2">
      <c r="A84">
        <v>2029</v>
      </c>
      <c r="B84">
        <v>0.01</v>
      </c>
    </row>
    <row r="85" spans="1:2">
      <c r="A85">
        <v>2030</v>
      </c>
      <c r="B85">
        <v>0.01</v>
      </c>
    </row>
    <row r="86" spans="1:2">
      <c r="A86">
        <v>2031</v>
      </c>
      <c r="B86">
        <v>0.01</v>
      </c>
    </row>
    <row r="87" spans="1:2">
      <c r="A87">
        <v>2032</v>
      </c>
      <c r="B87">
        <v>0.01</v>
      </c>
    </row>
    <row r="88" spans="1:2">
      <c r="A88">
        <v>2033</v>
      </c>
      <c r="B88">
        <v>0.01</v>
      </c>
    </row>
    <row r="89" spans="1:2">
      <c r="A89">
        <v>2034</v>
      </c>
      <c r="B89">
        <v>0.01</v>
      </c>
    </row>
    <row r="90" spans="1:2">
      <c r="A90">
        <v>2035</v>
      </c>
      <c r="B90">
        <v>0.01</v>
      </c>
    </row>
    <row r="91" spans="1:2">
      <c r="A91">
        <v>2036</v>
      </c>
      <c r="B91">
        <v>0.01</v>
      </c>
    </row>
    <row r="92" spans="1:2">
      <c r="A92">
        <v>2037</v>
      </c>
      <c r="B92">
        <v>0.01</v>
      </c>
    </row>
    <row r="93" spans="1:2">
      <c r="A93">
        <v>2038</v>
      </c>
      <c r="B93">
        <v>0.01</v>
      </c>
    </row>
    <row r="94" spans="1:2">
      <c r="A94">
        <v>2039</v>
      </c>
      <c r="B94">
        <v>0.01</v>
      </c>
    </row>
    <row r="95" spans="1:2">
      <c r="A95">
        <v>2040</v>
      </c>
      <c r="B95">
        <v>0.01</v>
      </c>
    </row>
    <row r="98" spans="1:1">
      <c r="A98" s="5" t="s">
        <v>566</v>
      </c>
    </row>
  </sheetData>
  <phoneticPr fontId="18" type="noConversion"/>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E9DA-A8BE-4444-82E6-2B51739EB09A}">
  <dimension ref="A1:BO114"/>
  <sheetViews>
    <sheetView topLeftCell="A70" zoomScale="70" zoomScaleNormal="70" workbookViewId="0">
      <selection activeCell="D106" sqref="D106"/>
    </sheetView>
  </sheetViews>
  <sheetFormatPr baseColWidth="10" defaultColWidth="8.83203125" defaultRowHeight="15"/>
  <cols>
    <col min="2" max="2" width="19" customWidth="1"/>
    <col min="10" max="10" width="11.5" bestFit="1" customWidth="1"/>
    <col min="12" max="12" width="11.1640625" customWidth="1"/>
    <col min="13" max="13" width="11.83203125" customWidth="1"/>
    <col min="14" max="14" width="12" customWidth="1"/>
    <col min="15" max="15" width="11.33203125" bestFit="1" customWidth="1"/>
    <col min="18" max="18" width="13.1640625" bestFit="1" customWidth="1"/>
    <col min="28" max="28" width="32.6640625" customWidth="1"/>
    <col min="29" max="29" width="21.83203125" customWidth="1"/>
    <col min="30" max="30" width="17.1640625" customWidth="1"/>
    <col min="31" max="31" width="16.83203125" customWidth="1"/>
    <col min="32" max="32" width="21.1640625" customWidth="1"/>
    <col min="33" max="33" width="14.5" customWidth="1"/>
    <col min="34" max="34" width="11.5" customWidth="1"/>
    <col min="40" max="40" width="18.33203125" customWidth="1"/>
    <col min="46" max="46" width="11.5" customWidth="1"/>
    <col min="47" max="47" width="10.5" customWidth="1"/>
    <col min="48" max="48" width="43.5" customWidth="1"/>
    <col min="49" max="49" width="11" customWidth="1"/>
    <col min="50" max="50" width="12" customWidth="1"/>
    <col min="52" max="52" width="12.83203125" customWidth="1"/>
    <col min="61" max="61" width="11.83203125" customWidth="1"/>
    <col min="62" max="62" width="12.5" customWidth="1"/>
    <col min="63" max="63" width="13.83203125" customWidth="1"/>
  </cols>
  <sheetData>
    <row r="1" spans="1:18">
      <c r="A1" s="5" t="s">
        <v>565</v>
      </c>
    </row>
    <row r="5" spans="1:18">
      <c r="A5" s="5" t="s">
        <v>607</v>
      </c>
    </row>
    <row r="6" spans="1:18">
      <c r="A6" t="s">
        <v>608</v>
      </c>
    </row>
    <row r="7" spans="1:18">
      <c r="N7" s="5" t="s">
        <v>278</v>
      </c>
    </row>
    <row r="8" spans="1:18">
      <c r="B8" s="10">
        <v>2022</v>
      </c>
      <c r="D8" t="s">
        <v>613</v>
      </c>
      <c r="N8" t="s">
        <v>279</v>
      </c>
    </row>
    <row r="9" spans="1:18">
      <c r="A9" t="s">
        <v>609</v>
      </c>
      <c r="B9" s="2">
        <v>0.79500000000000004</v>
      </c>
      <c r="D9" t="s">
        <v>609</v>
      </c>
      <c r="E9">
        <v>0.7</v>
      </c>
    </row>
    <row r="10" spans="1:18">
      <c r="A10" t="s">
        <v>610</v>
      </c>
      <c r="B10" s="2">
        <v>0.11</v>
      </c>
      <c r="D10" t="s">
        <v>610</v>
      </c>
      <c r="E10">
        <v>-8.6999999999999993</v>
      </c>
      <c r="O10">
        <v>2018</v>
      </c>
      <c r="P10">
        <v>2030</v>
      </c>
      <c r="Q10">
        <v>2040</v>
      </c>
      <c r="R10">
        <v>2050</v>
      </c>
    </row>
    <row r="11" spans="1:18">
      <c r="A11" t="s">
        <v>612</v>
      </c>
      <c r="B11" s="2">
        <v>0.01</v>
      </c>
      <c r="D11" t="s">
        <v>614</v>
      </c>
      <c r="E11" s="2">
        <v>-5</v>
      </c>
      <c r="N11" t="s">
        <v>280</v>
      </c>
      <c r="O11">
        <v>100</v>
      </c>
      <c r="P11">
        <f>(93+101)/2</f>
        <v>97</v>
      </c>
      <c r="Q11">
        <f>(78+99)/2</f>
        <v>88.5</v>
      </c>
      <c r="R11">
        <f>(66+96)/2</f>
        <v>81</v>
      </c>
    </row>
    <row r="12" spans="1:18">
      <c r="N12" t="s">
        <v>135</v>
      </c>
      <c r="O12">
        <v>7.0000000000000007E-2</v>
      </c>
      <c r="P12">
        <f>P11*$O12/$O11</f>
        <v>6.7900000000000016E-2</v>
      </c>
      <c r="Q12">
        <f>Q11*$O12/$O11</f>
        <v>6.1950000000000005E-2</v>
      </c>
      <c r="R12">
        <f>R11*$O12/$O11</f>
        <v>5.6700000000000007E-2</v>
      </c>
    </row>
    <row r="13" spans="1:18">
      <c r="A13" t="s">
        <v>611</v>
      </c>
      <c r="B13" s="2">
        <v>8.3299999999999999E-2</v>
      </c>
      <c r="D13" t="s">
        <v>611</v>
      </c>
      <c r="E13">
        <v>37.799999999999997</v>
      </c>
    </row>
    <row r="17" spans="1:60">
      <c r="AK17" t="s">
        <v>562</v>
      </c>
    </row>
    <row r="18" spans="1:60" ht="16" thickBot="1">
      <c r="A18" s="5" t="s">
        <v>617</v>
      </c>
      <c r="F18" s="5" t="s">
        <v>616</v>
      </c>
      <c r="N18" s="5" t="s">
        <v>564</v>
      </c>
      <c r="AB18" s="192"/>
      <c r="AK18" t="s">
        <v>561</v>
      </c>
    </row>
    <row r="19" spans="1:60" ht="16" thickBot="1">
      <c r="AB19" s="197"/>
      <c r="AC19" s="198"/>
      <c r="AD19" s="198"/>
      <c r="AE19" s="198"/>
      <c r="AF19" s="199"/>
      <c r="AK19" s="209" t="s">
        <v>557</v>
      </c>
      <c r="AV19" s="221"/>
    </row>
    <row r="20" spans="1:60" ht="16" thickBot="1">
      <c r="A20" t="s">
        <v>87</v>
      </c>
      <c r="B20" t="s">
        <v>264</v>
      </c>
      <c r="I20" t="s">
        <v>87</v>
      </c>
      <c r="J20" t="s">
        <v>264</v>
      </c>
      <c r="R20" s="211">
        <f>(V32-V21)/(ROW(V32)-ROW(V21))</f>
        <v>-1.9090909090909008E-4</v>
      </c>
      <c r="U20" s="5" t="s">
        <v>569</v>
      </c>
      <c r="V20" t="s">
        <v>264</v>
      </c>
      <c r="AB20" s="200"/>
      <c r="AC20" s="201"/>
      <c r="AD20" s="202"/>
      <c r="AE20" s="202"/>
      <c r="AF20" s="203"/>
      <c r="AK20" s="210" t="s">
        <v>558</v>
      </c>
      <c r="AO20" t="s">
        <v>563</v>
      </c>
      <c r="AV20" s="221"/>
    </row>
    <row r="21" spans="1:60" ht="16" thickBot="1">
      <c r="A21">
        <v>2019</v>
      </c>
      <c r="B21" s="220">
        <f>(AX73*$B$9+AY73*$B$10+AZ73*$B$11)/SUM($B$9:$B$11)</f>
        <v>0.1033127296383034</v>
      </c>
      <c r="C21" s="65"/>
      <c r="I21">
        <v>2019</v>
      </c>
      <c r="J21" s="231">
        <v>7.4999999999999997E-2</v>
      </c>
      <c r="R21" t="s">
        <v>586</v>
      </c>
      <c r="U21">
        <v>2019</v>
      </c>
      <c r="V21" s="220">
        <v>7.0000000000000007E-2</v>
      </c>
      <c r="AB21" s="204"/>
      <c r="AC21" s="205"/>
      <c r="AD21" s="206"/>
      <c r="AE21" s="206"/>
      <c r="AF21" s="207"/>
      <c r="AK21" s="210" t="s">
        <v>559</v>
      </c>
      <c r="AV21" s="221"/>
    </row>
    <row r="22" spans="1:60" ht="16" thickBot="1">
      <c r="A22">
        <v>2020</v>
      </c>
      <c r="B22" s="220">
        <f t="shared" ref="B22:B42" si="0">(AX74*$B$9+AY74*$B$10+AZ74*$B$11)/SUM($B$9:$B$11)</f>
        <v>9.8265123601353088E-2</v>
      </c>
      <c r="C22" s="65"/>
      <c r="I22">
        <v>2020</v>
      </c>
      <c r="J22" s="234">
        <v>8.0600000000000005E-2</v>
      </c>
      <c r="U22">
        <v>2020</v>
      </c>
      <c r="V22" s="220">
        <f t="shared" ref="V22:V31" si="1">V21+$R$20</f>
        <v>6.9809090909090918E-2</v>
      </c>
      <c r="AB22" s="200"/>
      <c r="AC22" s="201"/>
      <c r="AD22" s="202"/>
      <c r="AE22" s="202"/>
      <c r="AF22" s="203"/>
      <c r="AK22" s="210" t="s">
        <v>560</v>
      </c>
      <c r="AV22" s="221"/>
    </row>
    <row r="23" spans="1:60">
      <c r="A23">
        <v>2021</v>
      </c>
      <c r="B23" s="220">
        <f t="shared" si="0"/>
        <v>0.11287252233498135</v>
      </c>
      <c r="C23" s="65"/>
      <c r="I23">
        <v>2021</v>
      </c>
      <c r="J23" s="234">
        <v>8.6200000000000013E-2</v>
      </c>
      <c r="U23">
        <v>2021</v>
      </c>
      <c r="V23" s="220">
        <f t="shared" si="1"/>
        <v>6.9618181818181829E-2</v>
      </c>
      <c r="AV23" s="221"/>
    </row>
    <row r="24" spans="1:60">
      <c r="A24">
        <v>2022</v>
      </c>
      <c r="B24" s="220">
        <f t="shared" si="0"/>
        <v>0.13357031485818374</v>
      </c>
      <c r="C24" s="65"/>
      <c r="I24">
        <v>2022</v>
      </c>
      <c r="J24" s="234">
        <v>9.180000000000002E-2</v>
      </c>
      <c r="U24">
        <v>2022</v>
      </c>
      <c r="V24" s="220">
        <f t="shared" si="1"/>
        <v>6.942727272727274E-2</v>
      </c>
      <c r="AB24" t="s">
        <v>507</v>
      </c>
      <c r="AD24">
        <v>2022</v>
      </c>
    </row>
    <row r="25" spans="1:60">
      <c r="A25">
        <v>2023</v>
      </c>
      <c r="B25" s="220">
        <f t="shared" si="0"/>
        <v>0.13231809315638829</v>
      </c>
      <c r="C25" s="65"/>
      <c r="I25">
        <v>2023</v>
      </c>
      <c r="J25" s="234">
        <v>9.1168875000000024E-2</v>
      </c>
      <c r="U25">
        <v>2023</v>
      </c>
      <c r="V25" s="220">
        <f t="shared" si="1"/>
        <v>6.9236363636363651E-2</v>
      </c>
      <c r="AV25" s="221" t="s">
        <v>576</v>
      </c>
      <c r="AW25" t="s">
        <v>577</v>
      </c>
    </row>
    <row r="26" spans="1:60">
      <c r="A26">
        <v>2024</v>
      </c>
      <c r="B26" s="220">
        <f t="shared" si="0"/>
        <v>0.13106587145459278</v>
      </c>
      <c r="C26" s="65"/>
      <c r="I26">
        <v>2024</v>
      </c>
      <c r="J26" s="234">
        <v>9.0537750000000028E-2</v>
      </c>
      <c r="U26">
        <v>2024</v>
      </c>
      <c r="V26" s="220">
        <f t="shared" si="1"/>
        <v>6.9045454545454563E-2</v>
      </c>
    </row>
    <row r="27" spans="1:60" ht="16" thickBot="1">
      <c r="A27">
        <v>2025</v>
      </c>
      <c r="B27" s="220">
        <f t="shared" si="0"/>
        <v>0.12981364975279733</v>
      </c>
      <c r="C27" s="65"/>
      <c r="I27">
        <v>2025</v>
      </c>
      <c r="J27" s="234">
        <v>8.9906625000000032E-2</v>
      </c>
      <c r="U27">
        <v>2025</v>
      </c>
      <c r="V27" s="220">
        <f t="shared" si="1"/>
        <v>6.8854545454545474E-2</v>
      </c>
      <c r="AB27" s="208" t="s">
        <v>556</v>
      </c>
      <c r="AF27" t="s">
        <v>509</v>
      </c>
      <c r="AY27" t="s">
        <v>578</v>
      </c>
      <c r="BB27" t="s">
        <v>579</v>
      </c>
      <c r="BF27" t="s">
        <v>580</v>
      </c>
    </row>
    <row r="28" spans="1:60" ht="16" thickBot="1">
      <c r="A28">
        <v>2026</v>
      </c>
      <c r="B28" s="220">
        <f t="shared" si="0"/>
        <v>0.12856142805100187</v>
      </c>
      <c r="C28" s="65"/>
      <c r="I28">
        <v>2026</v>
      </c>
      <c r="J28" s="234">
        <v>8.9275500000000035E-2</v>
      </c>
      <c r="U28">
        <v>2026</v>
      </c>
      <c r="V28" s="220">
        <f t="shared" si="1"/>
        <v>6.8663636363636385E-2</v>
      </c>
      <c r="AB28" s="193" t="s">
        <v>510</v>
      </c>
      <c r="AC28" s="193" t="s">
        <v>511</v>
      </c>
      <c r="AD28" s="193" t="s">
        <v>512</v>
      </c>
      <c r="AE28" s="193" t="s">
        <v>513</v>
      </c>
      <c r="AF28" t="s">
        <v>508</v>
      </c>
      <c r="AV28" s="222" t="s">
        <v>590</v>
      </c>
      <c r="AW28">
        <v>2010</v>
      </c>
      <c r="AX28" s="161">
        <v>2018</v>
      </c>
      <c r="AY28">
        <v>2030</v>
      </c>
      <c r="AZ28">
        <v>2040</v>
      </c>
      <c r="BA28" s="161">
        <v>2050</v>
      </c>
      <c r="BB28">
        <v>2030</v>
      </c>
      <c r="BC28">
        <v>2040</v>
      </c>
      <c r="BD28">
        <v>2050</v>
      </c>
      <c r="BF28">
        <v>2030</v>
      </c>
      <c r="BG28">
        <v>2040</v>
      </c>
      <c r="BH28">
        <v>2050</v>
      </c>
    </row>
    <row r="29" spans="1:60" ht="16" thickBot="1">
      <c r="A29">
        <v>2027</v>
      </c>
      <c r="B29" s="220">
        <f t="shared" si="0"/>
        <v>0.12730920634920639</v>
      </c>
      <c r="C29" s="65"/>
      <c r="I29">
        <v>2027</v>
      </c>
      <c r="J29" s="234">
        <v>8.8644375000000039E-2</v>
      </c>
      <c r="U29">
        <v>2027</v>
      </c>
      <c r="V29" s="220">
        <f t="shared" si="1"/>
        <v>6.8472727272727296E-2</v>
      </c>
      <c r="AB29" s="194" t="s">
        <v>514</v>
      </c>
      <c r="AC29" s="195">
        <v>1496</v>
      </c>
      <c r="AD29" s="195">
        <v>1268</v>
      </c>
      <c r="AE29" s="196">
        <v>649</v>
      </c>
      <c r="AG29">
        <f>AC29/15</f>
        <v>99.733333333333334</v>
      </c>
      <c r="AW29">
        <v>109</v>
      </c>
      <c r="AX29">
        <v>100</v>
      </c>
      <c r="AY29">
        <v>81</v>
      </c>
      <c r="AZ29">
        <v>73</v>
      </c>
      <c r="BA29" s="136">
        <v>65</v>
      </c>
      <c r="BB29">
        <v>104</v>
      </c>
      <c r="BC29">
        <v>98</v>
      </c>
      <c r="BD29" s="136">
        <v>92</v>
      </c>
      <c r="BF29" s="163">
        <f>AVERAGE(AY29,BB29)</f>
        <v>92.5</v>
      </c>
      <c r="BG29" s="163">
        <f t="shared" ref="BG29:BH29" si="2">AVERAGE(AZ29,BC29)</f>
        <v>85.5</v>
      </c>
      <c r="BH29" s="163">
        <f t="shared" si="2"/>
        <v>78.5</v>
      </c>
    </row>
    <row r="30" spans="1:60" ht="16" thickBot="1">
      <c r="A30">
        <v>2028</v>
      </c>
      <c r="B30" s="220">
        <f t="shared" si="0"/>
        <v>0.12605698464741094</v>
      </c>
      <c r="C30" s="65"/>
      <c r="I30">
        <v>2028</v>
      </c>
      <c r="J30" s="234">
        <v>8.8013250000000043E-2</v>
      </c>
      <c r="R30" t="s">
        <v>585</v>
      </c>
      <c r="U30">
        <v>2028</v>
      </c>
      <c r="V30" s="220">
        <f t="shared" si="1"/>
        <v>6.8281818181818207E-2</v>
      </c>
      <c r="AB30" s="194" t="s">
        <v>515</v>
      </c>
      <c r="AC30" s="195">
        <v>1554</v>
      </c>
      <c r="AD30" s="195">
        <v>1323</v>
      </c>
      <c r="AE30" s="196">
        <v>646</v>
      </c>
    </row>
    <row r="31" spans="1:60" ht="16" thickBot="1">
      <c r="A31">
        <v>2029</v>
      </c>
      <c r="B31" s="220">
        <f t="shared" si="0"/>
        <v>0.12480476294561547</v>
      </c>
      <c r="C31" s="65"/>
      <c r="I31">
        <v>2029</v>
      </c>
      <c r="J31" s="234">
        <v>8.7382125000000047E-2</v>
      </c>
      <c r="R31" s="211">
        <f>(V42-V32)/(ROW(V42)-ROW(V32))</f>
        <v>-5.9500000000000113E-4</v>
      </c>
      <c r="U31">
        <v>2029</v>
      </c>
      <c r="V31" s="220">
        <f t="shared" si="1"/>
        <v>6.8090909090909119E-2</v>
      </c>
      <c r="AB31" s="194" t="s">
        <v>516</v>
      </c>
      <c r="AC31" s="195">
        <v>1598</v>
      </c>
      <c r="AD31" s="195">
        <v>1361</v>
      </c>
      <c r="AE31" s="196">
        <v>656</v>
      </c>
      <c r="AV31" t="s">
        <v>581</v>
      </c>
      <c r="AW31">
        <v>2010</v>
      </c>
      <c r="AX31">
        <v>109</v>
      </c>
    </row>
    <row r="32" spans="1:60" ht="16" thickBot="1">
      <c r="A32">
        <v>2030</v>
      </c>
      <c r="B32" s="220">
        <f t="shared" si="0"/>
        <v>0.12355254124381998</v>
      </c>
      <c r="C32" s="65"/>
      <c r="I32">
        <v>2030</v>
      </c>
      <c r="J32" s="234">
        <v>8.6751000000000023E-2</v>
      </c>
      <c r="U32">
        <v>2030</v>
      </c>
      <c r="V32" s="220">
        <f>P12</f>
        <v>6.7900000000000016E-2</v>
      </c>
      <c r="AB32" s="194" t="s">
        <v>517</v>
      </c>
      <c r="AC32" s="195">
        <v>1665</v>
      </c>
      <c r="AD32" s="195">
        <v>1358</v>
      </c>
      <c r="AE32" s="196">
        <v>663</v>
      </c>
      <c r="AW32">
        <v>2018</v>
      </c>
      <c r="AX32">
        <v>100</v>
      </c>
    </row>
    <row r="33" spans="1:60" ht="16" thickBot="1">
      <c r="A33">
        <v>2031</v>
      </c>
      <c r="B33" s="220">
        <f t="shared" si="0"/>
        <v>0.12261754903981269</v>
      </c>
      <c r="C33" s="65"/>
      <c r="I33">
        <v>2031</v>
      </c>
      <c r="J33" s="234">
        <v>8.5511700000000024E-2</v>
      </c>
      <c r="U33">
        <v>2031</v>
      </c>
      <c r="V33" s="220">
        <f t="shared" ref="V33:V41" si="3">V32+$R$31</f>
        <v>6.7305000000000018E-2</v>
      </c>
      <c r="AB33" s="194" t="s">
        <v>518</v>
      </c>
      <c r="AC33" s="195">
        <v>1724</v>
      </c>
      <c r="AD33" s="195">
        <v>1393</v>
      </c>
      <c r="AE33" s="196">
        <v>673</v>
      </c>
      <c r="AW33">
        <v>2030</v>
      </c>
      <c r="AX33">
        <f>BF29</f>
        <v>92.5</v>
      </c>
    </row>
    <row r="34" spans="1:60" ht="16" thickBot="1">
      <c r="A34">
        <v>2032</v>
      </c>
      <c r="B34" s="220">
        <f t="shared" si="0"/>
        <v>0.12168255683580539</v>
      </c>
      <c r="C34" s="65"/>
      <c r="I34">
        <v>2032</v>
      </c>
      <c r="J34" s="234">
        <v>8.4272400000000025E-2</v>
      </c>
      <c r="U34">
        <v>2032</v>
      </c>
      <c r="V34" s="220">
        <f t="shared" si="3"/>
        <v>6.6710000000000019E-2</v>
      </c>
      <c r="AB34" s="194" t="s">
        <v>519</v>
      </c>
      <c r="AC34" s="195">
        <v>1716</v>
      </c>
      <c r="AD34" s="195">
        <v>1374</v>
      </c>
      <c r="AE34" s="196">
        <v>659</v>
      </c>
      <c r="AW34">
        <v>2040</v>
      </c>
      <c r="AX34">
        <f>BG29</f>
        <v>85.5</v>
      </c>
    </row>
    <row r="35" spans="1:60" ht="16" thickBot="1">
      <c r="A35">
        <v>2033</v>
      </c>
      <c r="B35" s="220">
        <f t="shared" si="0"/>
        <v>0.1207475646317981</v>
      </c>
      <c r="C35" s="65"/>
      <c r="I35">
        <v>2033</v>
      </c>
      <c r="J35" s="234">
        <v>8.3033100000000026E-2</v>
      </c>
      <c r="U35">
        <v>2033</v>
      </c>
      <c r="V35" s="220">
        <f t="shared" si="3"/>
        <v>6.6115000000000021E-2</v>
      </c>
      <c r="AB35" s="194" t="s">
        <v>520</v>
      </c>
      <c r="AC35" s="195">
        <v>1658</v>
      </c>
      <c r="AD35" s="195">
        <v>1345</v>
      </c>
      <c r="AE35" s="196">
        <v>625</v>
      </c>
    </row>
    <row r="36" spans="1:60" ht="16" thickBot="1">
      <c r="A36">
        <v>2034</v>
      </c>
      <c r="B36" s="220">
        <f t="shared" si="0"/>
        <v>0.11981257242779084</v>
      </c>
      <c r="C36" s="65"/>
      <c r="I36">
        <v>2034</v>
      </c>
      <c r="J36" s="234">
        <v>8.1793800000000028E-2</v>
      </c>
      <c r="U36">
        <v>2034</v>
      </c>
      <c r="V36" s="220">
        <f t="shared" si="3"/>
        <v>6.5520000000000023E-2</v>
      </c>
      <c r="AB36" s="194" t="s">
        <v>521</v>
      </c>
      <c r="AC36" s="195">
        <v>1674</v>
      </c>
      <c r="AD36" s="195">
        <v>1347</v>
      </c>
      <c r="AE36" s="196">
        <v>615</v>
      </c>
    </row>
    <row r="37" spans="1:60" ht="16" thickBot="1">
      <c r="A37">
        <v>2035</v>
      </c>
      <c r="B37" s="220">
        <f t="shared" si="0"/>
        <v>0.11887758022378354</v>
      </c>
      <c r="C37" s="65"/>
      <c r="I37">
        <v>2035</v>
      </c>
      <c r="J37" s="234">
        <v>8.0554500000000029E-2</v>
      </c>
      <c r="U37">
        <v>2035</v>
      </c>
      <c r="V37" s="220">
        <f t="shared" si="3"/>
        <v>6.4925000000000024E-2</v>
      </c>
      <c r="AB37" s="194" t="s">
        <v>522</v>
      </c>
      <c r="AC37" s="195">
        <v>1631</v>
      </c>
      <c r="AD37" s="195">
        <v>1326</v>
      </c>
      <c r="AE37" s="196">
        <v>583</v>
      </c>
    </row>
    <row r="38" spans="1:60" ht="16" thickBot="1">
      <c r="A38">
        <v>2036</v>
      </c>
      <c r="B38" s="220">
        <f t="shared" si="0"/>
        <v>0.11794258801977625</v>
      </c>
      <c r="C38" s="65"/>
      <c r="I38">
        <v>2036</v>
      </c>
      <c r="J38" s="234">
        <v>7.931520000000003E-2</v>
      </c>
      <c r="U38">
        <v>2036</v>
      </c>
      <c r="V38" s="220">
        <f t="shared" si="3"/>
        <v>6.4330000000000026E-2</v>
      </c>
      <c r="AB38" s="194" t="s">
        <v>523</v>
      </c>
      <c r="AC38" s="195">
        <v>1655</v>
      </c>
      <c r="AD38" s="195">
        <v>1382</v>
      </c>
      <c r="AE38" s="196">
        <v>595</v>
      </c>
      <c r="AV38" s="5" t="s">
        <v>591</v>
      </c>
    </row>
    <row r="39" spans="1:60" ht="16" thickBot="1">
      <c r="A39">
        <v>2037</v>
      </c>
      <c r="B39" s="220">
        <f t="shared" si="0"/>
        <v>0.11700759581576897</v>
      </c>
      <c r="C39" s="65"/>
      <c r="I39">
        <v>2037</v>
      </c>
      <c r="J39" s="234">
        <v>7.8075900000000031E-2</v>
      </c>
      <c r="U39">
        <v>2037</v>
      </c>
      <c r="V39" s="220">
        <f t="shared" si="3"/>
        <v>6.3735000000000028E-2</v>
      </c>
      <c r="AB39" s="194" t="s">
        <v>524</v>
      </c>
      <c r="AC39" s="195">
        <v>1652</v>
      </c>
      <c r="AD39" s="195">
        <v>1370</v>
      </c>
      <c r="AE39" s="196">
        <v>634</v>
      </c>
      <c r="AV39" t="s">
        <v>592</v>
      </c>
    </row>
    <row r="40" spans="1:60" ht="16" thickBot="1">
      <c r="A40">
        <v>2038</v>
      </c>
      <c r="B40" s="220">
        <f t="shared" si="0"/>
        <v>0.11607260361176168</v>
      </c>
      <c r="C40" s="65"/>
      <c r="I40">
        <v>2038</v>
      </c>
      <c r="J40" s="234">
        <v>7.6836600000000033E-2</v>
      </c>
      <c r="U40">
        <v>2038</v>
      </c>
      <c r="V40" s="220">
        <f t="shared" si="3"/>
        <v>6.3140000000000029E-2</v>
      </c>
      <c r="AB40" s="194" t="s">
        <v>525</v>
      </c>
      <c r="AC40" s="195">
        <v>1661</v>
      </c>
      <c r="AD40" s="195">
        <v>1380</v>
      </c>
      <c r="AE40" s="196">
        <v>656</v>
      </c>
      <c r="AY40" t="s">
        <v>578</v>
      </c>
      <c r="BB40" t="s">
        <v>579</v>
      </c>
      <c r="BF40" t="s">
        <v>580</v>
      </c>
    </row>
    <row r="41" spans="1:60" ht="16" thickBot="1">
      <c r="A41">
        <v>2039</v>
      </c>
      <c r="B41" s="220">
        <f t="shared" si="0"/>
        <v>0.1151376114077544</v>
      </c>
      <c r="C41" s="65"/>
      <c r="I41">
        <v>2039</v>
      </c>
      <c r="J41" s="234">
        <v>7.5597300000000034E-2</v>
      </c>
      <c r="U41">
        <v>2039</v>
      </c>
      <c r="V41" s="220">
        <f t="shared" si="3"/>
        <v>6.2545000000000031E-2</v>
      </c>
      <c r="AB41" s="194" t="s">
        <v>526</v>
      </c>
      <c r="AC41" s="195">
        <v>1689</v>
      </c>
      <c r="AD41" s="195">
        <v>1422</v>
      </c>
      <c r="AE41" s="196">
        <v>673</v>
      </c>
      <c r="AV41" s="221" t="s">
        <v>602</v>
      </c>
      <c r="AW41">
        <v>2010</v>
      </c>
      <c r="AX41" s="161">
        <v>2018</v>
      </c>
      <c r="AY41">
        <v>2030</v>
      </c>
      <c r="AZ41">
        <v>2040</v>
      </c>
      <c r="BA41" s="161">
        <v>2050</v>
      </c>
      <c r="BB41">
        <v>2030</v>
      </c>
      <c r="BC41">
        <v>2040</v>
      </c>
      <c r="BD41">
        <v>2050</v>
      </c>
      <c r="BF41">
        <v>2030</v>
      </c>
      <c r="BG41">
        <v>2040</v>
      </c>
      <c r="BH41">
        <v>2050</v>
      </c>
    </row>
    <row r="42" spans="1:60" ht="16" thickBot="1">
      <c r="A42">
        <v>2040</v>
      </c>
      <c r="B42" s="220">
        <f t="shared" si="0"/>
        <v>0.11420261920374709</v>
      </c>
      <c r="C42" s="65"/>
      <c r="I42">
        <v>2040</v>
      </c>
      <c r="J42" s="234">
        <v>7.4358000000000007E-2</v>
      </c>
      <c r="U42">
        <v>2040</v>
      </c>
      <c r="V42" s="220">
        <f>Q12</f>
        <v>6.1950000000000005E-2</v>
      </c>
      <c r="AB42" s="194" t="s">
        <v>527</v>
      </c>
      <c r="AC42" s="195">
        <v>1665</v>
      </c>
      <c r="AD42" s="195">
        <v>1366</v>
      </c>
      <c r="AE42" s="196">
        <v>709</v>
      </c>
      <c r="AW42">
        <v>109</v>
      </c>
      <c r="AX42">
        <v>100</v>
      </c>
      <c r="AY42">
        <v>83</v>
      </c>
      <c r="AZ42">
        <v>68</v>
      </c>
      <c r="BA42" s="136">
        <v>59</v>
      </c>
      <c r="BB42">
        <v>106</v>
      </c>
      <c r="BC42">
        <v>94</v>
      </c>
      <c r="BD42" s="136">
        <v>87</v>
      </c>
      <c r="BF42" s="163">
        <f>AVERAGE(AY42,BB42)</f>
        <v>94.5</v>
      </c>
      <c r="BG42" s="163">
        <f t="shared" ref="BG42" si="4">AVERAGE(AZ42,BC42)</f>
        <v>81</v>
      </c>
      <c r="BH42" s="163">
        <f t="shared" ref="BH42" si="5">AVERAGE(BA42,BD42)</f>
        <v>73</v>
      </c>
    </row>
    <row r="43" spans="1:60" ht="16" thickBot="1">
      <c r="C43" s="65"/>
      <c r="Q43" t="s">
        <v>568</v>
      </c>
      <c r="AB43" s="194" t="s">
        <v>528</v>
      </c>
      <c r="AC43" s="195">
        <v>1648</v>
      </c>
      <c r="AD43" s="195">
        <v>1337</v>
      </c>
      <c r="AE43" s="196">
        <v>646</v>
      </c>
    </row>
    <row r="44" spans="1:60" ht="16" thickBot="1">
      <c r="D44" t="s">
        <v>567</v>
      </c>
      <c r="AB44" s="194" t="s">
        <v>529</v>
      </c>
      <c r="AC44" s="195">
        <v>1492</v>
      </c>
      <c r="AD44" s="195">
        <v>1236</v>
      </c>
      <c r="AE44" s="196">
        <v>567</v>
      </c>
      <c r="AV44" t="s">
        <v>581</v>
      </c>
      <c r="AW44">
        <v>2010</v>
      </c>
      <c r="AX44">
        <v>109</v>
      </c>
    </row>
    <row r="45" spans="1:60" ht="16" thickBot="1">
      <c r="AB45" s="194" t="s">
        <v>530</v>
      </c>
      <c r="AC45" s="195">
        <v>1457</v>
      </c>
      <c r="AD45" s="195">
        <v>1198</v>
      </c>
      <c r="AE45" s="196">
        <v>532</v>
      </c>
      <c r="AW45">
        <v>2018</v>
      </c>
      <c r="AX45">
        <v>100</v>
      </c>
    </row>
    <row r="46" spans="1:60" ht="16" thickBot="1">
      <c r="AB46" s="194" t="s">
        <v>531</v>
      </c>
      <c r="AC46" s="195">
        <v>1510</v>
      </c>
      <c r="AD46" s="195">
        <v>1193</v>
      </c>
      <c r="AE46" s="196">
        <v>552</v>
      </c>
      <c r="AW46">
        <v>2030</v>
      </c>
      <c r="AX46">
        <f>BF42</f>
        <v>94.5</v>
      </c>
    </row>
    <row r="47" spans="1:60" ht="16" thickBot="1">
      <c r="AB47" s="194" t="s">
        <v>532</v>
      </c>
      <c r="AC47" s="195">
        <v>1560</v>
      </c>
      <c r="AD47" s="195">
        <v>1218</v>
      </c>
      <c r="AE47" s="196">
        <v>586</v>
      </c>
      <c r="AW47">
        <v>2040</v>
      </c>
      <c r="AX47">
        <f>BG42</f>
        <v>81</v>
      </c>
    </row>
    <row r="48" spans="1:60" ht="16" thickBot="1">
      <c r="AB48" s="194" t="s">
        <v>533</v>
      </c>
      <c r="AC48" s="195">
        <v>1549</v>
      </c>
      <c r="AD48" s="195">
        <v>1207</v>
      </c>
      <c r="AE48" s="196">
        <v>594</v>
      </c>
    </row>
    <row r="49" spans="3:57" ht="16" thickBot="1">
      <c r="AB49" s="194" t="s">
        <v>534</v>
      </c>
      <c r="AC49" s="195">
        <v>1572</v>
      </c>
      <c r="AD49" s="195">
        <v>1200</v>
      </c>
      <c r="AE49" s="196">
        <v>583</v>
      </c>
    </row>
    <row r="50" spans="3:57" ht="16" thickBot="1">
      <c r="AB50" s="194" t="s">
        <v>535</v>
      </c>
      <c r="AC50" s="195">
        <v>1566</v>
      </c>
      <c r="AD50" s="195">
        <v>1166</v>
      </c>
      <c r="AE50" s="196">
        <v>598</v>
      </c>
    </row>
    <row r="51" spans="3:57" ht="16" thickBot="1">
      <c r="AB51" s="194" t="s">
        <v>536</v>
      </c>
      <c r="AC51" s="195">
        <v>1519</v>
      </c>
      <c r="AD51" s="195">
        <v>1156</v>
      </c>
      <c r="AE51" s="196">
        <v>621</v>
      </c>
    </row>
    <row r="52" spans="3:57" ht="16" thickBot="1">
      <c r="AB52" s="194" t="s">
        <v>537</v>
      </c>
      <c r="AC52" s="195">
        <v>1546</v>
      </c>
      <c r="AD52" s="195">
        <v>1223</v>
      </c>
      <c r="AE52" s="196">
        <v>613</v>
      </c>
    </row>
    <row r="53" spans="3:57" ht="16" thickBot="1">
      <c r="AB53" s="194" t="s">
        <v>538</v>
      </c>
      <c r="AC53" s="195">
        <v>1573</v>
      </c>
      <c r="AD53" s="195">
        <v>1252</v>
      </c>
      <c r="AE53" s="196">
        <v>649</v>
      </c>
    </row>
    <row r="54" spans="3:57" ht="16" thickBot="1">
      <c r="AB54" s="194" t="s">
        <v>539</v>
      </c>
      <c r="AC54" s="195">
        <v>1635</v>
      </c>
      <c r="AD54" s="195">
        <v>1310</v>
      </c>
      <c r="AE54" s="196">
        <v>674</v>
      </c>
      <c r="AW54" t="s">
        <v>593</v>
      </c>
      <c r="AX54" t="s">
        <v>594</v>
      </c>
      <c r="AY54" t="s">
        <v>595</v>
      </c>
      <c r="AZ54" t="s">
        <v>596</v>
      </c>
      <c r="BA54" t="s">
        <v>597</v>
      </c>
      <c r="BE54" t="s">
        <v>598</v>
      </c>
    </row>
    <row r="55" spans="3:57" ht="16" thickBot="1">
      <c r="AB55" s="194" t="s">
        <v>540</v>
      </c>
      <c r="AC55" s="195">
        <v>1709</v>
      </c>
      <c r="AD55" s="195">
        <v>1392</v>
      </c>
      <c r="AE55" s="196">
        <v>738</v>
      </c>
      <c r="AV55">
        <v>2022</v>
      </c>
      <c r="AW55">
        <v>7.5999999999999998E-2</v>
      </c>
      <c r="AX55">
        <v>8.5000000000000006E-2</v>
      </c>
      <c r="AY55">
        <v>0.124</v>
      </c>
      <c r="AZ55">
        <v>8.5000000000000006E-2</v>
      </c>
      <c r="BA55">
        <v>8.8999999999999996E-2</v>
      </c>
      <c r="BE55">
        <f>AVERAGE(AW55:BA55)</f>
        <v>9.180000000000002E-2</v>
      </c>
    </row>
    <row r="56" spans="3:57" ht="16" thickBot="1">
      <c r="AB56" s="194" t="s">
        <v>541</v>
      </c>
      <c r="AC56" s="195">
        <v>1736</v>
      </c>
      <c r="AD56" s="195">
        <v>1385</v>
      </c>
      <c r="AE56" s="196">
        <v>737</v>
      </c>
    </row>
    <row r="57" spans="3:57" ht="16" thickBot="1">
      <c r="AB57" s="194" t="s">
        <v>542</v>
      </c>
      <c r="AC57" s="195">
        <v>1768</v>
      </c>
      <c r="AD57" s="195">
        <v>1404</v>
      </c>
      <c r="AE57" s="196">
        <v>742</v>
      </c>
    </row>
    <row r="58" spans="3:57" ht="16" thickBot="1">
      <c r="AB58" s="194" t="s">
        <v>543</v>
      </c>
      <c r="AC58" s="195">
        <v>1768</v>
      </c>
      <c r="AD58" s="195">
        <v>1405</v>
      </c>
      <c r="AE58" s="196">
        <v>737</v>
      </c>
    </row>
    <row r="59" spans="3:57" ht="16" thickBot="1">
      <c r="AB59" s="194" t="s">
        <v>544</v>
      </c>
      <c r="AC59" s="195">
        <v>1817</v>
      </c>
      <c r="AD59" s="195">
        <v>1460</v>
      </c>
      <c r="AE59" s="196">
        <v>737</v>
      </c>
    </row>
    <row r="60" spans="3:57" ht="16" thickBot="1">
      <c r="AB60" s="194" t="s">
        <v>545</v>
      </c>
      <c r="AC60" s="195">
        <v>1838</v>
      </c>
      <c r="AD60" s="195">
        <v>1463</v>
      </c>
      <c r="AE60" s="196">
        <v>751</v>
      </c>
    </row>
    <row r="61" spans="3:57" ht="16" thickBot="1">
      <c r="AB61" s="194" t="s">
        <v>546</v>
      </c>
      <c r="AC61" s="195">
        <v>1841</v>
      </c>
      <c r="AD61" s="195">
        <v>1466</v>
      </c>
      <c r="AE61" s="196">
        <v>764</v>
      </c>
    </row>
    <row r="62" spans="3:57" ht="16" thickBot="1">
      <c r="AB62" s="194" t="s">
        <v>547</v>
      </c>
      <c r="AC62" s="195">
        <v>1874</v>
      </c>
      <c r="AD62" s="195">
        <v>1539</v>
      </c>
      <c r="AE62" s="196">
        <v>824</v>
      </c>
    </row>
    <row r="63" spans="3:57" ht="16" thickBot="1">
      <c r="AB63" s="194" t="s">
        <v>548</v>
      </c>
      <c r="AC63" s="195">
        <v>1978</v>
      </c>
      <c r="AD63" s="195">
        <v>1640</v>
      </c>
      <c r="AE63" s="196">
        <v>935</v>
      </c>
    </row>
    <row r="64" spans="3:57" ht="16" thickBot="1">
      <c r="C64" s="5" t="s">
        <v>619</v>
      </c>
      <c r="AB64" s="194" t="s">
        <v>549</v>
      </c>
      <c r="AC64" s="195">
        <v>1994</v>
      </c>
      <c r="AD64" s="195">
        <v>1622</v>
      </c>
      <c r="AE64" s="196">
        <v>936</v>
      </c>
    </row>
    <row r="65" spans="3:67" ht="16" thickBot="1">
      <c r="C65" t="s">
        <v>620</v>
      </c>
      <c r="AB65" s="194" t="s">
        <v>550</v>
      </c>
      <c r="AC65" s="195">
        <v>1974</v>
      </c>
      <c r="AD65" s="195">
        <v>1613</v>
      </c>
      <c r="AE65" s="196">
        <v>912</v>
      </c>
    </row>
    <row r="66" spans="3:67" ht="16" thickBot="1">
      <c r="D66" s="10">
        <v>2022</v>
      </c>
      <c r="F66" t="s">
        <v>613</v>
      </c>
      <c r="AB66" s="194" t="s">
        <v>551</v>
      </c>
      <c r="AC66" s="195">
        <v>2015</v>
      </c>
      <c r="AD66" s="195">
        <v>1717</v>
      </c>
      <c r="AE66" s="196">
        <v>922</v>
      </c>
    </row>
    <row r="67" spans="3:67" ht="16" thickBot="1">
      <c r="C67" t="s">
        <v>609</v>
      </c>
      <c r="D67" s="2">
        <v>0.79500000000000004</v>
      </c>
      <c r="F67" t="s">
        <v>609</v>
      </c>
      <c r="G67">
        <v>0.7</v>
      </c>
      <c r="AB67" s="194" t="s">
        <v>552</v>
      </c>
      <c r="AC67" s="195">
        <v>2109</v>
      </c>
      <c r="AD67" s="195">
        <v>1798</v>
      </c>
      <c r="AE67" s="196">
        <v>938</v>
      </c>
    </row>
    <row r="68" spans="3:67" ht="16" thickBot="1">
      <c r="C68" t="s">
        <v>610</v>
      </c>
      <c r="D68" s="2">
        <v>0.11</v>
      </c>
      <c r="F68" t="s">
        <v>610</v>
      </c>
      <c r="G68">
        <v>-8.6999999999999993</v>
      </c>
      <c r="AB68" s="194" t="s">
        <v>553</v>
      </c>
      <c r="AC68" s="195">
        <v>2119</v>
      </c>
      <c r="AD68" s="195">
        <v>2041</v>
      </c>
      <c r="AE68" s="195">
        <v>1126</v>
      </c>
      <c r="AW68" t="s">
        <v>584</v>
      </c>
    </row>
    <row r="69" spans="3:67" ht="16" thickBot="1">
      <c r="C69" t="s">
        <v>612</v>
      </c>
      <c r="D69" s="2">
        <v>0.01</v>
      </c>
      <c r="F69" t="s">
        <v>614</v>
      </c>
      <c r="G69" s="2">
        <v>-5</v>
      </c>
      <c r="AB69" s="194" t="s">
        <v>554</v>
      </c>
      <c r="AC69" s="195">
        <v>2110</v>
      </c>
      <c r="AD69" s="195">
        <v>2018</v>
      </c>
      <c r="AE69" s="195">
        <v>1095</v>
      </c>
      <c r="AF69" s="5" t="s">
        <v>573</v>
      </c>
      <c r="AG69" s="213">
        <v>5.2083333333333336E-2</v>
      </c>
      <c r="AH69" s="213">
        <v>5.6250000000000001E-2</v>
      </c>
      <c r="AI69" s="214">
        <v>8.3912037037037028E-4</v>
      </c>
      <c r="AN69" s="35" t="s">
        <v>582</v>
      </c>
      <c r="AO69" s="35"/>
      <c r="AP69" s="35"/>
      <c r="AW69" s="35" t="s">
        <v>583</v>
      </c>
      <c r="AX69" s="35"/>
      <c r="AY69" s="35"/>
    </row>
    <row r="70" spans="3:67" ht="16" thickBot="1">
      <c r="AB70" s="194" t="s">
        <v>555</v>
      </c>
      <c r="AC70" s="195">
        <v>2311</v>
      </c>
      <c r="AD70" s="195">
        <v>2012</v>
      </c>
      <c r="AE70" s="195">
        <v>1039</v>
      </c>
      <c r="AG70" s="7">
        <v>15</v>
      </c>
      <c r="AH70" s="7">
        <v>21</v>
      </c>
      <c r="AI70" s="7">
        <v>12.5</v>
      </c>
    </row>
    <row r="71" spans="3:67">
      <c r="C71" t="s">
        <v>611</v>
      </c>
      <c r="D71" s="2">
        <v>8.3299999999999999E-2</v>
      </c>
      <c r="F71" t="s">
        <v>611</v>
      </c>
      <c r="G71">
        <v>37.799999999999997</v>
      </c>
      <c r="AB71" s="215"/>
      <c r="AC71" s="216"/>
      <c r="AD71" s="216"/>
      <c r="AE71" s="216"/>
      <c r="AG71" s="5" t="s">
        <v>574</v>
      </c>
      <c r="AN71" s="5" t="s">
        <v>575</v>
      </c>
      <c r="AX71" s="5" t="str">
        <f t="shared" ref="AX71:AX76" si="6">AN71</f>
        <v>AVG Brandstofprijs per km</v>
      </c>
      <c r="BD71" t="s">
        <v>603</v>
      </c>
      <c r="BF71" t="s">
        <v>606</v>
      </c>
      <c r="BN71" t="s">
        <v>604</v>
      </c>
    </row>
    <row r="72" spans="3:67" ht="16" thickBot="1">
      <c r="AC72" t="s">
        <v>570</v>
      </c>
      <c r="AD72" t="s">
        <v>571</v>
      </c>
      <c r="AE72" t="s">
        <v>572</v>
      </c>
      <c r="AG72" s="208" t="s">
        <v>599</v>
      </c>
      <c r="AH72" s="208" t="s">
        <v>600</v>
      </c>
      <c r="AI72" s="208" t="s">
        <v>601</v>
      </c>
      <c r="AN72" s="208" t="s">
        <v>599</v>
      </c>
      <c r="AO72" s="208" t="s">
        <v>600</v>
      </c>
      <c r="AP72" s="208" t="s">
        <v>601</v>
      </c>
      <c r="AT72" t="s">
        <v>569</v>
      </c>
      <c r="AU72" t="s">
        <v>581</v>
      </c>
      <c r="AW72" t="s">
        <v>569</v>
      </c>
      <c r="AX72" s="208" t="str">
        <f t="shared" si="6"/>
        <v>benzin (euro/km)</v>
      </c>
      <c r="AY72" s="208" t="str">
        <f t="shared" ref="AY72:AY76" si="7">AO72</f>
        <v>Diesel (euro/km)</v>
      </c>
      <c r="AZ72" s="208" t="str">
        <f t="shared" ref="AZ72:AZ76" si="8">AP72</f>
        <v>LPG (euro/km)</v>
      </c>
      <c r="BA72" s="230" t="s">
        <v>605</v>
      </c>
      <c r="BD72" t="s">
        <v>569</v>
      </c>
      <c r="BE72" t="s">
        <v>581</v>
      </c>
      <c r="BF72" t="s">
        <v>581</v>
      </c>
      <c r="BN72" s="180" t="s">
        <v>569</v>
      </c>
      <c r="BO72" s="181" t="s">
        <v>581</v>
      </c>
    </row>
    <row r="73" spans="3:67" ht="16" thickBot="1">
      <c r="AB73" s="194" t="s">
        <v>514</v>
      </c>
      <c r="AC73">
        <f>AC29/1000</f>
        <v>1.496</v>
      </c>
      <c r="AD73">
        <f t="shared" ref="AD73:AE73" si="9">AD29/1000</f>
        <v>1.268</v>
      </c>
      <c r="AE73">
        <f t="shared" si="9"/>
        <v>0.64900000000000002</v>
      </c>
      <c r="AG73" s="212">
        <f>AC73/$AG$70</f>
        <v>9.9733333333333327E-2</v>
      </c>
      <c r="AH73" s="212">
        <f>AD73/$AH$70</f>
        <v>6.0380952380952382E-2</v>
      </c>
      <c r="AI73" s="212">
        <f>AE73/$AI$70</f>
        <v>5.1920000000000001E-2</v>
      </c>
      <c r="AM73" s="5">
        <v>2019</v>
      </c>
      <c r="AN73" s="177">
        <f>AVERAGE(AG73:AG84)</f>
        <v>0.10935555555555555</v>
      </c>
      <c r="AO73" s="177">
        <f t="shared" ref="AO73:AP73" si="10">AVERAGE(AH73:AH84)</f>
        <v>6.4392857142857154E-2</v>
      </c>
      <c r="AP73" s="177">
        <f t="shared" si="10"/>
        <v>5.1026666666666665E-2</v>
      </c>
      <c r="AS73" t="s">
        <v>588</v>
      </c>
      <c r="AT73">
        <v>2018</v>
      </c>
      <c r="AU73">
        <v>100</v>
      </c>
      <c r="AW73">
        <f t="shared" ref="AW73:AW94" si="11">AM73</f>
        <v>2019</v>
      </c>
      <c r="AX73" s="65">
        <f>AN73</f>
        <v>0.10935555555555555</v>
      </c>
      <c r="AY73" s="65">
        <f t="shared" si="7"/>
        <v>6.4392857142857154E-2</v>
      </c>
      <c r="AZ73" s="65">
        <f t="shared" si="8"/>
        <v>5.1026666666666665E-2</v>
      </c>
      <c r="BA73" s="226">
        <v>7.4999999999999997E-2</v>
      </c>
      <c r="BB73" t="s">
        <v>615</v>
      </c>
      <c r="BD73" s="180">
        <v>2022</v>
      </c>
      <c r="BE73" s="6">
        <v>100</v>
      </c>
      <c r="BF73" s="224">
        <v>100</v>
      </c>
      <c r="BN73" s="182">
        <v>2010</v>
      </c>
      <c r="BO73" s="161">
        <v>109</v>
      </c>
    </row>
    <row r="74" spans="3:67" ht="16" thickBot="1">
      <c r="AB74" s="194" t="s">
        <v>515</v>
      </c>
      <c r="AC74">
        <f t="shared" ref="AC74:AE74" si="12">AC30/1000</f>
        <v>1.554</v>
      </c>
      <c r="AD74">
        <f t="shared" si="12"/>
        <v>1.323</v>
      </c>
      <c r="AE74">
        <f t="shared" si="12"/>
        <v>0.64600000000000002</v>
      </c>
      <c r="AG74" s="212">
        <f t="shared" ref="AG74:AG114" si="13">AC74/$AG$70</f>
        <v>0.1036</v>
      </c>
      <c r="AH74" s="212">
        <f t="shared" ref="AH74:AH114" si="14">AD74/$AH$70</f>
        <v>6.3E-2</v>
      </c>
      <c r="AI74" s="212">
        <f t="shared" ref="AI74:AI114" si="15">AE74/$AI$70</f>
        <v>5.1680000000000004E-2</v>
      </c>
      <c r="AM74">
        <v>2020</v>
      </c>
      <c r="AN74" s="65">
        <f>AVERAGE(AG85:AG96)</f>
        <v>0.10429444444444443</v>
      </c>
      <c r="AO74" s="65">
        <f t="shared" ref="AO74:AP74" si="16">AVERAGE(AH85:AH96)</f>
        <v>5.9214285714285698E-2</v>
      </c>
      <c r="AP74" s="65">
        <f t="shared" si="16"/>
        <v>4.8493333333333333E-2</v>
      </c>
      <c r="AT74">
        <v>2030</v>
      </c>
      <c r="AU74">
        <v>92.5</v>
      </c>
      <c r="AW74">
        <f t="shared" si="11"/>
        <v>2020</v>
      </c>
      <c r="AX74" s="65">
        <f t="shared" si="6"/>
        <v>0.10429444444444443</v>
      </c>
      <c r="AY74" s="65">
        <f t="shared" si="7"/>
        <v>5.9214285714285698E-2</v>
      </c>
      <c r="AZ74" s="65">
        <f t="shared" si="8"/>
        <v>4.8493333333333333E-2</v>
      </c>
      <c r="BA74" s="227">
        <f>BA73+$BM$76</f>
        <v>8.0600000000000005E-2</v>
      </c>
      <c r="BD74" s="182">
        <v>2030</v>
      </c>
      <c r="BE74" s="161">
        <v>92.5</v>
      </c>
      <c r="BF74" s="161">
        <v>94.5</v>
      </c>
      <c r="BI74" t="s">
        <v>585</v>
      </c>
      <c r="BN74" s="182">
        <v>2018</v>
      </c>
      <c r="BO74" s="161">
        <v>100</v>
      </c>
    </row>
    <row r="75" spans="3:67" ht="16" thickBot="1">
      <c r="C75" t="s">
        <v>87</v>
      </c>
      <c r="D75" t="s">
        <v>618</v>
      </c>
      <c r="F75" t="s">
        <v>87</v>
      </c>
      <c r="G75" t="s">
        <v>606</v>
      </c>
      <c r="AB75" s="194" t="s">
        <v>516</v>
      </c>
      <c r="AC75">
        <f t="shared" ref="AC75:AE75" si="17">AC31/1000</f>
        <v>1.5980000000000001</v>
      </c>
      <c r="AD75">
        <f t="shared" si="17"/>
        <v>1.361</v>
      </c>
      <c r="AE75">
        <f t="shared" si="17"/>
        <v>0.65600000000000003</v>
      </c>
      <c r="AG75" s="212">
        <f t="shared" si="13"/>
        <v>0.10653333333333334</v>
      </c>
      <c r="AH75" s="212">
        <f t="shared" si="14"/>
        <v>6.4809523809523803E-2</v>
      </c>
      <c r="AI75" s="212">
        <f t="shared" si="15"/>
        <v>5.2479999999999999E-2</v>
      </c>
      <c r="AM75">
        <v>2021</v>
      </c>
      <c r="AN75" s="65">
        <f>AVERAGE(AG97:AG108)</f>
        <v>0.11961666666666666</v>
      </c>
      <c r="AO75" s="65">
        <f t="shared" ref="AO75:AP75" si="18">AVERAGE(AH97:AH108)</f>
        <v>6.8801587301587294E-2</v>
      </c>
      <c r="AP75" s="65">
        <f t="shared" si="18"/>
        <v>6.1493333333333323E-2</v>
      </c>
      <c r="AT75">
        <v>2040</v>
      </c>
      <c r="AU75">
        <v>85.5</v>
      </c>
      <c r="AW75">
        <f t="shared" si="11"/>
        <v>2021</v>
      </c>
      <c r="AX75" s="65">
        <f t="shared" si="6"/>
        <v>0.11961666666666666</v>
      </c>
      <c r="AY75" s="65">
        <f t="shared" si="7"/>
        <v>6.8801587301587294E-2</v>
      </c>
      <c r="AZ75" s="65">
        <f t="shared" si="8"/>
        <v>6.1493333333333323E-2</v>
      </c>
      <c r="BA75" s="227">
        <f>BA74+$BM$76</f>
        <v>8.6200000000000013E-2</v>
      </c>
      <c r="BD75" s="186">
        <v>2040</v>
      </c>
      <c r="BE75" s="160">
        <v>85.5</v>
      </c>
      <c r="BF75" s="160">
        <v>81</v>
      </c>
      <c r="BI75" t="s">
        <v>587</v>
      </c>
      <c r="BN75" s="182">
        <v>2030</v>
      </c>
      <c r="BO75" s="161">
        <v>94.5</v>
      </c>
    </row>
    <row r="76" spans="3:67" ht="16" thickBot="1">
      <c r="C76">
        <v>2019</v>
      </c>
      <c r="D76" s="231">
        <v>0.96443665662085665</v>
      </c>
      <c r="F76">
        <v>2019</v>
      </c>
      <c r="G76" s="231">
        <v>3.5563343379143388E-2</v>
      </c>
      <c r="J76" s="128"/>
      <c r="AB76" s="194" t="s">
        <v>517</v>
      </c>
      <c r="AC76">
        <f t="shared" ref="AC76:AE76" si="19">AC32/1000</f>
        <v>1.665</v>
      </c>
      <c r="AD76">
        <f t="shared" si="19"/>
        <v>1.3580000000000001</v>
      </c>
      <c r="AE76">
        <f t="shared" si="19"/>
        <v>0.66300000000000003</v>
      </c>
      <c r="AG76" s="212">
        <f t="shared" si="13"/>
        <v>0.111</v>
      </c>
      <c r="AH76" s="212">
        <f t="shared" si="14"/>
        <v>6.4666666666666678E-2</v>
      </c>
      <c r="AI76" s="212">
        <f t="shared" si="15"/>
        <v>5.3040000000000004E-2</v>
      </c>
      <c r="AM76">
        <v>2022</v>
      </c>
      <c r="AN76" s="65">
        <f>AVERAGE(AG109:AG114)</f>
        <v>0.14042222222222225</v>
      </c>
      <c r="AO76" s="65">
        <f t="shared" ref="AO76:AP76" si="20">AVERAGE(AH109:AH114)</f>
        <v>8.888095238095238E-2</v>
      </c>
      <c r="AP76" s="65">
        <f t="shared" si="20"/>
        <v>8.042666666666666E-2</v>
      </c>
      <c r="AW76" s="5">
        <f t="shared" si="11"/>
        <v>2022</v>
      </c>
      <c r="AX76" s="177">
        <f t="shared" si="6"/>
        <v>0.14042222222222225</v>
      </c>
      <c r="AY76" s="177">
        <f t="shared" si="7"/>
        <v>8.888095238095238E-2</v>
      </c>
      <c r="AZ76" s="177">
        <f t="shared" si="8"/>
        <v>8.042666666666666E-2</v>
      </c>
      <c r="BA76" s="228">
        <f>BE55</f>
        <v>9.180000000000002E-2</v>
      </c>
      <c r="BI76">
        <f>(AX84-AX76)/(ROW(AX84)-ROW(AX76))</f>
        <v>-1.3164583333333327E-3</v>
      </c>
      <c r="BJ76">
        <f>(AY84-AY76)/(ROW(AY84)-ROW(AY76))</f>
        <v>-8.33258928571428E-4</v>
      </c>
      <c r="BK76">
        <f>(AZ84-AZ76)/(ROW(AZ84)-ROW(AZ76))</f>
        <v>-7.5399999999999946E-4</v>
      </c>
      <c r="BL76">
        <f>(BA84-BA76)/(ROW(BA84)-ROW(BA76))</f>
        <v>-6.3112499999999974E-4</v>
      </c>
      <c r="BM76">
        <f>(BA76-BA73)/(ROW(BA76)-ROW(BA73))</f>
        <v>5.6000000000000077E-3</v>
      </c>
      <c r="BN76" s="186">
        <v>2040</v>
      </c>
      <c r="BO76" s="160">
        <v>81</v>
      </c>
    </row>
    <row r="77" spans="3:67" ht="16" thickBot="1">
      <c r="C77">
        <v>2020</v>
      </c>
      <c r="D77" s="220">
        <v>0.95570486103922025</v>
      </c>
      <c r="F77">
        <v>2020</v>
      </c>
      <c r="G77" s="231">
        <v>4.4295138960779794E-2</v>
      </c>
      <c r="J77" s="128"/>
      <c r="M77" s="233">
        <v>0.08</v>
      </c>
      <c r="AB77" s="194" t="s">
        <v>518</v>
      </c>
      <c r="AC77">
        <f t="shared" ref="AC77:AE77" si="21">AC33/1000</f>
        <v>1.724</v>
      </c>
      <c r="AD77">
        <f t="shared" si="21"/>
        <v>1.393</v>
      </c>
      <c r="AE77">
        <f t="shared" si="21"/>
        <v>0.67300000000000004</v>
      </c>
      <c r="AG77" s="212">
        <f t="shared" si="13"/>
        <v>0.11493333333333333</v>
      </c>
      <c r="AH77" s="212">
        <f t="shared" si="14"/>
        <v>6.6333333333333327E-2</v>
      </c>
      <c r="AI77" s="212">
        <f t="shared" si="15"/>
        <v>5.3840000000000006E-2</v>
      </c>
      <c r="AM77">
        <v>2023</v>
      </c>
      <c r="AN77" s="65">
        <f>AN76+$AS$79</f>
        <v>0.13551368055555557</v>
      </c>
      <c r="AO77" s="65">
        <f>AO76+$AT$79</f>
        <v>8.5216257440476187E-2</v>
      </c>
      <c r="AP77" s="65">
        <f>AP76+$AU$79</f>
        <v>7.6273291666666659E-2</v>
      </c>
      <c r="AW77">
        <f t="shared" si="11"/>
        <v>2023</v>
      </c>
      <c r="AX77" s="65">
        <f t="shared" ref="AX77:AX83" si="22">AX76+$BI$76</f>
        <v>0.13910576388888893</v>
      </c>
      <c r="AY77" s="65">
        <f>AY76+$BJ$76</f>
        <v>8.8047693452380948E-2</v>
      </c>
      <c r="AZ77" s="65">
        <f>AZ76+$BK$76</f>
        <v>7.9672666666666656E-2</v>
      </c>
      <c r="BA77" s="229">
        <f>BA76+$BL$76</f>
        <v>9.1168875000000024E-2</v>
      </c>
    </row>
    <row r="78" spans="3:67" ht="16" thickBot="1">
      <c r="C78">
        <v>2021</v>
      </c>
      <c r="D78" s="220">
        <v>0.9435050919879675</v>
      </c>
      <c r="F78">
        <v>2021</v>
      </c>
      <c r="G78" s="231">
        <v>5.6494908012032448E-2</v>
      </c>
      <c r="J78" s="128"/>
      <c r="M78" s="233">
        <v>0.08</v>
      </c>
      <c r="AB78" s="194" t="s">
        <v>519</v>
      </c>
      <c r="AC78">
        <f t="shared" ref="AC78:AE78" si="23">AC34/1000</f>
        <v>1.716</v>
      </c>
      <c r="AD78">
        <f t="shared" si="23"/>
        <v>1.3740000000000001</v>
      </c>
      <c r="AE78">
        <f t="shared" si="23"/>
        <v>0.65900000000000003</v>
      </c>
      <c r="AG78" s="212">
        <f t="shared" si="13"/>
        <v>0.1144</v>
      </c>
      <c r="AH78" s="212">
        <f t="shared" si="14"/>
        <v>6.5428571428571433E-2</v>
      </c>
      <c r="AI78" s="212">
        <f t="shared" si="15"/>
        <v>5.2720000000000003E-2</v>
      </c>
      <c r="AM78">
        <v>2024</v>
      </c>
      <c r="AN78" s="65">
        <f t="shared" ref="AN78:AN83" si="24">AN77+$AS$79</f>
        <v>0.13060513888888889</v>
      </c>
      <c r="AO78" s="65">
        <f t="shared" ref="AO78:AO83" si="25">AO77+$AT$79</f>
        <v>8.1551562499999994E-2</v>
      </c>
      <c r="AP78" s="65">
        <f t="shared" ref="AP78:AP83" si="26">AP77+$AU$79</f>
        <v>7.2119916666666659E-2</v>
      </c>
      <c r="AS78" t="s">
        <v>589</v>
      </c>
      <c r="AW78">
        <f t="shared" si="11"/>
        <v>2024</v>
      </c>
      <c r="AX78" s="65">
        <f t="shared" si="22"/>
        <v>0.1377893055555556</v>
      </c>
      <c r="AY78" s="65">
        <f t="shared" ref="AY78:AY83" si="27">AY77+$BJ$76</f>
        <v>8.7214434523809517E-2</v>
      </c>
      <c r="AZ78" s="65">
        <f t="shared" ref="AZ78:AZ83" si="28">AZ77+$BK$76</f>
        <v>7.8918666666666651E-2</v>
      </c>
      <c r="BA78" s="229">
        <f t="shared" ref="BA78:BA83" si="29">BA77+$BL$76</f>
        <v>9.0537750000000028E-2</v>
      </c>
    </row>
    <row r="79" spans="3:67" ht="16" thickBot="1">
      <c r="C79">
        <v>2022</v>
      </c>
      <c r="D79" s="220">
        <v>0.92493999730631815</v>
      </c>
      <c r="F79">
        <v>2022</v>
      </c>
      <c r="G79" s="231">
        <v>7.5060002693681793E-2</v>
      </c>
      <c r="J79" s="128"/>
      <c r="M79" s="233">
        <v>0.08</v>
      </c>
      <c r="AB79" s="194" t="s">
        <v>520</v>
      </c>
      <c r="AC79">
        <f t="shared" ref="AC79:AE79" si="30">AC35/1000</f>
        <v>1.6579999999999999</v>
      </c>
      <c r="AD79">
        <f t="shared" si="30"/>
        <v>1.345</v>
      </c>
      <c r="AE79">
        <f t="shared" si="30"/>
        <v>0.625</v>
      </c>
      <c r="AG79" s="212">
        <f t="shared" si="13"/>
        <v>0.11053333333333333</v>
      </c>
      <c r="AH79" s="212">
        <f t="shared" si="14"/>
        <v>6.4047619047619048E-2</v>
      </c>
      <c r="AI79" s="212">
        <f t="shared" si="15"/>
        <v>0.05</v>
      </c>
      <c r="AM79">
        <v>2025</v>
      </c>
      <c r="AN79" s="65">
        <f t="shared" si="24"/>
        <v>0.12569659722222221</v>
      </c>
      <c r="AO79" s="65">
        <f t="shared" si="25"/>
        <v>7.7886867559523801E-2</v>
      </c>
      <c r="AP79" s="65">
        <f t="shared" si="26"/>
        <v>6.7966541666666658E-2</v>
      </c>
      <c r="AS79">
        <f>(AN84-AN76)/(ROW(AN84)-ROW(AN76))</f>
        <v>-4.9085416666666704E-3</v>
      </c>
      <c r="AT79">
        <f t="shared" ref="AT79:AU79" si="31">(AO84-AO76)/(ROW(AO84)-ROW(AO76))</f>
        <v>-3.6646949404761887E-3</v>
      </c>
      <c r="AU79">
        <f t="shared" si="31"/>
        <v>-4.1533749999999999E-3</v>
      </c>
      <c r="AW79">
        <f t="shared" si="11"/>
        <v>2025</v>
      </c>
      <c r="AX79" s="65">
        <f t="shared" si="22"/>
        <v>0.13647284722222228</v>
      </c>
      <c r="AY79" s="65">
        <f t="shared" si="27"/>
        <v>8.6381175595238086E-2</v>
      </c>
      <c r="AZ79" s="65">
        <f t="shared" si="28"/>
        <v>7.8164666666666646E-2</v>
      </c>
      <c r="BA79" s="229">
        <f t="shared" si="29"/>
        <v>8.9906625000000032E-2</v>
      </c>
    </row>
    <row r="80" spans="3:67" ht="16" thickBot="1">
      <c r="C80">
        <v>2023</v>
      </c>
      <c r="D80" s="232">
        <f>1-G80</f>
        <v>0.90932249764302842</v>
      </c>
      <c r="F80">
        <v>2023</v>
      </c>
      <c r="G80" s="233">
        <f>G79+$J$82</f>
        <v>9.067750235697157E-2</v>
      </c>
      <c r="H80">
        <f>G79*$G$71/100</f>
        <v>2.8372681018211714E-2</v>
      </c>
      <c r="M80" s="233">
        <v>0.08</v>
      </c>
      <c r="AB80" s="194" t="s">
        <v>521</v>
      </c>
      <c r="AC80">
        <f t="shared" ref="AC80:AE80" si="32">AC36/1000</f>
        <v>1.6739999999999999</v>
      </c>
      <c r="AD80">
        <f t="shared" si="32"/>
        <v>1.347</v>
      </c>
      <c r="AE80">
        <f t="shared" si="32"/>
        <v>0.61499999999999999</v>
      </c>
      <c r="AG80" s="212">
        <f t="shared" si="13"/>
        <v>0.11159999999999999</v>
      </c>
      <c r="AH80" s="212">
        <f t="shared" si="14"/>
        <v>6.414285714285714E-2</v>
      </c>
      <c r="AI80" s="212">
        <f t="shared" si="15"/>
        <v>4.9200000000000001E-2</v>
      </c>
      <c r="AM80">
        <v>2026</v>
      </c>
      <c r="AN80" s="65">
        <f t="shared" si="24"/>
        <v>0.12078805555555554</v>
      </c>
      <c r="AO80" s="65">
        <f t="shared" si="25"/>
        <v>7.4222172619047608E-2</v>
      </c>
      <c r="AP80" s="65">
        <f t="shared" si="26"/>
        <v>6.3813166666666657E-2</v>
      </c>
      <c r="AW80">
        <f t="shared" si="11"/>
        <v>2026</v>
      </c>
      <c r="AX80" s="65">
        <f t="shared" si="22"/>
        <v>0.13515638888888895</v>
      </c>
      <c r="AY80" s="65">
        <f t="shared" si="27"/>
        <v>8.5547916666666654E-2</v>
      </c>
      <c r="AZ80" s="65">
        <f t="shared" si="28"/>
        <v>7.7410666666666642E-2</v>
      </c>
      <c r="BA80" s="229">
        <f t="shared" si="29"/>
        <v>8.9275500000000035E-2</v>
      </c>
    </row>
    <row r="81" spans="3:64" ht="16" thickBot="1">
      <c r="C81">
        <v>2024</v>
      </c>
      <c r="D81" s="232">
        <f t="shared" ref="D81:D97" si="33">1-G81</f>
        <v>0.89370499797973868</v>
      </c>
      <c r="F81">
        <v>2024</v>
      </c>
      <c r="G81" s="233">
        <f t="shared" ref="G81:G86" si="34">G80+$J$82</f>
        <v>0.10629500202026135</v>
      </c>
      <c r="H81">
        <f t="shared" ref="H81:H97" si="35">G80*$G$71/100</f>
        <v>3.4276095890935249E-2</v>
      </c>
      <c r="J81" t="s">
        <v>589</v>
      </c>
      <c r="M81" s="233">
        <v>0.1</v>
      </c>
      <c r="AB81" s="194" t="s">
        <v>522</v>
      </c>
      <c r="AC81">
        <f t="shared" ref="AC81:AE81" si="36">AC37/1000</f>
        <v>1.631</v>
      </c>
      <c r="AD81">
        <f t="shared" si="36"/>
        <v>1.3260000000000001</v>
      </c>
      <c r="AE81">
        <f t="shared" si="36"/>
        <v>0.58299999999999996</v>
      </c>
      <c r="AG81" s="212">
        <f t="shared" si="13"/>
        <v>0.10873333333333333</v>
      </c>
      <c r="AH81" s="212">
        <f t="shared" si="14"/>
        <v>6.3142857142857139E-2</v>
      </c>
      <c r="AI81" s="212">
        <f t="shared" si="15"/>
        <v>4.6639999999999994E-2</v>
      </c>
      <c r="AM81">
        <v>2027</v>
      </c>
      <c r="AN81" s="65">
        <f t="shared" si="24"/>
        <v>0.11587951388888887</v>
      </c>
      <c r="AO81" s="65">
        <f t="shared" si="25"/>
        <v>7.0557477678571415E-2</v>
      </c>
      <c r="AP81" s="65">
        <f t="shared" si="26"/>
        <v>5.9659791666666656E-2</v>
      </c>
      <c r="AW81">
        <f t="shared" si="11"/>
        <v>2027</v>
      </c>
      <c r="AX81" s="65">
        <f t="shared" si="22"/>
        <v>0.13383993055555563</v>
      </c>
      <c r="AY81" s="65">
        <f t="shared" si="27"/>
        <v>8.4714657738095223E-2</v>
      </c>
      <c r="AZ81" s="65">
        <f t="shared" si="28"/>
        <v>7.6656666666666637E-2</v>
      </c>
      <c r="BA81" s="229">
        <f t="shared" si="29"/>
        <v>8.8644375000000039E-2</v>
      </c>
    </row>
    <row r="82" spans="3:64" ht="16" thickBot="1">
      <c r="C82">
        <v>2025</v>
      </c>
      <c r="D82" s="232">
        <f t="shared" si="33"/>
        <v>0.87808749831644883</v>
      </c>
      <c r="F82">
        <v>2025</v>
      </c>
      <c r="G82" s="233">
        <f t="shared" si="34"/>
        <v>0.12191250168355112</v>
      </c>
      <c r="H82">
        <f t="shared" si="35"/>
        <v>4.0179510763658791E-2</v>
      </c>
      <c r="J82">
        <f>(G87-G79)/(ROW(G87)-ROW(G79))</f>
        <v>1.5617499663289777E-2</v>
      </c>
      <c r="M82" s="233">
        <v>0.13</v>
      </c>
      <c r="AB82" s="194" t="s">
        <v>523</v>
      </c>
      <c r="AC82">
        <f t="shared" ref="AC82:AE82" si="37">AC38/1000</f>
        <v>1.655</v>
      </c>
      <c r="AD82">
        <f t="shared" si="37"/>
        <v>1.3819999999999999</v>
      </c>
      <c r="AE82">
        <f t="shared" si="37"/>
        <v>0.59499999999999997</v>
      </c>
      <c r="AG82" s="212">
        <f t="shared" si="13"/>
        <v>0.11033333333333334</v>
      </c>
      <c r="AH82" s="212">
        <f t="shared" si="14"/>
        <v>6.5809523809523804E-2</v>
      </c>
      <c r="AI82" s="212">
        <f t="shared" si="15"/>
        <v>4.7599999999999996E-2</v>
      </c>
      <c r="AM82">
        <v>2028</v>
      </c>
      <c r="AN82" s="65">
        <f t="shared" si="24"/>
        <v>0.1109709722222222</v>
      </c>
      <c r="AO82" s="65">
        <f t="shared" si="25"/>
        <v>6.6892782738095222E-2</v>
      </c>
      <c r="AP82" s="65">
        <f t="shared" si="26"/>
        <v>5.5506416666666655E-2</v>
      </c>
      <c r="AW82">
        <f t="shared" si="11"/>
        <v>2028</v>
      </c>
      <c r="AX82" s="65">
        <f t="shared" si="22"/>
        <v>0.1325234722222223</v>
      </c>
      <c r="AY82" s="65">
        <f t="shared" si="27"/>
        <v>8.3881398809523791E-2</v>
      </c>
      <c r="AZ82" s="65">
        <f t="shared" si="28"/>
        <v>7.5902666666666632E-2</v>
      </c>
      <c r="BA82" s="229">
        <f t="shared" si="29"/>
        <v>8.8013250000000043E-2</v>
      </c>
      <c r="BI82" t="s">
        <v>585</v>
      </c>
    </row>
    <row r="83" spans="3:64" ht="16" thickBot="1">
      <c r="C83">
        <v>2026</v>
      </c>
      <c r="D83" s="232">
        <f t="shared" si="33"/>
        <v>0.8624699986531591</v>
      </c>
      <c r="F83">
        <v>2026</v>
      </c>
      <c r="G83" s="233">
        <f t="shared" si="34"/>
        <v>0.1375300013468409</v>
      </c>
      <c r="H83">
        <f t="shared" si="35"/>
        <v>4.6082925636382326E-2</v>
      </c>
      <c r="M83" s="233">
        <v>0.15</v>
      </c>
      <c r="AB83" s="194" t="s">
        <v>524</v>
      </c>
      <c r="AC83">
        <f t="shared" ref="AC83:AE83" si="38">AC39/1000</f>
        <v>1.6519999999999999</v>
      </c>
      <c r="AD83">
        <f t="shared" si="38"/>
        <v>1.37</v>
      </c>
      <c r="AE83">
        <f t="shared" si="38"/>
        <v>0.63400000000000001</v>
      </c>
      <c r="AG83" s="212">
        <f t="shared" si="13"/>
        <v>0.11013333333333333</v>
      </c>
      <c r="AH83" s="212">
        <f t="shared" si="14"/>
        <v>6.5238095238095248E-2</v>
      </c>
      <c r="AI83" s="212">
        <f t="shared" si="15"/>
        <v>5.0720000000000001E-2</v>
      </c>
      <c r="AM83">
        <v>2029</v>
      </c>
      <c r="AN83" s="65">
        <f t="shared" si="24"/>
        <v>0.10606243055555553</v>
      </c>
      <c r="AO83" s="65">
        <f t="shared" si="25"/>
        <v>6.3228087797619029E-2</v>
      </c>
      <c r="AP83" s="65">
        <f t="shared" si="26"/>
        <v>5.1353041666666654E-2</v>
      </c>
      <c r="AW83">
        <f t="shared" si="11"/>
        <v>2029</v>
      </c>
      <c r="AX83" s="65">
        <f t="shared" si="22"/>
        <v>0.13120701388888897</v>
      </c>
      <c r="AY83" s="65">
        <f t="shared" si="27"/>
        <v>8.304813988095236E-2</v>
      </c>
      <c r="AZ83" s="65">
        <f t="shared" si="28"/>
        <v>7.5148666666666628E-2</v>
      </c>
      <c r="BA83" s="229">
        <f t="shared" si="29"/>
        <v>8.7382125000000047E-2</v>
      </c>
      <c r="BI83" t="s">
        <v>587</v>
      </c>
    </row>
    <row r="84" spans="3:64">
      <c r="C84">
        <v>2027</v>
      </c>
      <c r="D84" s="232">
        <f t="shared" si="33"/>
        <v>0.84685249898986936</v>
      </c>
      <c r="F84">
        <v>2027</v>
      </c>
      <c r="G84" s="233">
        <f t="shared" si="34"/>
        <v>0.15314750101013069</v>
      </c>
      <c r="H84">
        <f t="shared" si="35"/>
        <v>5.1986340509105854E-2</v>
      </c>
      <c r="M84" s="233">
        <v>0.3</v>
      </c>
      <c r="AB84" s="218" t="s">
        <v>525</v>
      </c>
      <c r="AC84" s="10">
        <f t="shared" ref="AC84:AE84" si="39">AC40/1000</f>
        <v>1.661</v>
      </c>
      <c r="AD84" s="10">
        <f t="shared" si="39"/>
        <v>1.38</v>
      </c>
      <c r="AE84" s="10">
        <f t="shared" si="39"/>
        <v>0.65600000000000003</v>
      </c>
      <c r="AF84" s="10"/>
      <c r="AG84" s="219">
        <f t="shared" si="13"/>
        <v>0.11073333333333334</v>
      </c>
      <c r="AH84" s="219">
        <f t="shared" si="14"/>
        <v>6.5714285714285711E-2</v>
      </c>
      <c r="AI84" s="219">
        <f t="shared" si="15"/>
        <v>5.2479999999999999E-2</v>
      </c>
      <c r="AM84" s="5">
        <v>2030</v>
      </c>
      <c r="AN84" s="177">
        <f>AN73*$AU$74/$AU$73</f>
        <v>0.10115388888888889</v>
      </c>
      <c r="AO84" s="177">
        <f t="shared" ref="AO84" si="40">AO73*$AU$74/$AU$73</f>
        <v>5.956339285714287E-2</v>
      </c>
      <c r="AP84" s="177">
        <f>AP73*$AU$74/$AU$73</f>
        <v>4.7199666666666661E-2</v>
      </c>
      <c r="AW84" s="5">
        <f t="shared" si="11"/>
        <v>2030</v>
      </c>
      <c r="AX84" s="177">
        <f>AX76*$BE$74/$BE$73</f>
        <v>0.12989055555555559</v>
      </c>
      <c r="AY84" s="177">
        <f t="shared" ref="AY84" si="41">AY76*$BE$74/$BE$73</f>
        <v>8.2214880952380956E-2</v>
      </c>
      <c r="AZ84" s="177">
        <f>AZ76*$BE$74/$BE$73</f>
        <v>7.4394666666666665E-2</v>
      </c>
      <c r="BA84" s="228">
        <f>BA76*$BF$74/$BF$73</f>
        <v>8.6751000000000023E-2</v>
      </c>
      <c r="BI84">
        <f>(AX94-AX84)/(ROW(AX94)-ROW(AX84))</f>
        <v>-9.829555555555564E-4</v>
      </c>
      <c r="BJ84">
        <f t="shared" ref="BJ84" si="42">(AY94-AY84)/(ROW(AY94)-ROW(AY84))</f>
        <v>-6.221666666666667E-4</v>
      </c>
      <c r="BK84">
        <f>(AZ94-AZ84)/(ROW(AZ94)-ROW(AZ84))</f>
        <v>-5.6298666666666775E-4</v>
      </c>
      <c r="BL84">
        <f>(BA94-BA84)/(ROW(BA94)-ROW(BA84))</f>
        <v>-1.2393000000000016E-3</v>
      </c>
    </row>
    <row r="85" spans="3:64" ht="16" thickBot="1">
      <c r="C85">
        <v>2028</v>
      </c>
      <c r="D85" s="232">
        <f t="shared" si="33"/>
        <v>0.83123499932657952</v>
      </c>
      <c r="F85">
        <v>2028</v>
      </c>
      <c r="G85" s="233">
        <f t="shared" si="34"/>
        <v>0.16876500067342048</v>
      </c>
      <c r="H85">
        <f t="shared" si="35"/>
        <v>5.7889755381829396E-2</v>
      </c>
      <c r="M85" s="233">
        <v>0.3</v>
      </c>
      <c r="AB85" s="217" t="s">
        <v>526</v>
      </c>
      <c r="AC85">
        <f t="shared" ref="AC85:AE85" si="43">AC41/1000</f>
        <v>1.6890000000000001</v>
      </c>
      <c r="AD85">
        <f t="shared" si="43"/>
        <v>1.4219999999999999</v>
      </c>
      <c r="AE85">
        <f t="shared" si="43"/>
        <v>0.67300000000000004</v>
      </c>
      <c r="AG85" s="212">
        <f t="shared" si="13"/>
        <v>0.11260000000000001</v>
      </c>
      <c r="AH85" s="212">
        <f t="shared" si="14"/>
        <v>6.7714285714285713E-2</v>
      </c>
      <c r="AI85" s="212">
        <f t="shared" si="15"/>
        <v>5.3840000000000006E-2</v>
      </c>
      <c r="AM85">
        <v>2031</v>
      </c>
      <c r="AN85" s="65">
        <f>AN84+$AS$89</f>
        <v>0.1003884</v>
      </c>
      <c r="AO85" s="65">
        <f>AO84+$AT$89</f>
        <v>5.9112642857142871E-2</v>
      </c>
      <c r="AP85" s="65">
        <f>AP84+$AU$89</f>
        <v>4.6842479999999992E-2</v>
      </c>
      <c r="AW85">
        <f t="shared" si="11"/>
        <v>2031</v>
      </c>
      <c r="AX85" s="65">
        <f>AX84+$BI$84</f>
        <v>0.12890760000000004</v>
      </c>
      <c r="AY85" s="65">
        <f>AY84+$BJ$84</f>
        <v>8.1592714285714296E-2</v>
      </c>
      <c r="AZ85" s="65">
        <f>AZ84+$BK$84</f>
        <v>7.3831679999999997E-2</v>
      </c>
      <c r="BA85" s="229">
        <f>BA84+$BL$84</f>
        <v>8.5511700000000024E-2</v>
      </c>
    </row>
    <row r="86" spans="3:64" ht="16" thickBot="1">
      <c r="C86">
        <v>2029</v>
      </c>
      <c r="D86" s="232">
        <f t="shared" si="33"/>
        <v>0.81561749966328967</v>
      </c>
      <c r="F86">
        <v>2029</v>
      </c>
      <c r="G86" s="233">
        <f t="shared" si="34"/>
        <v>0.18438250033671028</v>
      </c>
      <c r="H86">
        <f t="shared" si="35"/>
        <v>6.3793170254552944E-2</v>
      </c>
      <c r="M86" s="233">
        <v>0.3</v>
      </c>
      <c r="AB86" s="194" t="s">
        <v>527</v>
      </c>
      <c r="AC86">
        <f t="shared" ref="AC86:AE86" si="44">AC42/1000</f>
        <v>1.665</v>
      </c>
      <c r="AD86">
        <f t="shared" si="44"/>
        <v>1.3660000000000001</v>
      </c>
      <c r="AE86">
        <f t="shared" si="44"/>
        <v>0.70899999999999996</v>
      </c>
      <c r="AG86" s="212">
        <f t="shared" si="13"/>
        <v>0.111</v>
      </c>
      <c r="AH86" s="212">
        <f t="shared" si="14"/>
        <v>6.5047619047619049E-2</v>
      </c>
      <c r="AI86" s="212">
        <f t="shared" si="15"/>
        <v>5.672E-2</v>
      </c>
      <c r="AM86">
        <v>2032</v>
      </c>
      <c r="AN86" s="65">
        <f t="shared" ref="AN86:AN93" si="45">AN85+$AS$89</f>
        <v>9.9622911111111115E-2</v>
      </c>
      <c r="AO86" s="65">
        <f t="shared" ref="AO86:AO93" si="46">AO85+$AT$89</f>
        <v>5.8661892857142871E-2</v>
      </c>
      <c r="AP86" s="65">
        <f t="shared" ref="AP86:AP93" si="47">AP85+$AU$89</f>
        <v>4.6485293333333323E-2</v>
      </c>
      <c r="AW86">
        <f t="shared" si="11"/>
        <v>2032</v>
      </c>
      <c r="AX86" s="65">
        <f t="shared" ref="AX86:AX93" si="48">AX85+$BI$84</f>
        <v>0.12792464444444449</v>
      </c>
      <c r="AY86" s="65">
        <f t="shared" ref="AY86:AY93" si="49">AY85+$BJ$84</f>
        <v>8.0970547619047623E-2</v>
      </c>
      <c r="AZ86" s="65">
        <f t="shared" ref="AZ86:AZ93" si="50">AZ85+$BK$84</f>
        <v>7.3268693333333329E-2</v>
      </c>
      <c r="BA86" s="229">
        <f t="shared" ref="BA86:BA93" si="51">BA85+$BL$84</f>
        <v>8.4272400000000025E-2</v>
      </c>
    </row>
    <row r="87" spans="3:64" ht="16" thickBot="1">
      <c r="C87">
        <v>2030</v>
      </c>
      <c r="D87" s="232">
        <f t="shared" si="33"/>
        <v>0.8</v>
      </c>
      <c r="F87">
        <v>2030</v>
      </c>
      <c r="G87" s="309">
        <f>K111</f>
        <v>0.2</v>
      </c>
      <c r="H87">
        <f t="shared" si="35"/>
        <v>6.9696585127276472E-2</v>
      </c>
      <c r="M87" s="233">
        <v>0.4</v>
      </c>
      <c r="AB87" s="194" t="s">
        <v>528</v>
      </c>
      <c r="AC87">
        <f t="shared" ref="AC87:AE87" si="52">AC43/1000</f>
        <v>1.6479999999999999</v>
      </c>
      <c r="AD87">
        <f t="shared" si="52"/>
        <v>1.337</v>
      </c>
      <c r="AE87">
        <f t="shared" si="52"/>
        <v>0.64600000000000002</v>
      </c>
      <c r="AG87" s="212">
        <f t="shared" si="13"/>
        <v>0.10986666666666665</v>
      </c>
      <c r="AH87" s="212">
        <f t="shared" si="14"/>
        <v>6.3666666666666663E-2</v>
      </c>
      <c r="AI87" s="212">
        <f t="shared" si="15"/>
        <v>5.1680000000000004E-2</v>
      </c>
      <c r="AM87">
        <v>2033</v>
      </c>
      <c r="AN87" s="65">
        <f t="shared" si="45"/>
        <v>9.8857422222222227E-2</v>
      </c>
      <c r="AO87" s="65">
        <f t="shared" si="46"/>
        <v>5.8211142857142871E-2</v>
      </c>
      <c r="AP87" s="65">
        <f t="shared" si="47"/>
        <v>4.6128106666666654E-2</v>
      </c>
      <c r="AW87">
        <f t="shared" si="11"/>
        <v>2033</v>
      </c>
      <c r="AX87" s="65">
        <f t="shared" si="48"/>
        <v>0.12694168888888893</v>
      </c>
      <c r="AY87" s="65">
        <f t="shared" si="49"/>
        <v>8.0348380952380949E-2</v>
      </c>
      <c r="AZ87" s="65">
        <f t="shared" si="50"/>
        <v>7.2705706666666661E-2</v>
      </c>
      <c r="BA87" s="229">
        <f t="shared" si="51"/>
        <v>8.3033100000000026E-2</v>
      </c>
    </row>
    <row r="88" spans="3:64" ht="16" thickBot="1">
      <c r="C88">
        <v>2031</v>
      </c>
      <c r="D88" s="232">
        <f t="shared" si="33"/>
        <v>0.78</v>
      </c>
      <c r="F88">
        <v>2031</v>
      </c>
      <c r="G88" s="308">
        <f>G87+$J$90</f>
        <v>0.22</v>
      </c>
      <c r="H88">
        <f t="shared" si="35"/>
        <v>7.5600000000000001E-2</v>
      </c>
      <c r="M88" s="233">
        <v>0.4</v>
      </c>
      <c r="AB88" s="194" t="s">
        <v>529</v>
      </c>
      <c r="AC88">
        <f t="shared" ref="AC88:AE88" si="53">AC44/1000</f>
        <v>1.492</v>
      </c>
      <c r="AD88">
        <f t="shared" si="53"/>
        <v>1.236</v>
      </c>
      <c r="AE88">
        <f t="shared" si="53"/>
        <v>0.56699999999999995</v>
      </c>
      <c r="AG88" s="212">
        <f t="shared" si="13"/>
        <v>9.9466666666666662E-2</v>
      </c>
      <c r="AH88" s="212">
        <f t="shared" si="14"/>
        <v>5.8857142857142858E-2</v>
      </c>
      <c r="AI88" s="212">
        <f t="shared" si="15"/>
        <v>4.5359999999999998E-2</v>
      </c>
      <c r="AM88">
        <v>2034</v>
      </c>
      <c r="AN88" s="65">
        <f t="shared" si="45"/>
        <v>9.8091933333333339E-2</v>
      </c>
      <c r="AO88" s="65">
        <f t="shared" si="46"/>
        <v>5.7760392857142871E-2</v>
      </c>
      <c r="AP88" s="65">
        <f t="shared" si="47"/>
        <v>4.5770919999999986E-2</v>
      </c>
      <c r="AS88" t="s">
        <v>585</v>
      </c>
      <c r="AW88">
        <f t="shared" si="11"/>
        <v>2034</v>
      </c>
      <c r="AX88" s="65">
        <f t="shared" si="48"/>
        <v>0.12595873333333338</v>
      </c>
      <c r="AY88" s="65">
        <f t="shared" si="49"/>
        <v>7.9726214285714275E-2</v>
      </c>
      <c r="AZ88" s="65">
        <f t="shared" si="50"/>
        <v>7.2142719999999994E-2</v>
      </c>
      <c r="BA88" s="229">
        <f t="shared" si="51"/>
        <v>8.1793800000000028E-2</v>
      </c>
    </row>
    <row r="89" spans="3:64" ht="16" thickBot="1">
      <c r="C89">
        <v>2032</v>
      </c>
      <c r="D89" s="232">
        <f t="shared" si="33"/>
        <v>0.76</v>
      </c>
      <c r="F89">
        <v>2032</v>
      </c>
      <c r="G89" s="308">
        <f t="shared" ref="G89:G96" si="54">G88+$J$90</f>
        <v>0.24</v>
      </c>
      <c r="H89">
        <f t="shared" si="35"/>
        <v>8.3159999999999984E-2</v>
      </c>
      <c r="J89" t="s">
        <v>589</v>
      </c>
      <c r="M89" s="233">
        <v>0.4</v>
      </c>
      <c r="AB89" s="194" t="s">
        <v>530</v>
      </c>
      <c r="AC89">
        <f t="shared" ref="AC89:AE89" si="55">AC45/1000</f>
        <v>1.4570000000000001</v>
      </c>
      <c r="AD89">
        <f t="shared" si="55"/>
        <v>1.198</v>
      </c>
      <c r="AE89">
        <f t="shared" si="55"/>
        <v>0.53200000000000003</v>
      </c>
      <c r="AG89" s="212">
        <f t="shared" si="13"/>
        <v>9.7133333333333335E-2</v>
      </c>
      <c r="AH89" s="212">
        <f t="shared" si="14"/>
        <v>5.7047619047619048E-2</v>
      </c>
      <c r="AI89" s="212">
        <f t="shared" si="15"/>
        <v>4.2560000000000001E-2</v>
      </c>
      <c r="AM89">
        <v>2035</v>
      </c>
      <c r="AN89" s="65">
        <f t="shared" si="45"/>
        <v>9.7326444444444452E-2</v>
      </c>
      <c r="AO89" s="65">
        <f t="shared" si="46"/>
        <v>5.7309642857142871E-2</v>
      </c>
      <c r="AP89" s="65">
        <f t="shared" si="47"/>
        <v>4.5413733333333317E-2</v>
      </c>
      <c r="AS89" s="223">
        <f>(AN94-AN84)/(ROW(AN94)-ROW(AN84))</f>
        <v>-7.6548888888888918E-4</v>
      </c>
      <c r="AT89" s="223">
        <f t="shared" ref="AT89:AU89" si="56">(AO94-AO84)/(ROW(AO94)-ROW(AO84))</f>
        <v>-4.5075000000000047E-4</v>
      </c>
      <c r="AU89" s="223">
        <f t="shared" si="56"/>
        <v>-3.5718666666666594E-4</v>
      </c>
      <c r="AW89">
        <f t="shared" si="11"/>
        <v>2035</v>
      </c>
      <c r="AX89" s="65">
        <f t="shared" si="48"/>
        <v>0.12497577777777782</v>
      </c>
      <c r="AY89" s="65">
        <f t="shared" si="49"/>
        <v>7.9104047619047602E-2</v>
      </c>
      <c r="AZ89" s="65">
        <f t="shared" si="50"/>
        <v>7.1579733333333326E-2</v>
      </c>
      <c r="BA89" s="229">
        <f t="shared" si="51"/>
        <v>8.0554500000000029E-2</v>
      </c>
    </row>
    <row r="90" spans="3:64" ht="16" thickBot="1">
      <c r="C90">
        <v>2033</v>
      </c>
      <c r="D90" s="232">
        <f t="shared" si="33"/>
        <v>0.74</v>
      </c>
      <c r="F90">
        <v>2033</v>
      </c>
      <c r="G90" s="308">
        <f t="shared" si="54"/>
        <v>0.26</v>
      </c>
      <c r="H90">
        <f t="shared" si="35"/>
        <v>9.0719999999999995E-2</v>
      </c>
      <c r="J90">
        <f>(G97-G87)/(ROW(G97)-ROW(G87))</f>
        <v>0.02</v>
      </c>
      <c r="M90" s="233">
        <v>0.4</v>
      </c>
      <c r="AB90" s="194" t="s">
        <v>531</v>
      </c>
      <c r="AC90">
        <f t="shared" ref="AC90:AE90" si="57">AC46/1000</f>
        <v>1.51</v>
      </c>
      <c r="AD90">
        <f t="shared" si="57"/>
        <v>1.1930000000000001</v>
      </c>
      <c r="AE90">
        <f t="shared" si="57"/>
        <v>0.55200000000000005</v>
      </c>
      <c r="AG90" s="212">
        <f t="shared" si="13"/>
        <v>0.10066666666666667</v>
      </c>
      <c r="AH90" s="212">
        <f t="shared" si="14"/>
        <v>5.680952380952381E-2</v>
      </c>
      <c r="AI90" s="212">
        <f t="shared" si="15"/>
        <v>4.4160000000000005E-2</v>
      </c>
      <c r="AM90">
        <v>2036</v>
      </c>
      <c r="AN90" s="65">
        <f t="shared" si="45"/>
        <v>9.6560955555555564E-2</v>
      </c>
      <c r="AO90" s="65">
        <f t="shared" si="46"/>
        <v>5.6858892857142872E-2</v>
      </c>
      <c r="AP90" s="65">
        <f t="shared" si="47"/>
        <v>4.5056546666666648E-2</v>
      </c>
      <c r="AW90">
        <f t="shared" si="11"/>
        <v>2036</v>
      </c>
      <c r="AX90" s="65">
        <f t="shared" si="48"/>
        <v>0.12399282222222227</v>
      </c>
      <c r="AY90" s="65">
        <f t="shared" si="49"/>
        <v>7.8481880952380928E-2</v>
      </c>
      <c r="AZ90" s="65">
        <f t="shared" si="50"/>
        <v>7.1016746666666658E-2</v>
      </c>
      <c r="BA90" s="229">
        <f t="shared" si="51"/>
        <v>7.931520000000003E-2</v>
      </c>
    </row>
    <row r="91" spans="3:64" ht="16" thickBot="1">
      <c r="C91">
        <v>2034</v>
      </c>
      <c r="D91" s="232">
        <f t="shared" si="33"/>
        <v>0.72</v>
      </c>
      <c r="F91">
        <v>2034</v>
      </c>
      <c r="G91" s="308">
        <f t="shared" si="54"/>
        <v>0.28000000000000003</v>
      </c>
      <c r="H91">
        <f t="shared" si="35"/>
        <v>9.8279999999999992E-2</v>
      </c>
      <c r="M91" s="233">
        <v>0.4</v>
      </c>
      <c r="AB91" s="194" t="s">
        <v>532</v>
      </c>
      <c r="AC91">
        <f t="shared" ref="AC91:AE91" si="58">AC47/1000</f>
        <v>1.56</v>
      </c>
      <c r="AD91">
        <f t="shared" si="58"/>
        <v>1.218</v>
      </c>
      <c r="AE91">
        <f t="shared" si="58"/>
        <v>0.58599999999999997</v>
      </c>
      <c r="AG91" s="212">
        <f t="shared" si="13"/>
        <v>0.10400000000000001</v>
      </c>
      <c r="AH91" s="212">
        <f t="shared" si="14"/>
        <v>5.7999999999999996E-2</v>
      </c>
      <c r="AI91" s="212">
        <f t="shared" si="15"/>
        <v>4.6879999999999998E-2</v>
      </c>
      <c r="AM91">
        <v>2037</v>
      </c>
      <c r="AN91" s="65">
        <f t="shared" si="45"/>
        <v>9.5795466666666676E-2</v>
      </c>
      <c r="AO91" s="65">
        <f t="shared" si="46"/>
        <v>5.6408142857142872E-2</v>
      </c>
      <c r="AP91" s="65">
        <f t="shared" si="47"/>
        <v>4.469935999999998E-2</v>
      </c>
      <c r="AW91">
        <f t="shared" si="11"/>
        <v>2037</v>
      </c>
      <c r="AX91" s="65">
        <f t="shared" si="48"/>
        <v>0.12300986666666672</v>
      </c>
      <c r="AY91" s="65">
        <f t="shared" si="49"/>
        <v>7.7859714285714254E-2</v>
      </c>
      <c r="AZ91" s="65">
        <f t="shared" si="50"/>
        <v>7.045375999999999E-2</v>
      </c>
      <c r="BA91" s="229">
        <f t="shared" si="51"/>
        <v>7.8075900000000031E-2</v>
      </c>
    </row>
    <row r="92" spans="3:64" ht="16" thickBot="1">
      <c r="C92">
        <v>2035</v>
      </c>
      <c r="D92" s="232">
        <f t="shared" si="33"/>
        <v>0.7</v>
      </c>
      <c r="F92">
        <v>2035</v>
      </c>
      <c r="G92" s="308">
        <f t="shared" si="54"/>
        <v>0.30000000000000004</v>
      </c>
      <c r="H92">
        <f t="shared" si="35"/>
        <v>0.10583999999999999</v>
      </c>
      <c r="J92" s="223"/>
      <c r="M92" s="233">
        <v>0.4</v>
      </c>
      <c r="AB92" s="194" t="s">
        <v>533</v>
      </c>
      <c r="AC92">
        <f t="shared" ref="AC92:AE92" si="59">AC48/1000</f>
        <v>1.5489999999999999</v>
      </c>
      <c r="AD92">
        <f t="shared" si="59"/>
        <v>1.2070000000000001</v>
      </c>
      <c r="AE92">
        <f t="shared" si="59"/>
        <v>0.59399999999999997</v>
      </c>
      <c r="AG92" s="212">
        <f t="shared" si="13"/>
        <v>0.10326666666666666</v>
      </c>
      <c r="AH92" s="212">
        <f t="shared" si="14"/>
        <v>5.7476190476190479E-2</v>
      </c>
      <c r="AI92" s="212">
        <f t="shared" si="15"/>
        <v>4.752E-2</v>
      </c>
      <c r="AM92">
        <v>2038</v>
      </c>
      <c r="AN92" s="65">
        <f t="shared" si="45"/>
        <v>9.5029977777777788E-2</v>
      </c>
      <c r="AO92" s="65">
        <f t="shared" si="46"/>
        <v>5.5957392857142872E-2</v>
      </c>
      <c r="AP92" s="65">
        <f t="shared" si="47"/>
        <v>4.4342173333333311E-2</v>
      </c>
      <c r="AW92">
        <f t="shared" si="11"/>
        <v>2038</v>
      </c>
      <c r="AX92" s="65">
        <f t="shared" si="48"/>
        <v>0.12202691111111116</v>
      </c>
      <c r="AY92" s="65">
        <f t="shared" si="49"/>
        <v>7.7237547619047581E-2</v>
      </c>
      <c r="AZ92" s="65">
        <f t="shared" si="50"/>
        <v>6.9890773333333323E-2</v>
      </c>
      <c r="BA92" s="229">
        <f t="shared" si="51"/>
        <v>7.6836600000000033E-2</v>
      </c>
    </row>
    <row r="93" spans="3:64" ht="16" thickBot="1">
      <c r="C93">
        <v>2036</v>
      </c>
      <c r="D93" s="232">
        <f t="shared" si="33"/>
        <v>0.67999999999999994</v>
      </c>
      <c r="F93">
        <v>2036</v>
      </c>
      <c r="G93" s="308">
        <f t="shared" si="54"/>
        <v>0.32000000000000006</v>
      </c>
      <c r="H93">
        <f t="shared" si="35"/>
        <v>0.11340000000000001</v>
      </c>
      <c r="M93" s="233">
        <v>0.4</v>
      </c>
      <c r="AB93" s="194" t="s">
        <v>534</v>
      </c>
      <c r="AC93">
        <f t="shared" ref="AC93:AE93" si="60">AC49/1000</f>
        <v>1.5720000000000001</v>
      </c>
      <c r="AD93">
        <f t="shared" si="60"/>
        <v>1.2</v>
      </c>
      <c r="AE93">
        <f t="shared" si="60"/>
        <v>0.58299999999999996</v>
      </c>
      <c r="AG93" s="212">
        <f t="shared" si="13"/>
        <v>0.1048</v>
      </c>
      <c r="AH93" s="212">
        <f t="shared" si="14"/>
        <v>5.7142857142857141E-2</v>
      </c>
      <c r="AI93" s="212">
        <f t="shared" si="15"/>
        <v>4.6639999999999994E-2</v>
      </c>
      <c r="AM93">
        <v>2039</v>
      </c>
      <c r="AN93" s="65">
        <f t="shared" si="45"/>
        <v>9.42644888888889E-2</v>
      </c>
      <c r="AO93" s="65">
        <f t="shared" si="46"/>
        <v>5.5506642857142872E-2</v>
      </c>
      <c r="AP93" s="65">
        <f t="shared" si="47"/>
        <v>4.3984986666666642E-2</v>
      </c>
      <c r="AW93">
        <f t="shared" si="11"/>
        <v>2039</v>
      </c>
      <c r="AX93" s="65">
        <f t="shared" si="48"/>
        <v>0.12104395555555561</v>
      </c>
      <c r="AY93" s="65">
        <f t="shared" si="49"/>
        <v>7.6615380952380907E-2</v>
      </c>
      <c r="AZ93" s="65">
        <f t="shared" si="50"/>
        <v>6.9327786666666655E-2</v>
      </c>
      <c r="BA93" s="229">
        <f t="shared" si="51"/>
        <v>7.5597300000000034E-2</v>
      </c>
    </row>
    <row r="94" spans="3:64" ht="16" thickBot="1">
      <c r="C94">
        <v>2037</v>
      </c>
      <c r="D94" s="232">
        <f t="shared" si="33"/>
        <v>0.65999999999999992</v>
      </c>
      <c r="F94">
        <v>2037</v>
      </c>
      <c r="G94" s="308">
        <f t="shared" si="54"/>
        <v>0.34000000000000008</v>
      </c>
      <c r="H94">
        <f t="shared" si="35"/>
        <v>0.12096000000000001</v>
      </c>
      <c r="M94" s="233">
        <v>0.4</v>
      </c>
      <c r="AB94" s="194" t="s">
        <v>535</v>
      </c>
      <c r="AC94">
        <f t="shared" ref="AC94:AE94" si="61">AC50/1000</f>
        <v>1.5660000000000001</v>
      </c>
      <c r="AD94">
        <f t="shared" si="61"/>
        <v>1.1659999999999999</v>
      </c>
      <c r="AE94">
        <f t="shared" si="61"/>
        <v>0.59799999999999998</v>
      </c>
      <c r="AG94" s="212">
        <f t="shared" si="13"/>
        <v>0.10440000000000001</v>
      </c>
      <c r="AH94" s="212">
        <f t="shared" si="14"/>
        <v>5.5523809523809517E-2</v>
      </c>
      <c r="AI94" s="212">
        <f t="shared" si="15"/>
        <v>4.7840000000000001E-2</v>
      </c>
      <c r="AM94" s="5">
        <v>2040</v>
      </c>
      <c r="AN94" s="177">
        <f>AN73*$AU$75/$AU$73</f>
        <v>9.3498999999999999E-2</v>
      </c>
      <c r="AO94" s="177">
        <f t="shared" ref="AO94:AP94" si="62">AO73*$AU$75/$AU$73</f>
        <v>5.5055892857142866E-2</v>
      </c>
      <c r="AP94" s="177">
        <f t="shared" si="62"/>
        <v>4.3627800000000001E-2</v>
      </c>
      <c r="AW94" s="5">
        <f t="shared" si="11"/>
        <v>2040</v>
      </c>
      <c r="AX94" s="177">
        <f>AX76*$BE$75/$BE$73</f>
        <v>0.12006100000000003</v>
      </c>
      <c r="AY94" s="177">
        <f t="shared" ref="AY94:AZ94" si="63">AY76*$BE$75/$BE$73</f>
        <v>7.5993214285714289E-2</v>
      </c>
      <c r="AZ94" s="177">
        <f t="shared" si="63"/>
        <v>6.8764799999999987E-2</v>
      </c>
      <c r="BA94" s="228">
        <f>BA76*$BF$75/$BF$73</f>
        <v>7.4358000000000007E-2</v>
      </c>
    </row>
    <row r="95" spans="3:64" ht="16" thickBot="1">
      <c r="C95">
        <v>2038</v>
      </c>
      <c r="D95" s="232">
        <f t="shared" si="33"/>
        <v>0.6399999999999999</v>
      </c>
      <c r="F95">
        <v>2038</v>
      </c>
      <c r="G95" s="308">
        <f t="shared" si="54"/>
        <v>0.3600000000000001</v>
      </c>
      <c r="H95">
        <f t="shared" si="35"/>
        <v>0.12852000000000002</v>
      </c>
      <c r="AB95" s="194" t="s">
        <v>536</v>
      </c>
      <c r="AC95">
        <f t="shared" ref="AC95:AE95" si="64">AC51/1000</f>
        <v>1.5189999999999999</v>
      </c>
      <c r="AD95">
        <f t="shared" si="64"/>
        <v>1.1559999999999999</v>
      </c>
      <c r="AE95">
        <f t="shared" si="64"/>
        <v>0.621</v>
      </c>
      <c r="AG95" s="212">
        <f t="shared" si="13"/>
        <v>0.10126666666666666</v>
      </c>
      <c r="AH95" s="212">
        <f t="shared" si="14"/>
        <v>5.5047619047619047E-2</v>
      </c>
      <c r="AI95" s="212">
        <f t="shared" si="15"/>
        <v>4.9680000000000002E-2</v>
      </c>
    </row>
    <row r="96" spans="3:64">
      <c r="C96">
        <v>2039</v>
      </c>
      <c r="D96" s="232">
        <f t="shared" si="33"/>
        <v>0.61999999999999988</v>
      </c>
      <c r="F96">
        <v>2039</v>
      </c>
      <c r="G96" s="308">
        <f t="shared" si="54"/>
        <v>0.38000000000000012</v>
      </c>
      <c r="H96">
        <f t="shared" si="35"/>
        <v>0.13608000000000003</v>
      </c>
      <c r="K96" s="307" t="s">
        <v>622</v>
      </c>
      <c r="AB96" s="218" t="s">
        <v>537</v>
      </c>
      <c r="AC96" s="10">
        <f t="shared" ref="AC96:AE96" si="65">AC52/1000</f>
        <v>1.546</v>
      </c>
      <c r="AD96" s="10">
        <f t="shared" si="65"/>
        <v>1.2230000000000001</v>
      </c>
      <c r="AE96" s="10">
        <f t="shared" si="65"/>
        <v>0.61299999999999999</v>
      </c>
      <c r="AF96" s="10"/>
      <c r="AG96" s="219">
        <f t="shared" si="13"/>
        <v>0.10306666666666667</v>
      </c>
      <c r="AH96" s="219">
        <f t="shared" si="14"/>
        <v>5.8238095238095242E-2</v>
      </c>
      <c r="AI96" s="219">
        <f t="shared" si="15"/>
        <v>4.904E-2</v>
      </c>
    </row>
    <row r="97" spans="3:35" ht="16" thickBot="1">
      <c r="C97">
        <v>2040</v>
      </c>
      <c r="D97" s="232">
        <f t="shared" si="33"/>
        <v>0.6</v>
      </c>
      <c r="F97">
        <v>2040</v>
      </c>
      <c r="G97" s="309">
        <f>K112</f>
        <v>0.4</v>
      </c>
      <c r="H97">
        <f t="shared" si="35"/>
        <v>0.14364000000000002</v>
      </c>
      <c r="K97" t="s">
        <v>623</v>
      </c>
      <c r="AB97" s="217" t="s">
        <v>538</v>
      </c>
      <c r="AC97">
        <f t="shared" ref="AC97:AE97" si="66">AC53/1000</f>
        <v>1.573</v>
      </c>
      <c r="AD97">
        <f t="shared" si="66"/>
        <v>1.252</v>
      </c>
      <c r="AE97">
        <f t="shared" si="66"/>
        <v>0.64900000000000002</v>
      </c>
      <c r="AG97" s="212">
        <f t="shared" si="13"/>
        <v>0.10486666666666666</v>
      </c>
      <c r="AH97" s="212">
        <f t="shared" si="14"/>
        <v>5.961904761904762E-2</v>
      </c>
      <c r="AI97" s="212">
        <f t="shared" si="15"/>
        <v>5.1920000000000001E-2</v>
      </c>
    </row>
    <row r="98" spans="3:35" ht="16" thickBot="1">
      <c r="AB98" s="194" t="s">
        <v>539</v>
      </c>
      <c r="AC98">
        <f t="shared" ref="AC98:AE98" si="67">AC54/1000</f>
        <v>1.635</v>
      </c>
      <c r="AD98">
        <f t="shared" si="67"/>
        <v>1.31</v>
      </c>
      <c r="AE98">
        <f t="shared" si="67"/>
        <v>0.67400000000000004</v>
      </c>
      <c r="AG98" s="212">
        <f t="shared" si="13"/>
        <v>0.109</v>
      </c>
      <c r="AH98" s="212">
        <f t="shared" si="14"/>
        <v>6.2380952380952384E-2</v>
      </c>
      <c r="AI98" s="212">
        <f t="shared" si="15"/>
        <v>5.3920000000000003E-2</v>
      </c>
    </row>
    <row r="99" spans="3:35" ht="16" thickBot="1">
      <c r="D99" t="s">
        <v>626</v>
      </c>
      <c r="L99" t="s">
        <v>621</v>
      </c>
      <c r="M99" t="s">
        <v>606</v>
      </c>
      <c r="N99" t="s">
        <v>618</v>
      </c>
      <c r="P99" t="s">
        <v>624</v>
      </c>
      <c r="R99" t="s">
        <v>625</v>
      </c>
      <c r="AB99" s="194" t="s">
        <v>540</v>
      </c>
      <c r="AC99">
        <f t="shared" ref="AC99:AE99" si="68">AC55/1000</f>
        <v>1.7090000000000001</v>
      </c>
      <c r="AD99">
        <f t="shared" si="68"/>
        <v>1.3919999999999999</v>
      </c>
      <c r="AE99">
        <f t="shared" si="68"/>
        <v>0.73799999999999999</v>
      </c>
      <c r="AG99" s="212">
        <f t="shared" si="13"/>
        <v>0.11393333333333334</v>
      </c>
      <c r="AH99" s="212">
        <f t="shared" si="14"/>
        <v>6.6285714285714281E-2</v>
      </c>
      <c r="AI99" s="212">
        <f t="shared" si="15"/>
        <v>5.9040000000000002E-2</v>
      </c>
    </row>
    <row r="100" spans="3:35" ht="16" thickBot="1">
      <c r="K100">
        <v>2019</v>
      </c>
      <c r="L100" s="225">
        <v>8530584</v>
      </c>
      <c r="M100" s="225">
        <v>314563</v>
      </c>
      <c r="N100">
        <f>L100-M100</f>
        <v>8216021</v>
      </c>
      <c r="P100">
        <f>N100/L100</f>
        <v>0.96312526785973851</v>
      </c>
      <c r="R100">
        <f>M100/L100</f>
        <v>3.6874732140261442E-2</v>
      </c>
      <c r="T100">
        <f>SUM(P100,R100)</f>
        <v>1</v>
      </c>
      <c r="AB100" s="194" t="s">
        <v>541</v>
      </c>
      <c r="AC100">
        <f t="shared" ref="AC100:AE100" si="69">AC56/1000</f>
        <v>1.736</v>
      </c>
      <c r="AD100">
        <f t="shared" si="69"/>
        <v>1.385</v>
      </c>
      <c r="AE100">
        <f t="shared" si="69"/>
        <v>0.73699999999999999</v>
      </c>
      <c r="AG100" s="212">
        <f t="shared" si="13"/>
        <v>0.11573333333333333</v>
      </c>
      <c r="AH100" s="212">
        <f t="shared" si="14"/>
        <v>6.5952380952380957E-2</v>
      </c>
      <c r="AI100" s="212">
        <f t="shared" si="15"/>
        <v>5.8959999999999999E-2</v>
      </c>
    </row>
    <row r="101" spans="3:35" ht="16" thickBot="1">
      <c r="D101" t="s">
        <v>851</v>
      </c>
      <c r="K101">
        <v>2020</v>
      </c>
      <c r="L101">
        <v>8677911</v>
      </c>
      <c r="M101">
        <v>402205</v>
      </c>
      <c r="N101">
        <f t="shared" ref="N101:N103" si="70">L101-M101</f>
        <v>8275706</v>
      </c>
      <c r="P101">
        <f t="shared" ref="P101:P103" si="71">N101/L101</f>
        <v>0.95365186391056556</v>
      </c>
      <c r="R101">
        <f t="shared" ref="R101:R103" si="72">M101/L101</f>
        <v>4.634813608943443E-2</v>
      </c>
      <c r="T101">
        <f t="shared" ref="T101:T103" si="73">SUM(P101,R101)</f>
        <v>1</v>
      </c>
      <c r="AB101" s="194" t="s">
        <v>542</v>
      </c>
      <c r="AC101">
        <f t="shared" ref="AC101:AE101" si="74">AC57/1000</f>
        <v>1.768</v>
      </c>
      <c r="AD101">
        <f t="shared" si="74"/>
        <v>1.4039999999999999</v>
      </c>
      <c r="AE101">
        <f t="shared" si="74"/>
        <v>0.74199999999999999</v>
      </c>
      <c r="AG101" s="212">
        <f t="shared" si="13"/>
        <v>0.11786666666666666</v>
      </c>
      <c r="AH101" s="212">
        <f t="shared" si="14"/>
        <v>6.6857142857142851E-2</v>
      </c>
      <c r="AI101" s="212">
        <f t="shared" si="15"/>
        <v>5.9359999999999996E-2</v>
      </c>
    </row>
    <row r="102" spans="3:35" ht="16" thickBot="1">
      <c r="K102">
        <v>2021</v>
      </c>
      <c r="L102">
        <v>8793592</v>
      </c>
      <c r="M102">
        <v>526540</v>
      </c>
      <c r="N102">
        <f t="shared" si="70"/>
        <v>8267052</v>
      </c>
      <c r="P102">
        <f t="shared" si="71"/>
        <v>0.94012230724372925</v>
      </c>
      <c r="R102">
        <f t="shared" si="72"/>
        <v>5.9877692756270702E-2</v>
      </c>
      <c r="T102">
        <f t="shared" si="73"/>
        <v>1</v>
      </c>
      <c r="AB102" s="194" t="s">
        <v>543</v>
      </c>
      <c r="AC102">
        <f t="shared" ref="AC102:AE102" si="75">AC58/1000</f>
        <v>1.768</v>
      </c>
      <c r="AD102">
        <f t="shared" si="75"/>
        <v>1.405</v>
      </c>
      <c r="AE102">
        <f t="shared" si="75"/>
        <v>0.73699999999999999</v>
      </c>
      <c r="AG102" s="212">
        <f t="shared" si="13"/>
        <v>0.11786666666666666</v>
      </c>
      <c r="AH102" s="212">
        <f t="shared" si="14"/>
        <v>6.6904761904761911E-2</v>
      </c>
      <c r="AI102" s="212">
        <f t="shared" si="15"/>
        <v>5.8959999999999999E-2</v>
      </c>
    </row>
    <row r="103" spans="3:35" ht="16" thickBot="1">
      <c r="K103">
        <v>2022</v>
      </c>
      <c r="L103">
        <v>8941456</v>
      </c>
      <c r="M103">
        <v>725610</v>
      </c>
      <c r="N103">
        <f t="shared" si="70"/>
        <v>8215846</v>
      </c>
      <c r="P103">
        <f t="shared" si="71"/>
        <v>0.91884878704318407</v>
      </c>
      <c r="R103">
        <f t="shared" si="72"/>
        <v>8.1151212956815988E-2</v>
      </c>
      <c r="T103">
        <f t="shared" si="73"/>
        <v>1</v>
      </c>
      <c r="AB103" s="194" t="s">
        <v>544</v>
      </c>
      <c r="AC103">
        <f t="shared" ref="AC103:AE103" si="76">AC59/1000</f>
        <v>1.8169999999999999</v>
      </c>
      <c r="AD103">
        <f t="shared" si="76"/>
        <v>1.46</v>
      </c>
      <c r="AE103">
        <f t="shared" si="76"/>
        <v>0.73699999999999999</v>
      </c>
      <c r="AG103" s="212">
        <f t="shared" si="13"/>
        <v>0.12113333333333333</v>
      </c>
      <c r="AH103" s="212">
        <f t="shared" si="14"/>
        <v>6.9523809523809516E-2</v>
      </c>
      <c r="AI103" s="212">
        <f t="shared" si="15"/>
        <v>5.8959999999999999E-2</v>
      </c>
    </row>
    <row r="104" spans="3:35" ht="16" thickBot="1">
      <c r="AB104" s="194" t="s">
        <v>545</v>
      </c>
      <c r="AC104">
        <f t="shared" ref="AC104:AE104" si="77">AC60/1000</f>
        <v>1.8380000000000001</v>
      </c>
      <c r="AD104">
        <f t="shared" si="77"/>
        <v>1.4630000000000001</v>
      </c>
      <c r="AE104">
        <f t="shared" si="77"/>
        <v>0.751</v>
      </c>
      <c r="AG104" s="212">
        <f t="shared" si="13"/>
        <v>0.12253333333333334</v>
      </c>
      <c r="AH104" s="212">
        <f t="shared" si="14"/>
        <v>6.9666666666666668E-2</v>
      </c>
      <c r="AI104" s="212">
        <f t="shared" si="15"/>
        <v>6.0080000000000001E-2</v>
      </c>
    </row>
    <row r="105" spans="3:35" ht="16" thickBot="1">
      <c r="D105" t="s">
        <v>852</v>
      </c>
      <c r="K105" s="306"/>
      <c r="AB105" s="194" t="s">
        <v>546</v>
      </c>
      <c r="AC105">
        <f t="shared" ref="AC105:AE105" si="78">AC61/1000</f>
        <v>1.841</v>
      </c>
      <c r="AD105">
        <f t="shared" si="78"/>
        <v>1.466</v>
      </c>
      <c r="AE105">
        <f t="shared" si="78"/>
        <v>0.76400000000000001</v>
      </c>
      <c r="AG105" s="212">
        <f t="shared" si="13"/>
        <v>0.12273333333333333</v>
      </c>
      <c r="AH105" s="212">
        <f t="shared" si="14"/>
        <v>6.9809523809523807E-2</v>
      </c>
      <c r="AI105" s="212">
        <f t="shared" si="15"/>
        <v>6.1120000000000001E-2</v>
      </c>
    </row>
    <row r="106" spans="3:35" ht="16" thickBot="1">
      <c r="D106" t="s">
        <v>853</v>
      </c>
      <c r="AB106" s="194" t="s">
        <v>547</v>
      </c>
      <c r="AC106">
        <f t="shared" ref="AC106:AE106" si="79">AC62/1000</f>
        <v>1.8740000000000001</v>
      </c>
      <c r="AD106">
        <f t="shared" si="79"/>
        <v>1.5389999999999999</v>
      </c>
      <c r="AE106">
        <f t="shared" si="79"/>
        <v>0.82399999999999995</v>
      </c>
      <c r="AG106" s="212">
        <f t="shared" si="13"/>
        <v>0.12493333333333334</v>
      </c>
      <c r="AH106" s="212">
        <f t="shared" si="14"/>
        <v>7.3285714285714287E-2</v>
      </c>
      <c r="AI106" s="212">
        <f t="shared" si="15"/>
        <v>6.5919999999999992E-2</v>
      </c>
    </row>
    <row r="107" spans="3:35" ht="16" thickBot="1">
      <c r="D107" t="s">
        <v>854</v>
      </c>
      <c r="AB107" s="194" t="s">
        <v>548</v>
      </c>
      <c r="AC107">
        <f t="shared" ref="AC107:AE107" si="80">AC63/1000</f>
        <v>1.978</v>
      </c>
      <c r="AD107">
        <f t="shared" si="80"/>
        <v>1.64</v>
      </c>
      <c r="AE107">
        <f t="shared" si="80"/>
        <v>0.93500000000000005</v>
      </c>
      <c r="AG107" s="212">
        <f t="shared" si="13"/>
        <v>0.13186666666666666</v>
      </c>
      <c r="AH107" s="212">
        <f t="shared" si="14"/>
        <v>7.8095238095238093E-2</v>
      </c>
      <c r="AI107" s="212">
        <f t="shared" si="15"/>
        <v>7.4800000000000005E-2</v>
      </c>
    </row>
    <row r="108" spans="3:35">
      <c r="AB108" s="218" t="s">
        <v>549</v>
      </c>
      <c r="AC108" s="10">
        <f t="shared" ref="AC108:AE108" si="81">AC64/1000</f>
        <v>1.994</v>
      </c>
      <c r="AD108" s="10">
        <f t="shared" si="81"/>
        <v>1.6220000000000001</v>
      </c>
      <c r="AE108" s="10">
        <f t="shared" si="81"/>
        <v>0.93600000000000005</v>
      </c>
      <c r="AF108" s="10"/>
      <c r="AG108" s="219">
        <f t="shared" si="13"/>
        <v>0.13293333333333332</v>
      </c>
      <c r="AH108" s="219">
        <f t="shared" si="14"/>
        <v>7.7238095238095245E-2</v>
      </c>
      <c r="AI108" s="219">
        <f t="shared" si="15"/>
        <v>7.4880000000000002E-2</v>
      </c>
    </row>
    <row r="109" spans="3:35" ht="16" thickBot="1">
      <c r="E109" t="s">
        <v>578</v>
      </c>
      <c r="G109" t="s">
        <v>579</v>
      </c>
      <c r="J109" s="5" t="s">
        <v>857</v>
      </c>
      <c r="L109" s="225"/>
      <c r="M109" s="225"/>
      <c r="AB109" s="217" t="s">
        <v>550</v>
      </c>
      <c r="AC109">
        <f t="shared" ref="AC109:AE109" si="82">AC65/1000</f>
        <v>1.974</v>
      </c>
      <c r="AD109">
        <f t="shared" si="82"/>
        <v>1.613</v>
      </c>
      <c r="AE109">
        <f t="shared" si="82"/>
        <v>0.91200000000000003</v>
      </c>
      <c r="AG109" s="212">
        <f t="shared" si="13"/>
        <v>0.13159999999999999</v>
      </c>
      <c r="AH109" s="212">
        <f t="shared" si="14"/>
        <v>7.6809523809523814E-2</v>
      </c>
      <c r="AI109" s="212">
        <f t="shared" si="15"/>
        <v>7.2959999999999997E-2</v>
      </c>
    </row>
    <row r="110" spans="3:35" ht="16" thickBot="1">
      <c r="E110" t="s">
        <v>855</v>
      </c>
      <c r="F110" t="s">
        <v>856</v>
      </c>
      <c r="G110" t="s">
        <v>855</v>
      </c>
      <c r="H110" t="s">
        <v>856</v>
      </c>
      <c r="J110" t="s">
        <v>855</v>
      </c>
      <c r="K110" t="s">
        <v>856</v>
      </c>
      <c r="AB110" s="194" t="s">
        <v>551</v>
      </c>
      <c r="AC110">
        <f t="shared" ref="AC110:AE110" si="83">AC66/1000</f>
        <v>2.0150000000000001</v>
      </c>
      <c r="AD110">
        <f t="shared" si="83"/>
        <v>1.7170000000000001</v>
      </c>
      <c r="AE110">
        <f t="shared" si="83"/>
        <v>0.92200000000000004</v>
      </c>
      <c r="AG110" s="212">
        <f t="shared" si="13"/>
        <v>0.13433333333333333</v>
      </c>
      <c r="AH110" s="212">
        <f t="shared" si="14"/>
        <v>8.1761904761904772E-2</v>
      </c>
      <c r="AI110" s="212">
        <f t="shared" si="15"/>
        <v>7.3760000000000006E-2</v>
      </c>
    </row>
    <row r="111" spans="3:35" ht="16" thickBot="1">
      <c r="D111">
        <v>2030</v>
      </c>
      <c r="E111">
        <v>0.77</v>
      </c>
      <c r="F111">
        <v>0.23</v>
      </c>
      <c r="G111">
        <v>0.83</v>
      </c>
      <c r="H111">
        <v>0.17</v>
      </c>
      <c r="J111" s="2">
        <f>AVERAGE(E111,G111)</f>
        <v>0.8</v>
      </c>
      <c r="K111" s="2">
        <f>AVERAGE(F111,H111)</f>
        <v>0.2</v>
      </c>
      <c r="AB111" s="194" t="s">
        <v>552</v>
      </c>
      <c r="AC111">
        <f t="shared" ref="AC111:AE111" si="84">AC67/1000</f>
        <v>2.109</v>
      </c>
      <c r="AD111">
        <f t="shared" si="84"/>
        <v>1.798</v>
      </c>
      <c r="AE111">
        <f t="shared" si="84"/>
        <v>0.93799999999999994</v>
      </c>
      <c r="AG111" s="212">
        <f t="shared" si="13"/>
        <v>0.1406</v>
      </c>
      <c r="AH111" s="212">
        <f t="shared" si="14"/>
        <v>8.5619047619047622E-2</v>
      </c>
      <c r="AI111" s="212">
        <f t="shared" si="15"/>
        <v>7.5039999999999996E-2</v>
      </c>
    </row>
    <row r="112" spans="3:35" ht="16" thickBot="1">
      <c r="D112">
        <v>2040</v>
      </c>
      <c r="E112">
        <v>0.48</v>
      </c>
      <c r="F112">
        <v>0.52</v>
      </c>
      <c r="G112">
        <v>0.72</v>
      </c>
      <c r="H112">
        <v>0.28000000000000003</v>
      </c>
      <c r="J112" s="2">
        <f>AVERAGE(E112,G112)</f>
        <v>0.6</v>
      </c>
      <c r="K112" s="2">
        <f>AVERAGE(F112,H112)</f>
        <v>0.4</v>
      </c>
      <c r="AB112" s="194" t="s">
        <v>553</v>
      </c>
      <c r="AC112">
        <f t="shared" ref="AC112:AE112" si="85">AC68/1000</f>
        <v>2.1190000000000002</v>
      </c>
      <c r="AD112">
        <f t="shared" si="85"/>
        <v>2.0409999999999999</v>
      </c>
      <c r="AE112">
        <f t="shared" si="85"/>
        <v>1.1259999999999999</v>
      </c>
      <c r="AG112" s="212">
        <f t="shared" si="13"/>
        <v>0.14126666666666668</v>
      </c>
      <c r="AH112" s="212">
        <f t="shared" si="14"/>
        <v>9.7190476190476188E-2</v>
      </c>
      <c r="AI112" s="212">
        <f t="shared" si="15"/>
        <v>9.0079999999999993E-2</v>
      </c>
    </row>
    <row r="113" spans="28:35" ht="16" thickBot="1">
      <c r="AB113" s="194" t="s">
        <v>554</v>
      </c>
      <c r="AC113">
        <f t="shared" ref="AC113:AE113" si="86">AC69/1000</f>
        <v>2.11</v>
      </c>
      <c r="AD113">
        <f t="shared" si="86"/>
        <v>2.0179999999999998</v>
      </c>
      <c r="AE113">
        <f t="shared" si="86"/>
        <v>1.095</v>
      </c>
      <c r="AG113" s="212">
        <f t="shared" si="13"/>
        <v>0.14066666666666666</v>
      </c>
      <c r="AH113" s="212">
        <f t="shared" si="14"/>
        <v>9.6095238095238081E-2</v>
      </c>
      <c r="AI113" s="212">
        <f t="shared" si="15"/>
        <v>8.7599999999999997E-2</v>
      </c>
    </row>
    <row r="114" spans="28:35" ht="16" thickBot="1">
      <c r="AB114" s="194" t="s">
        <v>555</v>
      </c>
      <c r="AC114">
        <f t="shared" ref="AC114:AE114" si="87">AC70/1000</f>
        <v>2.3109999999999999</v>
      </c>
      <c r="AD114">
        <f t="shared" si="87"/>
        <v>2.012</v>
      </c>
      <c r="AE114">
        <f t="shared" si="87"/>
        <v>1.0389999999999999</v>
      </c>
      <c r="AG114" s="212">
        <f t="shared" si="13"/>
        <v>0.15406666666666666</v>
      </c>
      <c r="AH114" s="212">
        <f t="shared" si="14"/>
        <v>9.5809523809523817E-2</v>
      </c>
      <c r="AI114" s="212">
        <f t="shared" si="15"/>
        <v>8.3119999999999999E-2</v>
      </c>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4504-440F-4FDF-AD81-ACA305898B1D}">
  <dimension ref="A1:AB32"/>
  <sheetViews>
    <sheetView topLeftCell="C1" zoomScale="80" zoomScaleNormal="80" workbookViewId="0">
      <selection activeCell="P21" sqref="P21"/>
    </sheetView>
  </sheetViews>
  <sheetFormatPr baseColWidth="10" defaultColWidth="8.83203125" defaultRowHeight="15"/>
  <sheetData>
    <row r="1" spans="1:28">
      <c r="A1" t="s">
        <v>627</v>
      </c>
    </row>
    <row r="8" spans="1:28">
      <c r="A8" s="5" t="s">
        <v>617</v>
      </c>
      <c r="G8" s="5" t="s">
        <v>616</v>
      </c>
      <c r="L8" s="5" t="s">
        <v>564</v>
      </c>
      <c r="S8" s="5" t="s">
        <v>628</v>
      </c>
      <c r="T8" s="5"/>
      <c r="U8" s="5"/>
      <c r="V8" s="5" t="s">
        <v>629</v>
      </c>
    </row>
    <row r="10" spans="1:28">
      <c r="A10" t="s">
        <v>87</v>
      </c>
      <c r="B10" t="s">
        <v>264</v>
      </c>
      <c r="G10" t="s">
        <v>87</v>
      </c>
      <c r="H10" t="s">
        <v>264</v>
      </c>
      <c r="L10" s="5" t="s">
        <v>569</v>
      </c>
      <c r="M10" t="s">
        <v>264</v>
      </c>
      <c r="S10" t="s">
        <v>87</v>
      </c>
      <c r="T10" t="s">
        <v>618</v>
      </c>
      <c r="V10" t="s">
        <v>87</v>
      </c>
      <c r="W10" t="s">
        <v>606</v>
      </c>
      <c r="AA10" t="s">
        <v>87</v>
      </c>
      <c r="AB10" t="s">
        <v>606</v>
      </c>
    </row>
    <row r="11" spans="1:28">
      <c r="A11">
        <v>2019</v>
      </c>
      <c r="B11" s="212">
        <v>0.1033127296383034</v>
      </c>
      <c r="G11">
        <v>2019</v>
      </c>
      <c r="H11" s="231">
        <v>7.4999999999999997E-2</v>
      </c>
      <c r="L11">
        <v>2019</v>
      </c>
      <c r="M11" s="220">
        <v>7.0000000000000007E-2</v>
      </c>
      <c r="S11">
        <v>2019</v>
      </c>
      <c r="T11" s="231">
        <v>0.96443665662085665</v>
      </c>
      <c r="V11">
        <v>2019</v>
      </c>
      <c r="W11" s="220">
        <v>3.5563343379143388E-2</v>
      </c>
      <c r="AA11">
        <v>2019</v>
      </c>
      <c r="AB11" s="231">
        <v>3.5563343379143388E-2</v>
      </c>
    </row>
    <row r="12" spans="1:28">
      <c r="A12">
        <v>2020</v>
      </c>
      <c r="B12" s="212">
        <v>9.8265123601353088E-2</v>
      </c>
      <c r="G12">
        <v>2020</v>
      </c>
      <c r="H12" s="234">
        <v>8.0600000000000005E-2</v>
      </c>
      <c r="L12">
        <v>2020</v>
      </c>
      <c r="M12" s="220">
        <v>6.9809090909090918E-2</v>
      </c>
      <c r="S12">
        <v>2020</v>
      </c>
      <c r="T12" s="220">
        <v>0.95570486103922025</v>
      </c>
      <c r="V12">
        <v>2020</v>
      </c>
      <c r="W12" s="220">
        <v>4.4295138960779794E-2</v>
      </c>
      <c r="AA12">
        <v>2020</v>
      </c>
      <c r="AB12" s="231">
        <v>4.4295138960779794E-2</v>
      </c>
    </row>
    <row r="13" spans="1:28">
      <c r="A13">
        <v>2021</v>
      </c>
      <c r="B13" s="212">
        <v>0.11287252233498135</v>
      </c>
      <c r="G13">
        <v>2021</v>
      </c>
      <c r="H13" s="234">
        <v>8.6200000000000013E-2</v>
      </c>
      <c r="L13">
        <v>2021</v>
      </c>
      <c r="M13" s="220">
        <v>6.9618181818181829E-2</v>
      </c>
      <c r="S13">
        <v>2021</v>
      </c>
      <c r="T13" s="220">
        <v>0.9435050919879675</v>
      </c>
      <c r="V13">
        <v>2021</v>
      </c>
      <c r="W13" s="220">
        <v>5.6494908012032448E-2</v>
      </c>
      <c r="AA13">
        <v>2021</v>
      </c>
      <c r="AB13" s="231">
        <v>5.6494908012032448E-2</v>
      </c>
    </row>
    <row r="14" spans="1:28">
      <c r="A14">
        <v>2022</v>
      </c>
      <c r="B14" s="212">
        <v>0.13357031485818374</v>
      </c>
      <c r="G14">
        <v>2022</v>
      </c>
      <c r="H14" s="234">
        <v>9.180000000000002E-2</v>
      </c>
      <c r="L14">
        <v>2022</v>
      </c>
      <c r="M14" s="220">
        <v>6.942727272727274E-2</v>
      </c>
      <c r="S14">
        <v>2022</v>
      </c>
      <c r="T14" s="220">
        <v>0.92493999730631815</v>
      </c>
      <c r="V14">
        <v>2022</v>
      </c>
      <c r="W14" s="220">
        <v>7.5060002693681793E-2</v>
      </c>
      <c r="AA14">
        <v>2022</v>
      </c>
      <c r="AB14" s="231">
        <v>7.5060002693681821E-2</v>
      </c>
    </row>
    <row r="15" spans="1:28">
      <c r="A15">
        <v>2023</v>
      </c>
      <c r="B15" s="212">
        <v>0.13231809315638829</v>
      </c>
      <c r="G15">
        <v>2023</v>
      </c>
      <c r="H15" s="234">
        <v>9.1168875000000024E-2</v>
      </c>
      <c r="L15">
        <v>2023</v>
      </c>
      <c r="M15" s="220">
        <v>6.9236363636363651E-2</v>
      </c>
      <c r="S15">
        <v>2023</v>
      </c>
      <c r="T15" s="220">
        <v>0.90932249764302842</v>
      </c>
      <c r="V15">
        <v>2023</v>
      </c>
      <c r="W15" s="220">
        <v>9.067750235697157E-2</v>
      </c>
      <c r="AA15">
        <v>2023</v>
      </c>
      <c r="AB15" s="233">
        <v>0.08</v>
      </c>
    </row>
    <row r="16" spans="1:28">
      <c r="A16">
        <v>2024</v>
      </c>
      <c r="B16" s="212">
        <v>0.13106587145459278</v>
      </c>
      <c r="G16">
        <v>2024</v>
      </c>
      <c r="H16" s="234">
        <v>9.0537750000000028E-2</v>
      </c>
      <c r="L16">
        <v>2024</v>
      </c>
      <c r="M16" s="220">
        <v>6.9045454545454563E-2</v>
      </c>
      <c r="S16">
        <v>2024</v>
      </c>
      <c r="T16" s="220">
        <v>0.89370499797973868</v>
      </c>
      <c r="V16">
        <v>2024</v>
      </c>
      <c r="W16" s="220">
        <v>0.10629500202026135</v>
      </c>
      <c r="AA16">
        <v>2024</v>
      </c>
      <c r="AB16" s="233">
        <v>0.08</v>
      </c>
    </row>
    <row r="17" spans="1:28">
      <c r="A17">
        <v>2025</v>
      </c>
      <c r="B17" s="212">
        <v>0.12981364975279733</v>
      </c>
      <c r="G17">
        <v>2025</v>
      </c>
      <c r="H17" s="234">
        <v>8.9906625000000032E-2</v>
      </c>
      <c r="L17">
        <v>2025</v>
      </c>
      <c r="M17" s="220">
        <v>6.8854545454545474E-2</v>
      </c>
      <c r="S17">
        <v>2025</v>
      </c>
      <c r="T17" s="220">
        <v>0.87808749831644883</v>
      </c>
      <c r="V17">
        <v>2025</v>
      </c>
      <c r="W17" s="220">
        <v>0.12191250168355112</v>
      </c>
      <c r="AA17">
        <v>2025</v>
      </c>
      <c r="AB17" s="233">
        <v>0.08</v>
      </c>
    </row>
    <row r="18" spans="1:28">
      <c r="A18">
        <v>2026</v>
      </c>
      <c r="B18" s="212">
        <v>0.12856142805100187</v>
      </c>
      <c r="G18">
        <v>2026</v>
      </c>
      <c r="H18" s="234">
        <v>8.9275500000000035E-2</v>
      </c>
      <c r="L18">
        <v>2026</v>
      </c>
      <c r="M18" s="220">
        <v>6.8663636363636385E-2</v>
      </c>
      <c r="S18">
        <v>2026</v>
      </c>
      <c r="T18" s="220">
        <v>0.8624699986531591</v>
      </c>
      <c r="V18">
        <v>2026</v>
      </c>
      <c r="W18" s="220">
        <v>0.1375300013468409</v>
      </c>
      <c r="AA18">
        <v>2026</v>
      </c>
      <c r="AB18" s="233">
        <v>0.08</v>
      </c>
    </row>
    <row r="19" spans="1:28">
      <c r="A19">
        <v>2027</v>
      </c>
      <c r="B19" s="212">
        <v>0.12730920634920639</v>
      </c>
      <c r="G19">
        <v>2027</v>
      </c>
      <c r="H19" s="234">
        <v>8.8644375000000039E-2</v>
      </c>
      <c r="L19">
        <v>2027</v>
      </c>
      <c r="M19" s="220">
        <v>6.8472727272727296E-2</v>
      </c>
      <c r="S19">
        <v>2027</v>
      </c>
      <c r="T19" s="220">
        <v>0.84685249898986936</v>
      </c>
      <c r="V19">
        <v>2027</v>
      </c>
      <c r="W19" s="220">
        <v>0.15314750101013069</v>
      </c>
      <c r="AA19">
        <v>2027</v>
      </c>
      <c r="AB19" s="233">
        <v>0.1</v>
      </c>
    </row>
    <row r="20" spans="1:28">
      <c r="A20">
        <v>2028</v>
      </c>
      <c r="B20" s="212">
        <v>0.12605698464741094</v>
      </c>
      <c r="G20">
        <v>2028</v>
      </c>
      <c r="H20" s="234">
        <v>8.8013250000000043E-2</v>
      </c>
      <c r="L20">
        <v>2028</v>
      </c>
      <c r="M20" s="220">
        <v>6.8281818181818207E-2</v>
      </c>
      <c r="S20">
        <v>2028</v>
      </c>
      <c r="T20" s="220">
        <v>0.83123499932657952</v>
      </c>
      <c r="V20">
        <v>2028</v>
      </c>
      <c r="W20" s="220">
        <v>0.16876500067342048</v>
      </c>
      <c r="AA20">
        <v>2028</v>
      </c>
      <c r="AB20" s="233">
        <v>0.13</v>
      </c>
    </row>
    <row r="21" spans="1:28">
      <c r="A21">
        <v>2029</v>
      </c>
      <c r="B21" s="212">
        <v>0.12480476294561547</v>
      </c>
      <c r="G21">
        <v>2029</v>
      </c>
      <c r="H21" s="234">
        <v>8.7382125000000047E-2</v>
      </c>
      <c r="L21">
        <v>2029</v>
      </c>
      <c r="M21" s="220">
        <v>6.8090909090909119E-2</v>
      </c>
      <c r="S21">
        <v>2029</v>
      </c>
      <c r="T21" s="220">
        <v>0.81561749966328967</v>
      </c>
      <c r="V21">
        <v>2029</v>
      </c>
      <c r="W21" s="220">
        <v>0.18438250033671028</v>
      </c>
      <c r="AA21">
        <v>2029</v>
      </c>
      <c r="AB21" s="233">
        <v>0.15</v>
      </c>
    </row>
    <row r="22" spans="1:28">
      <c r="A22">
        <v>2030</v>
      </c>
      <c r="B22" s="212">
        <v>0.12355254124381998</v>
      </c>
      <c r="G22">
        <v>2030</v>
      </c>
      <c r="H22" s="234">
        <v>8.6751000000000023E-2</v>
      </c>
      <c r="L22">
        <v>2030</v>
      </c>
      <c r="M22" s="220">
        <v>6.7900000000000016E-2</v>
      </c>
      <c r="S22">
        <v>2030</v>
      </c>
      <c r="T22" s="220">
        <v>0.8</v>
      </c>
      <c r="V22">
        <v>2030</v>
      </c>
      <c r="W22" s="220">
        <v>0.2</v>
      </c>
      <c r="AA22">
        <v>2030</v>
      </c>
      <c r="AB22" s="233">
        <v>0.3</v>
      </c>
    </row>
    <row r="23" spans="1:28">
      <c r="A23">
        <v>2031</v>
      </c>
      <c r="B23" s="212">
        <v>0.12261754903981269</v>
      </c>
      <c r="G23">
        <v>2031</v>
      </c>
      <c r="H23" s="234">
        <v>8.5511700000000024E-2</v>
      </c>
      <c r="L23">
        <v>2031</v>
      </c>
      <c r="M23" s="220">
        <v>6.7305000000000018E-2</v>
      </c>
      <c r="S23">
        <v>2031</v>
      </c>
      <c r="T23" s="220">
        <v>0.78</v>
      </c>
      <c r="V23">
        <v>2031</v>
      </c>
      <c r="W23" s="220">
        <v>0.22</v>
      </c>
      <c r="AA23">
        <v>2031</v>
      </c>
      <c r="AB23" s="233">
        <v>0.3</v>
      </c>
    </row>
    <row r="24" spans="1:28">
      <c r="A24">
        <v>2032</v>
      </c>
      <c r="B24" s="212">
        <v>0.12168255683580539</v>
      </c>
      <c r="G24">
        <v>2032</v>
      </c>
      <c r="H24" s="234">
        <v>8.4272400000000025E-2</v>
      </c>
      <c r="L24">
        <v>2032</v>
      </c>
      <c r="M24" s="220">
        <v>6.6710000000000019E-2</v>
      </c>
      <c r="S24">
        <v>2032</v>
      </c>
      <c r="T24" s="220">
        <v>0.76</v>
      </c>
      <c r="V24">
        <v>2032</v>
      </c>
      <c r="W24" s="220">
        <v>0.24</v>
      </c>
      <c r="AA24">
        <v>2032</v>
      </c>
      <c r="AB24" s="233">
        <v>0.3</v>
      </c>
    </row>
    <row r="25" spans="1:28">
      <c r="A25">
        <v>2033</v>
      </c>
      <c r="B25" s="212">
        <v>0.1207475646317981</v>
      </c>
      <c r="G25">
        <v>2033</v>
      </c>
      <c r="H25" s="234">
        <v>8.3033100000000026E-2</v>
      </c>
      <c r="L25">
        <v>2033</v>
      </c>
      <c r="M25" s="220">
        <v>6.6115000000000021E-2</v>
      </c>
      <c r="S25">
        <v>2033</v>
      </c>
      <c r="T25" s="220">
        <v>0.74</v>
      </c>
      <c r="V25">
        <v>2033</v>
      </c>
      <c r="W25" s="220">
        <v>0.26</v>
      </c>
      <c r="AA25">
        <v>2033</v>
      </c>
      <c r="AB25" s="233">
        <v>0.4</v>
      </c>
    </row>
    <row r="26" spans="1:28">
      <c r="A26">
        <v>2034</v>
      </c>
      <c r="B26" s="212">
        <v>0.11981257242779084</v>
      </c>
      <c r="G26">
        <v>2034</v>
      </c>
      <c r="H26" s="234">
        <v>8.1793800000000028E-2</v>
      </c>
      <c r="L26">
        <v>2034</v>
      </c>
      <c r="M26" s="220">
        <v>6.5520000000000023E-2</v>
      </c>
      <c r="S26">
        <v>2034</v>
      </c>
      <c r="T26" s="220">
        <v>0.72</v>
      </c>
      <c r="V26">
        <v>2034</v>
      </c>
      <c r="W26" s="220">
        <v>0.28000000000000003</v>
      </c>
      <c r="AA26">
        <v>2034</v>
      </c>
      <c r="AB26" s="233">
        <v>0.4</v>
      </c>
    </row>
    <row r="27" spans="1:28">
      <c r="A27">
        <v>2035</v>
      </c>
      <c r="B27" s="212">
        <v>0.11887758022378354</v>
      </c>
      <c r="G27">
        <v>2035</v>
      </c>
      <c r="H27" s="234">
        <v>8.0554500000000029E-2</v>
      </c>
      <c r="L27">
        <v>2035</v>
      </c>
      <c r="M27" s="220">
        <v>6.4925000000000024E-2</v>
      </c>
      <c r="S27">
        <v>2035</v>
      </c>
      <c r="T27" s="220">
        <v>0.7</v>
      </c>
      <c r="V27">
        <v>2035</v>
      </c>
      <c r="W27" s="220">
        <v>0.30000000000000004</v>
      </c>
      <c r="AA27">
        <v>2035</v>
      </c>
      <c r="AB27" s="233">
        <v>0.4</v>
      </c>
    </row>
    <row r="28" spans="1:28">
      <c r="A28">
        <v>2036</v>
      </c>
      <c r="B28" s="212">
        <v>0.11794258801977625</v>
      </c>
      <c r="G28">
        <v>2036</v>
      </c>
      <c r="H28" s="234">
        <v>7.931520000000003E-2</v>
      </c>
      <c r="L28">
        <v>2036</v>
      </c>
      <c r="M28" s="220">
        <v>6.4330000000000026E-2</v>
      </c>
      <c r="S28">
        <v>2036</v>
      </c>
      <c r="T28" s="220">
        <v>0.67999999999999994</v>
      </c>
      <c r="V28">
        <v>2036</v>
      </c>
      <c r="W28" s="220">
        <v>0.32000000000000006</v>
      </c>
      <c r="AA28">
        <v>2036</v>
      </c>
      <c r="AB28" s="233">
        <v>0.4</v>
      </c>
    </row>
    <row r="29" spans="1:28">
      <c r="A29">
        <v>2037</v>
      </c>
      <c r="B29" s="212">
        <v>0.11700759581576897</v>
      </c>
      <c r="G29">
        <v>2037</v>
      </c>
      <c r="H29" s="234">
        <v>7.8075900000000031E-2</v>
      </c>
      <c r="L29">
        <v>2037</v>
      </c>
      <c r="M29" s="220">
        <v>6.3735000000000028E-2</v>
      </c>
      <c r="S29">
        <v>2037</v>
      </c>
      <c r="T29" s="220">
        <v>0.65999999999999992</v>
      </c>
      <c r="V29">
        <v>2037</v>
      </c>
      <c r="W29" s="220">
        <v>0.34000000000000008</v>
      </c>
      <c r="AA29">
        <v>2037</v>
      </c>
      <c r="AB29" s="233">
        <v>0.4</v>
      </c>
    </row>
    <row r="30" spans="1:28">
      <c r="A30">
        <v>2038</v>
      </c>
      <c r="B30" s="212">
        <v>0.11607260361176168</v>
      </c>
      <c r="G30">
        <v>2038</v>
      </c>
      <c r="H30" s="234">
        <v>7.6836600000000033E-2</v>
      </c>
      <c r="L30">
        <v>2038</v>
      </c>
      <c r="M30" s="220">
        <v>6.3140000000000029E-2</v>
      </c>
      <c r="S30">
        <v>2038</v>
      </c>
      <c r="T30" s="220">
        <v>0.6399999999999999</v>
      </c>
      <c r="V30">
        <v>2038</v>
      </c>
      <c r="W30" s="220">
        <v>0.3600000000000001</v>
      </c>
      <c r="AA30">
        <v>2038</v>
      </c>
      <c r="AB30" s="233">
        <v>0.4</v>
      </c>
    </row>
    <row r="31" spans="1:28">
      <c r="A31">
        <v>2039</v>
      </c>
      <c r="B31" s="212">
        <v>0.1151376114077544</v>
      </c>
      <c r="G31">
        <v>2039</v>
      </c>
      <c r="H31" s="234">
        <v>7.5597300000000034E-2</v>
      </c>
      <c r="L31">
        <v>2039</v>
      </c>
      <c r="M31" s="220">
        <v>6.2545000000000031E-2</v>
      </c>
      <c r="S31">
        <v>2039</v>
      </c>
      <c r="T31" s="220">
        <v>0.61999999999999988</v>
      </c>
      <c r="V31">
        <v>2039</v>
      </c>
      <c r="W31" s="220">
        <v>0.38000000000000012</v>
      </c>
      <c r="AA31">
        <v>2039</v>
      </c>
      <c r="AB31" s="233">
        <v>0.4</v>
      </c>
    </row>
    <row r="32" spans="1:28">
      <c r="A32">
        <v>2040</v>
      </c>
      <c r="B32" s="212">
        <v>0.11420261920374709</v>
      </c>
      <c r="G32">
        <v>2040</v>
      </c>
      <c r="H32" s="234">
        <v>7.4358000000000007E-2</v>
      </c>
      <c r="L32">
        <v>2040</v>
      </c>
      <c r="M32" s="220">
        <v>6.1950000000000005E-2</v>
      </c>
      <c r="S32">
        <v>2040</v>
      </c>
      <c r="T32" s="220">
        <v>0.6</v>
      </c>
      <c r="V32">
        <v>2040</v>
      </c>
      <c r="W32" s="220">
        <v>0.4</v>
      </c>
      <c r="AA32">
        <v>2040</v>
      </c>
      <c r="AB32" s="233">
        <v>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E98A-83BE-44ED-A047-98A2F863F1FA}">
  <sheetPr>
    <tabColor rgb="FF7030A0"/>
  </sheetPr>
  <dimension ref="A1:M148"/>
  <sheetViews>
    <sheetView topLeftCell="A13" zoomScale="80" zoomScaleNormal="80" workbookViewId="0">
      <selection activeCell="E12" sqref="E12"/>
    </sheetView>
  </sheetViews>
  <sheetFormatPr baseColWidth="10" defaultColWidth="8.83203125" defaultRowHeight="15"/>
  <cols>
    <col min="1" max="1" width="24.6640625" bestFit="1" customWidth="1"/>
    <col min="2" max="2" width="31.1640625" bestFit="1" customWidth="1"/>
    <col min="4" max="4" width="33.1640625" bestFit="1" customWidth="1"/>
  </cols>
  <sheetData>
    <row r="1" spans="1:9">
      <c r="A1" s="5" t="s">
        <v>97</v>
      </c>
    </row>
    <row r="2" spans="1:9">
      <c r="A2" s="10" t="s">
        <v>108</v>
      </c>
    </row>
    <row r="3" spans="1:9">
      <c r="A3" t="s">
        <v>4</v>
      </c>
      <c r="B3" s="65">
        <f>Movements!G31</f>
        <v>0.48533041500582946</v>
      </c>
    </row>
    <row r="4" spans="1:9">
      <c r="A4" s="84" t="s">
        <v>207</v>
      </c>
      <c r="B4" s="65">
        <f>Movements!H31</f>
        <v>5.9284784030894967E-2</v>
      </c>
    </row>
    <row r="5" spans="1:9">
      <c r="A5" s="84" t="s">
        <v>187</v>
      </c>
      <c r="B5" s="65">
        <f>Movements!I31</f>
        <v>0</v>
      </c>
    </row>
    <row r="6" spans="1:9">
      <c r="A6" t="s">
        <v>30</v>
      </c>
      <c r="B6" s="65">
        <f>Movements!J31</f>
        <v>0.29139912307616445</v>
      </c>
    </row>
    <row r="7" spans="1:9">
      <c r="A7" s="84" t="s">
        <v>208</v>
      </c>
      <c r="B7" s="65">
        <f>Movements!K31</f>
        <v>0.16398567788711121</v>
      </c>
    </row>
    <row r="8" spans="1:9">
      <c r="A8" s="84" t="s">
        <v>209</v>
      </c>
      <c r="B8" s="65">
        <f>Movements!L31</f>
        <v>0</v>
      </c>
    </row>
    <row r="9" spans="1:9">
      <c r="B9" s="2"/>
    </row>
    <row r="11" spans="1:9">
      <c r="A11" s="10" t="s">
        <v>109</v>
      </c>
      <c r="B11" s="10" t="s">
        <v>28</v>
      </c>
      <c r="C11" s="88" t="s">
        <v>186</v>
      </c>
      <c r="D11" s="88" t="s">
        <v>187</v>
      </c>
      <c r="E11" s="10" t="s">
        <v>30</v>
      </c>
      <c r="F11" s="88" t="s">
        <v>188</v>
      </c>
      <c r="G11" s="88" t="s">
        <v>211</v>
      </c>
    </row>
    <row r="12" spans="1:9">
      <c r="A12" s="86" t="s">
        <v>90</v>
      </c>
      <c r="B12" s="85">
        <f>Movements!G31</f>
        <v>0.48533041500582946</v>
      </c>
      <c r="C12" s="85">
        <f>Movements!H31</f>
        <v>5.9284784030894967E-2</v>
      </c>
      <c r="D12" s="85">
        <f>Movements!I31</f>
        <v>0</v>
      </c>
      <c r="E12" s="85">
        <f>Movements!J31</f>
        <v>0.29139912307616445</v>
      </c>
      <c r="F12" s="85">
        <f>Movements!K31</f>
        <v>0.16398567788711121</v>
      </c>
      <c r="G12" s="85">
        <f>Movements!L31</f>
        <v>0</v>
      </c>
      <c r="I12" s="2">
        <f>SUM(B12:G12)</f>
        <v>1</v>
      </c>
    </row>
    <row r="13" spans="1:9">
      <c r="A13" t="s">
        <v>91</v>
      </c>
      <c r="B13" s="2">
        <f>Movements!G32</f>
        <v>0.47427628864303556</v>
      </c>
      <c r="C13" s="2">
        <f>Movements!H32</f>
        <v>0.20536914155981814</v>
      </c>
      <c r="D13" s="2">
        <f>Movements!I32</f>
        <v>0</v>
      </c>
      <c r="E13" s="2">
        <f>Movements!J32</f>
        <v>0.88917006924130459</v>
      </c>
      <c r="F13" s="2">
        <f>Movements!K32</f>
        <v>0.96580345533404954</v>
      </c>
      <c r="G13" s="2">
        <f>Movements!L32</f>
        <v>0</v>
      </c>
    </row>
    <row r="14" spans="1:9">
      <c r="A14" t="s">
        <v>92</v>
      </c>
      <c r="B14" s="2">
        <f>Movements!G33</f>
        <v>0.16828105307353827</v>
      </c>
      <c r="C14" s="2">
        <f>Movements!H33</f>
        <v>0.17079382821323244</v>
      </c>
      <c r="D14" s="2">
        <f>Movements!I33</f>
        <v>0</v>
      </c>
      <c r="E14" s="2">
        <f>Movements!J33</f>
        <v>7.3569748629850593E-2</v>
      </c>
      <c r="F14" s="2">
        <f>Movements!K33</f>
        <v>2.8024839067394284E-2</v>
      </c>
      <c r="G14" s="2">
        <f>Movements!L33</f>
        <v>0</v>
      </c>
    </row>
    <row r="15" spans="1:9">
      <c r="A15" t="s">
        <v>93</v>
      </c>
      <c r="B15" s="2">
        <f>Movements!G34</f>
        <v>0.22046173287339677</v>
      </c>
      <c r="C15" s="2">
        <f>Movements!H34</f>
        <v>0.32719686145603344</v>
      </c>
      <c r="D15" s="2">
        <f>Movements!I34</f>
        <v>0</v>
      </c>
      <c r="E15" s="2">
        <f>Movements!J34</f>
        <v>3.1180826777990136E-2</v>
      </c>
      <c r="F15" s="2">
        <f>Movements!K34</f>
        <v>6.023286004394615E-3</v>
      </c>
      <c r="G15" s="2">
        <f>Movements!L34</f>
        <v>0</v>
      </c>
    </row>
    <row r="16" spans="1:9">
      <c r="A16" t="s">
        <v>94</v>
      </c>
      <c r="B16" s="2">
        <f>Movements!G35</f>
        <v>0.13698092541002929</v>
      </c>
      <c r="C16" s="2">
        <f>Movements!H35</f>
        <v>0.29664016877091587</v>
      </c>
      <c r="D16" s="2">
        <f>Movements!I35</f>
        <v>0</v>
      </c>
      <c r="E16" s="2">
        <f>Movements!J35</f>
        <v>6.0793553508544816E-3</v>
      </c>
      <c r="F16" s="2">
        <f>Movements!K35</f>
        <v>1.4841959416165418E-4</v>
      </c>
      <c r="G16" s="2">
        <f>Movements!L35</f>
        <v>0</v>
      </c>
    </row>
    <row r="22" spans="1:13">
      <c r="A22" s="10" t="s">
        <v>116</v>
      </c>
    </row>
    <row r="23" spans="1:13">
      <c r="A23" s="10" t="s">
        <v>198</v>
      </c>
      <c r="B23" s="10" t="s">
        <v>199</v>
      </c>
      <c r="C23" s="10" t="s">
        <v>28</v>
      </c>
      <c r="D23" t="s">
        <v>268</v>
      </c>
      <c r="F23" s="10" t="s">
        <v>5</v>
      </c>
      <c r="G23" s="88" t="s">
        <v>188</v>
      </c>
      <c r="J23" s="88" t="s">
        <v>189</v>
      </c>
      <c r="L23" s="88" t="s">
        <v>186</v>
      </c>
      <c r="M23" s="88" t="s">
        <v>187</v>
      </c>
    </row>
    <row r="24" spans="1:13">
      <c r="A24">
        <v>1</v>
      </c>
      <c r="B24" t="s">
        <v>175</v>
      </c>
      <c r="C24" s="65">
        <v>0.12842369875000584</v>
      </c>
      <c r="D24">
        <v>0.24993489839782893</v>
      </c>
      <c r="F24" s="65">
        <v>0.18372322677112388</v>
      </c>
      <c r="G24" s="65">
        <v>5.8426324656116378E-2</v>
      </c>
      <c r="J24" s="65">
        <v>0.39115548061490174</v>
      </c>
      <c r="L24" s="65">
        <v>0.43119142180110398</v>
      </c>
      <c r="M24" s="65">
        <v>0.24279658294151141</v>
      </c>
    </row>
    <row r="25" spans="1:13">
      <c r="A25">
        <v>1</v>
      </c>
      <c r="B25" t="s">
        <v>176</v>
      </c>
      <c r="C25" s="65">
        <v>3.6643731523790544E-2</v>
      </c>
      <c r="D25">
        <v>0.16984167333493388</v>
      </c>
      <c r="F25" s="65">
        <v>0.15190890157014866</v>
      </c>
      <c r="G25" s="65">
        <v>7.2742640489816726E-2</v>
      </c>
      <c r="J25" s="65">
        <v>6.2595442432343593E-2</v>
      </c>
      <c r="L25" s="65">
        <v>0.17687219820080799</v>
      </c>
      <c r="M25" s="65">
        <v>0.16956479444873546</v>
      </c>
    </row>
    <row r="26" spans="1:13">
      <c r="A26">
        <v>1</v>
      </c>
      <c r="B26" t="s">
        <v>177</v>
      </c>
      <c r="C26" s="65">
        <v>0.30525841181989827</v>
      </c>
      <c r="D26">
        <v>0.25451004338942151</v>
      </c>
      <c r="F26" s="65">
        <v>0.31126654007310478</v>
      </c>
      <c r="G26" s="65">
        <v>0.51961860726253872</v>
      </c>
      <c r="J26" s="65">
        <v>0.25814551885021614</v>
      </c>
      <c r="L26" s="65">
        <v>0.1826533849805253</v>
      </c>
      <c r="M26" s="65">
        <v>0.25733993047833104</v>
      </c>
    </row>
    <row r="27" spans="1:13">
      <c r="A27">
        <v>1</v>
      </c>
      <c r="B27" t="s">
        <v>200</v>
      </c>
      <c r="C27" s="65">
        <v>0.35087673223076915</v>
      </c>
      <c r="D27">
        <v>0.2662807416046481</v>
      </c>
      <c r="F27" s="65">
        <v>0.25858344493103441</v>
      </c>
      <c r="G27" s="65">
        <v>0.26427519624068424</v>
      </c>
      <c r="J27" s="65">
        <v>0.20846156380725234</v>
      </c>
      <c r="L27" s="65">
        <v>0.18407414427902233</v>
      </c>
      <c r="M27" s="65">
        <v>0.2695182340451005</v>
      </c>
    </row>
    <row r="28" spans="1:13">
      <c r="A28" s="10">
        <v>1</v>
      </c>
      <c r="B28" s="10" t="s">
        <v>210</v>
      </c>
      <c r="C28" s="87">
        <v>0.17879742567553619</v>
      </c>
      <c r="D28">
        <v>5.9432643273167537E-2</v>
      </c>
      <c r="F28" s="87">
        <v>9.4517886654588226E-2</v>
      </c>
      <c r="G28" s="87">
        <v>8.4937231350843884E-2</v>
      </c>
      <c r="J28" s="87">
        <v>7.9641994295286053E-2</v>
      </c>
      <c r="L28" s="87">
        <v>2.5208850738539942E-2</v>
      </c>
      <c r="M28" s="87">
        <v>6.0780458086321605E-2</v>
      </c>
    </row>
    <row r="29" spans="1:13">
      <c r="A29">
        <v>2</v>
      </c>
      <c r="B29" t="s">
        <v>175</v>
      </c>
      <c r="C29" s="65">
        <v>0.28873417701762927</v>
      </c>
      <c r="D29">
        <v>0.37132651949674061</v>
      </c>
      <c r="F29" s="65">
        <v>0.34193606273701815</v>
      </c>
      <c r="G29" s="65">
        <v>1.8502550448930344E-2</v>
      </c>
      <c r="J29" s="65">
        <v>0.60358681575978779</v>
      </c>
      <c r="L29" s="65">
        <v>0.46513234969558009</v>
      </c>
      <c r="M29" s="65">
        <v>0.34344251302396794</v>
      </c>
    </row>
    <row r="30" spans="1:13">
      <c r="A30">
        <v>2</v>
      </c>
      <c r="B30" t="s">
        <v>176</v>
      </c>
      <c r="C30" s="65">
        <v>2.5579498107721595E-2</v>
      </c>
      <c r="D30">
        <v>0.19246663256374721</v>
      </c>
      <c r="F30" s="65">
        <v>0.20326577648753172</v>
      </c>
      <c r="G30" s="65">
        <v>2.6528980750069302E-3</v>
      </c>
      <c r="J30" s="65">
        <v>8.1552998972320156E-2</v>
      </c>
      <c r="L30" s="65">
        <v>0.19379622722719253</v>
      </c>
      <c r="M30" s="65">
        <v>0.19207140738293399</v>
      </c>
    </row>
    <row r="31" spans="1:13">
      <c r="A31">
        <v>2</v>
      </c>
      <c r="B31" t="s">
        <v>177</v>
      </c>
      <c r="C31" s="65">
        <v>0.34605201833337934</v>
      </c>
      <c r="D31">
        <v>0.20680874697049056</v>
      </c>
      <c r="F31" s="65">
        <v>0.32856200354405801</v>
      </c>
      <c r="G31" s="65">
        <v>0.94184374377650015</v>
      </c>
      <c r="J31" s="65">
        <v>0.16259051351718842</v>
      </c>
      <c r="L31" s="65">
        <v>0.19371903296194684</v>
      </c>
      <c r="M31" s="65">
        <v>0.21069969563932389</v>
      </c>
    </row>
    <row r="32" spans="1:13">
      <c r="A32">
        <v>2</v>
      </c>
      <c r="B32" t="s">
        <v>200</v>
      </c>
      <c r="C32" s="65">
        <v>0.20486092200890596</v>
      </c>
      <c r="D32">
        <v>0.18312545669046792</v>
      </c>
      <c r="F32" s="65">
        <v>8.9544794824668539E-2</v>
      </c>
      <c r="G32" s="65">
        <v>2.3934196856794637E-2</v>
      </c>
      <c r="J32" s="65">
        <v>8.8787812880767689E-2</v>
      </c>
      <c r="L32" s="65">
        <v>0.10001808976235745</v>
      </c>
      <c r="M32" s="65">
        <v>0.20782931947219938</v>
      </c>
    </row>
    <row r="33" spans="1:13">
      <c r="A33" s="10">
        <v>2</v>
      </c>
      <c r="B33" s="10" t="s">
        <v>179</v>
      </c>
      <c r="C33" s="87">
        <v>0.13477338453236373</v>
      </c>
      <c r="D33">
        <v>4.6272644278553619E-2</v>
      </c>
      <c r="F33" s="87">
        <v>3.66913624067235E-2</v>
      </c>
      <c r="G33" s="87">
        <v>1.3066610842767926E-2</v>
      </c>
      <c r="J33" s="87">
        <v>6.3481858869936111E-2</v>
      </c>
      <c r="L33" s="87">
        <v>4.7334300352923228E-2</v>
      </c>
      <c r="M33" s="87">
        <v>4.59570644815748E-2</v>
      </c>
    </row>
    <row r="34" spans="1:13">
      <c r="A34">
        <v>3</v>
      </c>
      <c r="B34" t="s">
        <v>175</v>
      </c>
      <c r="C34" s="65">
        <v>0.4142203791916757</v>
      </c>
      <c r="D34">
        <v>0.46036208868670975</v>
      </c>
      <c r="F34" s="65">
        <v>0.17615397918876244</v>
      </c>
      <c r="G34" s="65">
        <v>2.9361922597332821E-2</v>
      </c>
      <c r="J34" s="65">
        <v>0.67219407845290191</v>
      </c>
      <c r="L34" s="65">
        <v>0.50683950952301482</v>
      </c>
      <c r="M34" s="65">
        <v>0.38207825209915536</v>
      </c>
    </row>
    <row r="35" spans="1:13">
      <c r="A35">
        <v>3</v>
      </c>
      <c r="B35" t="s">
        <v>176</v>
      </c>
      <c r="C35" s="65">
        <v>2.3700351709259836E-2</v>
      </c>
      <c r="D35">
        <v>0.24967828532569522</v>
      </c>
      <c r="F35" s="65">
        <v>9.9069682877698476E-2</v>
      </c>
      <c r="G35" s="65">
        <v>0</v>
      </c>
      <c r="J35" s="65">
        <v>6.3015152395316104E-2</v>
      </c>
      <c r="L35" s="65">
        <v>0.21589903325479856</v>
      </c>
      <c r="M35" s="65">
        <v>0.30657407260445668</v>
      </c>
    </row>
    <row r="36" spans="1:13">
      <c r="A36">
        <v>3</v>
      </c>
      <c r="B36" t="s">
        <v>177</v>
      </c>
      <c r="C36" s="65">
        <v>0.32172166609937658</v>
      </c>
      <c r="D36">
        <v>0.18755825311488078</v>
      </c>
      <c r="F36" s="65">
        <v>0.67705306380650598</v>
      </c>
      <c r="G36" s="65">
        <v>0.9644980204457394</v>
      </c>
      <c r="J36" s="65">
        <v>0.12289892682501052</v>
      </c>
      <c r="L36" s="65">
        <v>0.17851311073315593</v>
      </c>
      <c r="M36" s="65">
        <v>0.20279335943921881</v>
      </c>
    </row>
    <row r="37" spans="1:13">
      <c r="A37">
        <v>3</v>
      </c>
      <c r="B37" t="s">
        <v>200</v>
      </c>
      <c r="C37" s="65">
        <v>0.1454219300437154</v>
      </c>
      <c r="D37">
        <v>7.7502857622579427E-2</v>
      </c>
      <c r="F37" s="65">
        <v>2.81690192928543E-2</v>
      </c>
      <c r="G37" s="65">
        <v>6.1400569569279011E-3</v>
      </c>
      <c r="J37" s="65">
        <v>7.6883061433577496E-2</v>
      </c>
      <c r="L37" s="65">
        <v>7.5406655105021883E-2</v>
      </c>
      <c r="M37" s="65">
        <v>8.1033577967773607E-2</v>
      </c>
    </row>
    <row r="38" spans="1:13">
      <c r="A38" s="10">
        <v>3</v>
      </c>
      <c r="B38" s="10" t="s">
        <v>179</v>
      </c>
      <c r="C38" s="87">
        <v>9.4935672955972578E-2</v>
      </c>
      <c r="D38">
        <v>2.4898515250134798E-2</v>
      </c>
      <c r="F38" s="87">
        <v>1.9554254834178934E-2</v>
      </c>
      <c r="G38" s="87">
        <v>0</v>
      </c>
      <c r="J38" s="87">
        <v>6.5008780893193938E-2</v>
      </c>
      <c r="L38" s="87">
        <v>2.3341691384008788E-2</v>
      </c>
      <c r="M38" s="87">
        <v>2.7520737889395651E-2</v>
      </c>
    </row>
    <row r="39" spans="1:13">
      <c r="A39">
        <v>4</v>
      </c>
      <c r="B39" t="s">
        <v>175</v>
      </c>
      <c r="C39" s="65">
        <v>0.40636272629224934</v>
      </c>
      <c r="D39">
        <v>0.38690620366225009</v>
      </c>
      <c r="F39" s="65">
        <v>1.521568583785809E-2</v>
      </c>
      <c r="G39" s="65">
        <v>0.36216829262431754</v>
      </c>
      <c r="J39" s="65">
        <v>0.67721099446017374</v>
      </c>
      <c r="L39" s="65">
        <v>0.39554654072673323</v>
      </c>
      <c r="M39" s="65">
        <v>0.2515777272353496</v>
      </c>
    </row>
    <row r="40" spans="1:13">
      <c r="A40">
        <v>4</v>
      </c>
      <c r="B40" t="s">
        <v>176</v>
      </c>
      <c r="C40" s="65">
        <v>2.2203419641304845E-2</v>
      </c>
      <c r="D40">
        <v>0.18934138232612563</v>
      </c>
      <c r="F40" s="65">
        <v>0</v>
      </c>
      <c r="G40" s="65">
        <v>0.51328099700543972</v>
      </c>
      <c r="J40" s="65">
        <v>1.8580025385445651E-2</v>
      </c>
      <c r="L40" s="65">
        <v>0.17709581459202234</v>
      </c>
      <c r="M40" s="65">
        <v>0.38113644912399086</v>
      </c>
    </row>
    <row r="41" spans="1:13">
      <c r="A41">
        <v>4</v>
      </c>
      <c r="B41" t="s">
        <v>177</v>
      </c>
      <c r="C41" s="65">
        <v>0.41934813303407026</v>
      </c>
      <c r="D41">
        <v>0.31840061419808396</v>
      </c>
      <c r="F41" s="65">
        <v>0.96161976358461143</v>
      </c>
      <c r="G41" s="65">
        <v>0.12455071037024282</v>
      </c>
      <c r="J41" s="65">
        <v>0.22443105345401412</v>
      </c>
      <c r="L41" s="65">
        <v>0.32287678779555395</v>
      </c>
      <c r="M41" s="65">
        <v>0.24829296114622143</v>
      </c>
    </row>
    <row r="42" spans="1:13">
      <c r="A42">
        <v>4</v>
      </c>
      <c r="B42" t="s">
        <v>200</v>
      </c>
      <c r="C42" s="65">
        <v>7.4873907714570753E-2</v>
      </c>
      <c r="D42">
        <v>5.4448740049642563E-2</v>
      </c>
      <c r="F42" s="65">
        <v>0</v>
      </c>
      <c r="G42" s="65">
        <v>0</v>
      </c>
      <c r="J42" s="65">
        <v>2.973106063314071E-2</v>
      </c>
      <c r="L42" s="65">
        <v>5.4037872905869484E-2</v>
      </c>
      <c r="M42" s="65">
        <v>6.0883908511905629E-2</v>
      </c>
    </row>
    <row r="43" spans="1:13">
      <c r="A43">
        <v>4</v>
      </c>
      <c r="B43" t="s">
        <v>179</v>
      </c>
      <c r="C43" s="65">
        <v>7.7211813317804773E-2</v>
      </c>
      <c r="D43">
        <v>5.090305976389773E-2</v>
      </c>
      <c r="F43" s="65">
        <v>2.3164550577530436E-2</v>
      </c>
      <c r="G43" s="65">
        <v>0</v>
      </c>
      <c r="J43" s="65">
        <v>5.004686606722572E-2</v>
      </c>
      <c r="L43" s="65">
        <v>5.0442983979821013E-2</v>
      </c>
      <c r="M43" s="65">
        <v>5.8108953982532345E-2</v>
      </c>
    </row>
    <row r="45" spans="1:13">
      <c r="A45" s="10" t="s">
        <v>110</v>
      </c>
    </row>
    <row r="48" spans="1:13" ht="16">
      <c r="A48" s="35" t="s">
        <v>243</v>
      </c>
      <c r="B48" s="35"/>
      <c r="C48" s="35" t="s">
        <v>198</v>
      </c>
      <c r="D48" s="35" t="s">
        <v>199</v>
      </c>
      <c r="E48" s="61" t="s">
        <v>28</v>
      </c>
      <c r="F48" s="61" t="s">
        <v>186</v>
      </c>
      <c r="G48" s="61" t="s">
        <v>187</v>
      </c>
      <c r="H48" s="61" t="s">
        <v>5</v>
      </c>
      <c r="I48" s="61" t="s">
        <v>188</v>
      </c>
      <c r="J48" s="61" t="s">
        <v>189</v>
      </c>
    </row>
    <row r="49" spans="1:10">
      <c r="A49">
        <v>5</v>
      </c>
      <c r="B49" t="s">
        <v>111</v>
      </c>
      <c r="C49" s="64">
        <v>1</v>
      </c>
      <c r="D49" s="3" t="s">
        <v>175</v>
      </c>
      <c r="E49" s="128">
        <v>0.12640141334018581</v>
      </c>
      <c r="F49" s="128">
        <v>0.49899273158103663</v>
      </c>
      <c r="G49" s="128">
        <v>0.26922015581335923</v>
      </c>
      <c r="H49" s="128">
        <v>0.19969514739498365</v>
      </c>
      <c r="I49" s="128">
        <v>6.2997433176537276E-2</v>
      </c>
      <c r="J49" s="128">
        <v>0.32832670500833433</v>
      </c>
    </row>
    <row r="50" spans="1:10">
      <c r="A50">
        <v>5</v>
      </c>
      <c r="B50" t="s">
        <v>111</v>
      </c>
      <c r="C50" s="64">
        <v>1</v>
      </c>
      <c r="D50" s="3" t="s">
        <v>176</v>
      </c>
      <c r="E50" s="128">
        <v>4.4654828329244459E-2</v>
      </c>
      <c r="F50" s="128">
        <v>0.12815221449958278</v>
      </c>
      <c r="G50" s="128">
        <v>0.14672488017245325</v>
      </c>
      <c r="H50" s="128">
        <v>0.14703298949129534</v>
      </c>
      <c r="I50" s="128">
        <v>7.3335938918450194E-2</v>
      </c>
      <c r="J50" s="128">
        <v>8.4500148325083915E-2</v>
      </c>
    </row>
    <row r="51" spans="1:10">
      <c r="A51">
        <v>5</v>
      </c>
      <c r="B51" t="s">
        <v>111</v>
      </c>
      <c r="C51" s="64">
        <v>1</v>
      </c>
      <c r="D51" s="3" t="s">
        <v>177</v>
      </c>
      <c r="E51" s="128">
        <v>0.29297424587435444</v>
      </c>
      <c r="F51" s="128">
        <v>0.1998171749742168</v>
      </c>
      <c r="G51" s="128">
        <v>0.25716682713268563</v>
      </c>
      <c r="H51" s="128">
        <v>0.30600093273817086</v>
      </c>
      <c r="I51" s="128">
        <v>0.42243054097345734</v>
      </c>
      <c r="J51" s="128">
        <v>0.28830644753843876</v>
      </c>
    </row>
    <row r="52" spans="1:10">
      <c r="A52">
        <v>5</v>
      </c>
      <c r="B52" t="s">
        <v>111</v>
      </c>
      <c r="C52" s="64">
        <v>1</v>
      </c>
      <c r="D52" s="3" t="s">
        <v>200</v>
      </c>
      <c r="E52" s="128">
        <v>0.36232463835842499</v>
      </c>
      <c r="F52" s="128">
        <v>0.1633711564486047</v>
      </c>
      <c r="G52" s="128">
        <v>0.26809458262744462</v>
      </c>
      <c r="H52" s="128">
        <v>0.25851098460201027</v>
      </c>
      <c r="I52" s="128">
        <v>0.34996167253729582</v>
      </c>
      <c r="J52" s="128">
        <v>0.24065424003263861</v>
      </c>
    </row>
    <row r="53" spans="1:10">
      <c r="A53">
        <v>5</v>
      </c>
      <c r="B53" t="s">
        <v>111</v>
      </c>
      <c r="C53" s="66">
        <v>1</v>
      </c>
      <c r="D53" s="3" t="s">
        <v>179</v>
      </c>
      <c r="E53" s="128">
        <v>0.17364487409779034</v>
      </c>
      <c r="F53" s="128">
        <v>9.6667224965590656E-3</v>
      </c>
      <c r="G53" s="128">
        <v>5.8793554254057391E-2</v>
      </c>
      <c r="H53" s="128">
        <v>8.8759945773539906E-2</v>
      </c>
      <c r="I53" s="128">
        <v>9.127441439425929E-2</v>
      </c>
      <c r="J53" s="128">
        <v>5.8212459095504342E-2</v>
      </c>
    </row>
    <row r="54" spans="1:10">
      <c r="A54">
        <v>5</v>
      </c>
      <c r="B54" t="s">
        <v>111</v>
      </c>
      <c r="C54" s="64">
        <v>2</v>
      </c>
      <c r="D54" s="3" t="s">
        <v>175</v>
      </c>
      <c r="E54" s="128">
        <v>0.31349374847391132</v>
      </c>
      <c r="F54" s="128">
        <v>0.60026568470570285</v>
      </c>
      <c r="G54" s="128">
        <v>0.38007994888348651</v>
      </c>
      <c r="H54" s="128">
        <v>0.39127601107859378</v>
      </c>
      <c r="I54" s="128">
        <v>2.5892661274630135E-2</v>
      </c>
      <c r="J54" s="128">
        <v>0.51231023409168364</v>
      </c>
    </row>
    <row r="55" spans="1:10">
      <c r="A55">
        <v>5</v>
      </c>
      <c r="B55" t="s">
        <v>111</v>
      </c>
      <c r="C55" s="64">
        <v>2</v>
      </c>
      <c r="D55" s="3" t="s">
        <v>176</v>
      </c>
      <c r="E55" s="128">
        <v>3.4424263238050819E-2</v>
      </c>
      <c r="F55" s="128">
        <v>0.11185412610893637</v>
      </c>
      <c r="G55" s="128">
        <v>0.12850199383444447</v>
      </c>
      <c r="H55" s="128">
        <v>9.6033140817880933E-2</v>
      </c>
      <c r="I55" s="128">
        <v>6.2707144205166035E-3</v>
      </c>
      <c r="J55" s="128">
        <v>0.10502920619937504</v>
      </c>
    </row>
    <row r="56" spans="1:10">
      <c r="A56">
        <v>5</v>
      </c>
      <c r="B56" t="s">
        <v>111</v>
      </c>
      <c r="C56" s="64">
        <v>2</v>
      </c>
      <c r="D56" s="3" t="s">
        <v>177</v>
      </c>
      <c r="E56" s="128">
        <v>0.34481648841500001</v>
      </c>
      <c r="F56" s="128">
        <v>0.14500120344749948</v>
      </c>
      <c r="G56" s="128">
        <v>0.23087247564745764</v>
      </c>
      <c r="H56" s="128">
        <v>0.37579123118546126</v>
      </c>
      <c r="I56" s="128">
        <v>0.9153201586793267</v>
      </c>
      <c r="J56" s="128">
        <v>0.17019033816090018</v>
      </c>
    </row>
    <row r="57" spans="1:10">
      <c r="A57">
        <v>5</v>
      </c>
      <c r="B57" t="s">
        <v>111</v>
      </c>
      <c r="C57" s="64">
        <v>2</v>
      </c>
      <c r="D57" s="3" t="s">
        <v>200</v>
      </c>
      <c r="E57" s="128">
        <v>0.1853328697166888</v>
      </c>
      <c r="F57" s="128">
        <v>8.3939658710838527E-2</v>
      </c>
      <c r="G57" s="128">
        <v>0.2101398180583231</v>
      </c>
      <c r="H57" s="128">
        <v>7.4773850812380957E-2</v>
      </c>
      <c r="I57" s="128">
        <v>4.7547961866737876E-2</v>
      </c>
      <c r="J57" s="128">
        <v>0.16843217729133234</v>
      </c>
    </row>
    <row r="58" spans="1:10">
      <c r="A58">
        <v>5</v>
      </c>
      <c r="B58" t="s">
        <v>111</v>
      </c>
      <c r="C58" s="66">
        <v>2</v>
      </c>
      <c r="D58" s="3" t="s">
        <v>179</v>
      </c>
      <c r="E58" s="128">
        <v>0.12193263015634895</v>
      </c>
      <c r="F58" s="128">
        <v>5.8939327027022752E-2</v>
      </c>
      <c r="G58" s="128">
        <v>5.0405763576288364E-2</v>
      </c>
      <c r="H58" s="128">
        <v>6.2125766105682968E-2</v>
      </c>
      <c r="I58" s="128">
        <v>4.968503758788506E-3</v>
      </c>
      <c r="J58" s="128">
        <v>4.4038044256708909E-2</v>
      </c>
    </row>
    <row r="59" spans="1:10">
      <c r="A59">
        <v>5</v>
      </c>
      <c r="B59" t="s">
        <v>111</v>
      </c>
      <c r="C59" s="64">
        <v>3</v>
      </c>
      <c r="D59" s="3" t="s">
        <v>175</v>
      </c>
      <c r="E59" s="128">
        <v>0.40440762849788298</v>
      </c>
      <c r="F59" s="128">
        <v>0.55619933256000698</v>
      </c>
      <c r="G59" s="128">
        <v>0.43751157323431528</v>
      </c>
      <c r="H59" s="128">
        <v>0.15941860390364967</v>
      </c>
      <c r="I59" s="128">
        <v>3.2728069892283093E-2</v>
      </c>
      <c r="J59" s="128">
        <v>0.61598482059528537</v>
      </c>
    </row>
    <row r="60" spans="1:10">
      <c r="A60">
        <v>5</v>
      </c>
      <c r="B60" t="s">
        <v>111</v>
      </c>
      <c r="C60" s="64">
        <v>3</v>
      </c>
      <c r="D60" s="3" t="s">
        <v>176</v>
      </c>
      <c r="E60" s="128">
        <v>1.2776355028119961E-2</v>
      </c>
      <c r="F60" s="128">
        <v>0.14999448620444739</v>
      </c>
      <c r="G60" s="128">
        <v>0.20223430537773449</v>
      </c>
      <c r="H60" s="128">
        <v>1.1852574298194725E-2</v>
      </c>
      <c r="I60" s="128">
        <v>0</v>
      </c>
      <c r="J60" s="128">
        <v>5.5641841258043834E-2</v>
      </c>
    </row>
    <row r="61" spans="1:10">
      <c r="A61">
        <v>5</v>
      </c>
      <c r="B61" t="s">
        <v>111</v>
      </c>
      <c r="C61" s="64">
        <v>3</v>
      </c>
      <c r="D61" s="3" t="s">
        <v>177</v>
      </c>
      <c r="E61" s="128">
        <v>0.34594435234035043</v>
      </c>
      <c r="F61" s="128">
        <v>0.20090752371065623</v>
      </c>
      <c r="G61" s="128">
        <v>0.21655217315978231</v>
      </c>
      <c r="H61" s="128">
        <v>0.77870687398433502</v>
      </c>
      <c r="I61" s="128">
        <v>0.95031931837121575</v>
      </c>
      <c r="J61" s="128">
        <v>0.16623210657467924</v>
      </c>
    </row>
    <row r="62" spans="1:10">
      <c r="A62">
        <v>5</v>
      </c>
      <c r="B62" t="s">
        <v>111</v>
      </c>
      <c r="C62" s="64">
        <v>3</v>
      </c>
      <c r="D62" s="3" t="s">
        <v>200</v>
      </c>
      <c r="E62" s="128">
        <v>0.12420341507132929</v>
      </c>
      <c r="F62" s="128">
        <v>7.6123412269982635E-2</v>
      </c>
      <c r="G62" s="128">
        <v>0.10433825911452492</v>
      </c>
      <c r="H62" s="128">
        <v>1.456586046374795E-2</v>
      </c>
      <c r="I62" s="128">
        <v>1.6952611736501276E-2</v>
      </c>
      <c r="J62" s="128">
        <v>4.2121175445647516E-2</v>
      </c>
    </row>
    <row r="63" spans="1:10">
      <c r="A63">
        <v>5</v>
      </c>
      <c r="B63" t="s">
        <v>111</v>
      </c>
      <c r="C63" s="66">
        <v>3</v>
      </c>
      <c r="D63" s="3" t="s">
        <v>179</v>
      </c>
      <c r="E63" s="128">
        <v>0.11266824906231748</v>
      </c>
      <c r="F63" s="128">
        <v>1.6775245254906923E-2</v>
      </c>
      <c r="G63" s="128">
        <v>3.9363689113642956E-2</v>
      </c>
      <c r="H63" s="128">
        <v>3.5456087350072656E-2</v>
      </c>
      <c r="I63" s="128">
        <v>0</v>
      </c>
      <c r="J63" s="128">
        <v>0.120020056126344</v>
      </c>
    </row>
    <row r="64" spans="1:10">
      <c r="A64">
        <v>5</v>
      </c>
      <c r="B64" t="s">
        <v>111</v>
      </c>
      <c r="C64" s="64">
        <v>4</v>
      </c>
      <c r="D64" s="3" t="s">
        <v>175</v>
      </c>
      <c r="E64" s="128">
        <v>0.38240589248190016</v>
      </c>
      <c r="F64" s="128">
        <v>0.41786772582352005</v>
      </c>
      <c r="G64" s="128">
        <v>0.24651754026187045</v>
      </c>
      <c r="H64" s="128">
        <v>0</v>
      </c>
      <c r="I64" s="128">
        <v>0</v>
      </c>
      <c r="J64" s="128">
        <v>0.58776697184110771</v>
      </c>
    </row>
    <row r="65" spans="1:10">
      <c r="A65">
        <v>5</v>
      </c>
      <c r="B65" t="s">
        <v>111</v>
      </c>
      <c r="C65" s="64">
        <v>4</v>
      </c>
      <c r="D65" s="3" t="s">
        <v>176</v>
      </c>
      <c r="E65" s="128">
        <v>2.0091808184017144E-2</v>
      </c>
      <c r="F65" s="128">
        <v>0.10261833215673531</v>
      </c>
      <c r="G65" s="128">
        <v>0.18742581423075996</v>
      </c>
      <c r="H65" s="128">
        <v>0</v>
      </c>
      <c r="I65" s="128">
        <v>0.91042382139156286</v>
      </c>
      <c r="J65" s="128">
        <v>1.7946566441028829E-2</v>
      </c>
    </row>
    <row r="66" spans="1:10">
      <c r="A66">
        <v>5</v>
      </c>
      <c r="B66" t="s">
        <v>111</v>
      </c>
      <c r="C66" s="64">
        <v>4</v>
      </c>
      <c r="D66" s="3" t="s">
        <v>177</v>
      </c>
      <c r="E66" s="128">
        <v>0.44530182300570631</v>
      </c>
      <c r="F66" s="128">
        <v>0.37153073328043895</v>
      </c>
      <c r="G66" s="128">
        <v>0.38671089730646074</v>
      </c>
      <c r="H66" s="128">
        <v>1</v>
      </c>
      <c r="I66" s="128">
        <v>8.9576178608437126E-2</v>
      </c>
      <c r="J66" s="128">
        <v>0.26615614105086588</v>
      </c>
    </row>
    <row r="67" spans="1:10">
      <c r="A67">
        <v>5</v>
      </c>
      <c r="B67" t="s">
        <v>111</v>
      </c>
      <c r="C67" s="64">
        <v>4</v>
      </c>
      <c r="D67" s="3" t="s">
        <v>200</v>
      </c>
      <c r="E67" s="128">
        <v>6.2332157784141792E-2</v>
      </c>
      <c r="F67" s="128">
        <v>3.3951634089058561E-2</v>
      </c>
      <c r="G67" s="128">
        <v>5.2911163561893411E-2</v>
      </c>
      <c r="H67" s="128">
        <v>0</v>
      </c>
      <c r="I67" s="128">
        <v>0</v>
      </c>
      <c r="J67" s="128">
        <v>9.908816771267993E-3</v>
      </c>
    </row>
    <row r="68" spans="1:10">
      <c r="A68" s="10">
        <v>5</v>
      </c>
      <c r="B68" s="10" t="s">
        <v>111</v>
      </c>
      <c r="C68" s="90">
        <v>4</v>
      </c>
      <c r="D68" s="89" t="s">
        <v>179</v>
      </c>
      <c r="E68" s="129">
        <v>8.986831854423466E-2</v>
      </c>
      <c r="F68" s="129">
        <v>7.4031574650247067E-2</v>
      </c>
      <c r="G68" s="129">
        <v>0.12643458463901541</v>
      </c>
      <c r="H68" s="129">
        <v>0</v>
      </c>
      <c r="I68" s="129">
        <v>0</v>
      </c>
      <c r="J68" s="129">
        <v>0.11822150389572965</v>
      </c>
    </row>
    <row r="69" spans="1:10">
      <c r="A69" s="6">
        <v>4</v>
      </c>
      <c r="B69" s="6" t="s">
        <v>112</v>
      </c>
      <c r="C69" s="126">
        <v>1</v>
      </c>
      <c r="D69" s="127" t="s">
        <v>175</v>
      </c>
      <c r="E69" s="130">
        <v>0.12319886272451634</v>
      </c>
      <c r="F69" s="130">
        <v>0.3201773600132744</v>
      </c>
      <c r="G69" s="130">
        <v>0.15973654168007517</v>
      </c>
      <c r="H69" s="130">
        <v>0.17993901460378414</v>
      </c>
      <c r="I69" s="130">
        <v>5.8738291498172265E-2</v>
      </c>
      <c r="J69" s="130">
        <v>0.40865641281234744</v>
      </c>
    </row>
    <row r="70" spans="1:10">
      <c r="A70">
        <v>4</v>
      </c>
      <c r="B70" t="s">
        <v>112</v>
      </c>
      <c r="C70" s="64">
        <v>1</v>
      </c>
      <c r="D70" s="3" t="s">
        <v>176</v>
      </c>
      <c r="E70" s="128">
        <v>4.0406023073075531E-2</v>
      </c>
      <c r="F70" s="128">
        <v>0.19344954602746559</v>
      </c>
      <c r="G70" s="128">
        <v>0.20163787406749228</v>
      </c>
      <c r="H70" s="128">
        <v>0.1594156989680926</v>
      </c>
      <c r="I70" s="128">
        <v>7.503229109791168E-2</v>
      </c>
      <c r="J70" s="128">
        <v>6.5485897526975728E-2</v>
      </c>
    </row>
    <row r="71" spans="1:10">
      <c r="A71">
        <v>4</v>
      </c>
      <c r="B71" t="s">
        <v>112</v>
      </c>
      <c r="C71" s="64">
        <v>1</v>
      </c>
      <c r="D71" s="3" t="s">
        <v>177</v>
      </c>
      <c r="E71" s="128">
        <v>0.30363594364352048</v>
      </c>
      <c r="F71" s="128">
        <v>0.15518112846929841</v>
      </c>
      <c r="G71" s="128">
        <v>0.28034011252293667</v>
      </c>
      <c r="H71" s="128">
        <v>0.29426898123478157</v>
      </c>
      <c r="I71" s="128">
        <v>0.50236306248683216</v>
      </c>
      <c r="J71" s="128">
        <v>0.22238679607110856</v>
      </c>
    </row>
    <row r="72" spans="1:10">
      <c r="A72">
        <v>4</v>
      </c>
      <c r="B72" t="s">
        <v>112</v>
      </c>
      <c r="C72" s="64">
        <v>1</v>
      </c>
      <c r="D72" s="3" t="s">
        <v>200</v>
      </c>
      <c r="E72" s="128">
        <v>0.34697750312017994</v>
      </c>
      <c r="F72" s="128">
        <v>0.2850284159316967</v>
      </c>
      <c r="G72" s="128">
        <v>0.28501494073394379</v>
      </c>
      <c r="H72" s="128">
        <v>0.27692892197458246</v>
      </c>
      <c r="I72" s="128">
        <v>0.27314064114253134</v>
      </c>
      <c r="J72" s="128">
        <v>0.20945915223128425</v>
      </c>
    </row>
    <row r="73" spans="1:10">
      <c r="A73">
        <v>4</v>
      </c>
      <c r="B73" t="s">
        <v>112</v>
      </c>
      <c r="C73" s="66">
        <v>1</v>
      </c>
      <c r="D73" s="3" t="s">
        <v>179</v>
      </c>
      <c r="E73" s="128">
        <v>0.18578166743870766</v>
      </c>
      <c r="F73" s="128">
        <v>4.6163549558264842E-2</v>
      </c>
      <c r="G73" s="128">
        <v>7.3270530995552197E-2</v>
      </c>
      <c r="H73" s="128">
        <v>8.9447383218759308E-2</v>
      </c>
      <c r="I73" s="128">
        <v>9.0725713774552547E-2</v>
      </c>
      <c r="J73" s="128">
        <v>9.4011741358283996E-2</v>
      </c>
    </row>
    <row r="74" spans="1:10">
      <c r="A74">
        <v>4</v>
      </c>
      <c r="B74" t="s">
        <v>112</v>
      </c>
      <c r="C74" s="64">
        <v>2</v>
      </c>
      <c r="D74" s="3" t="s">
        <v>175</v>
      </c>
      <c r="E74" s="128">
        <v>0.27092136967969638</v>
      </c>
      <c r="F74" s="128">
        <v>0.45389968834867894</v>
      </c>
      <c r="G74" s="128">
        <v>0.35274818729665042</v>
      </c>
      <c r="H74" s="128">
        <v>0.39185682683254563</v>
      </c>
      <c r="I74" s="128">
        <v>1.8419381658371207E-2</v>
      </c>
      <c r="J74" s="128">
        <v>0.59897223510027353</v>
      </c>
    </row>
    <row r="75" spans="1:10">
      <c r="A75">
        <v>4</v>
      </c>
      <c r="B75" t="s">
        <v>112</v>
      </c>
      <c r="C75" s="64">
        <v>2</v>
      </c>
      <c r="D75" s="3" t="s">
        <v>176</v>
      </c>
      <c r="E75" s="128">
        <v>1.7472162311874793E-2</v>
      </c>
      <c r="F75" s="128">
        <v>0.20068484521972707</v>
      </c>
      <c r="G75" s="128">
        <v>0.19251764380521549</v>
      </c>
      <c r="H75" s="128">
        <v>0.11109508159691073</v>
      </c>
      <c r="I75" s="128">
        <v>3.1747811787223045E-3</v>
      </c>
      <c r="J75" s="128">
        <v>8.9832544528256689E-2</v>
      </c>
    </row>
    <row r="76" spans="1:10">
      <c r="A76">
        <v>4</v>
      </c>
      <c r="B76" t="s">
        <v>112</v>
      </c>
      <c r="C76" s="64">
        <v>2</v>
      </c>
      <c r="D76" s="3" t="s">
        <v>177</v>
      </c>
      <c r="E76" s="128">
        <v>0.36505034940817838</v>
      </c>
      <c r="F76" s="128">
        <v>0.16717267292525431</v>
      </c>
      <c r="G76" s="128">
        <v>0.18620722388471234</v>
      </c>
      <c r="H76" s="128">
        <v>0.36485604272942496</v>
      </c>
      <c r="I76" s="128">
        <v>0.95016142636134904</v>
      </c>
      <c r="J76" s="128">
        <v>0.17570682727333586</v>
      </c>
    </row>
    <row r="77" spans="1:10">
      <c r="A77">
        <v>4</v>
      </c>
      <c r="B77" t="s">
        <v>112</v>
      </c>
      <c r="C77" s="64">
        <v>2</v>
      </c>
      <c r="D77" s="3" t="s">
        <v>200</v>
      </c>
      <c r="E77" s="128">
        <v>0.1981422601925816</v>
      </c>
      <c r="F77" s="128">
        <v>0.12249360162624262</v>
      </c>
      <c r="G77" s="128">
        <v>0.21919756344735555</v>
      </c>
      <c r="H77" s="128">
        <v>9.5769999071782991E-2</v>
      </c>
      <c r="I77" s="128">
        <v>1.4418313176224988E-2</v>
      </c>
      <c r="J77" s="128">
        <v>5.5583197669939299E-2</v>
      </c>
    </row>
    <row r="78" spans="1:10">
      <c r="A78">
        <v>4</v>
      </c>
      <c r="B78" t="s">
        <v>112</v>
      </c>
      <c r="C78" s="66">
        <v>2</v>
      </c>
      <c r="D78" s="3" t="s">
        <v>179</v>
      </c>
      <c r="E78" s="128">
        <v>0.14841385840766896</v>
      </c>
      <c r="F78" s="128">
        <v>5.5749191880097138E-2</v>
      </c>
      <c r="G78" s="128">
        <v>4.932938156606613E-2</v>
      </c>
      <c r="H78" s="128">
        <v>3.6422049769335767E-2</v>
      </c>
      <c r="I78" s="128">
        <v>1.3826097625332535E-2</v>
      </c>
      <c r="J78" s="128">
        <v>7.9905195428194575E-2</v>
      </c>
    </row>
    <row r="79" spans="1:10">
      <c r="A79">
        <v>4</v>
      </c>
      <c r="B79" t="s">
        <v>112</v>
      </c>
      <c r="C79" s="64">
        <v>3</v>
      </c>
      <c r="D79" s="3" t="s">
        <v>175</v>
      </c>
      <c r="E79" s="128">
        <v>0.43820190421124661</v>
      </c>
      <c r="F79" s="128">
        <v>0.5412591708400889</v>
      </c>
      <c r="G79" s="128">
        <v>0.47256704938349609</v>
      </c>
      <c r="H79" s="128">
        <v>0.16832933638196421</v>
      </c>
      <c r="I79" s="128">
        <v>6.0858606395821087E-2</v>
      </c>
      <c r="J79" s="128">
        <v>0.68324582968034087</v>
      </c>
    </row>
    <row r="80" spans="1:10">
      <c r="A80">
        <v>4</v>
      </c>
      <c r="B80" t="s">
        <v>112</v>
      </c>
      <c r="C80" s="64">
        <v>3</v>
      </c>
      <c r="D80" s="3" t="s">
        <v>176</v>
      </c>
      <c r="E80" s="128">
        <v>3.2094856959384695E-2</v>
      </c>
      <c r="F80" s="128">
        <v>0.20569061038794323</v>
      </c>
      <c r="G80" s="128">
        <v>0.1934905285404068</v>
      </c>
      <c r="H80" s="128">
        <v>4.7772129809135554E-2</v>
      </c>
      <c r="I80" s="128">
        <v>0</v>
      </c>
      <c r="J80" s="128">
        <v>1.5252288711500455E-2</v>
      </c>
    </row>
    <row r="81" spans="1:10">
      <c r="A81">
        <v>4</v>
      </c>
      <c r="B81" t="s">
        <v>112</v>
      </c>
      <c r="C81" s="64">
        <v>3</v>
      </c>
      <c r="D81" s="3" t="s">
        <v>177</v>
      </c>
      <c r="E81" s="128">
        <v>0.32040060352894673</v>
      </c>
      <c r="F81" s="128">
        <v>0.1688768435643776</v>
      </c>
      <c r="G81" s="128">
        <v>0.2363536007692027</v>
      </c>
      <c r="H81" s="128">
        <v>0.7216166257489377</v>
      </c>
      <c r="I81" s="128">
        <v>0.93595966070375292</v>
      </c>
      <c r="J81" s="128">
        <v>0.13596107639515093</v>
      </c>
    </row>
    <row r="82" spans="1:10">
      <c r="A82">
        <v>4</v>
      </c>
      <c r="B82" t="s">
        <v>112</v>
      </c>
      <c r="C82" s="64">
        <v>3</v>
      </c>
      <c r="D82" s="3" t="s">
        <v>200</v>
      </c>
      <c r="E82" s="128">
        <v>0.12249061806588069</v>
      </c>
      <c r="F82" s="128">
        <v>5.3762052675558857E-2</v>
      </c>
      <c r="G82" s="128">
        <v>7.5985090264868591E-2</v>
      </c>
      <c r="H82" s="128">
        <v>4.7875141625248092E-2</v>
      </c>
      <c r="I82" s="128">
        <v>3.1817329004259973E-3</v>
      </c>
      <c r="J82" s="128">
        <v>9.7827033168558605E-2</v>
      </c>
    </row>
    <row r="83" spans="1:10">
      <c r="A83">
        <v>4</v>
      </c>
      <c r="B83" t="s">
        <v>112</v>
      </c>
      <c r="C83" s="66">
        <v>3</v>
      </c>
      <c r="D83" s="3" t="s">
        <v>179</v>
      </c>
      <c r="E83" s="128">
        <v>8.6812017234541114E-2</v>
      </c>
      <c r="F83" s="128">
        <v>3.0411322532031489E-2</v>
      </c>
      <c r="G83" s="128">
        <v>2.1603731042025707E-2</v>
      </c>
      <c r="H83" s="128">
        <v>1.4406766434714292E-2</v>
      </c>
      <c r="I83" s="128">
        <v>0</v>
      </c>
      <c r="J83" s="128">
        <v>6.7713772044449241E-2</v>
      </c>
    </row>
    <row r="84" spans="1:10">
      <c r="A84">
        <v>4</v>
      </c>
      <c r="B84" t="s">
        <v>112</v>
      </c>
      <c r="C84" s="64">
        <v>4</v>
      </c>
      <c r="D84" s="3" t="s">
        <v>175</v>
      </c>
      <c r="E84" s="128">
        <v>0.39000029850954643</v>
      </c>
      <c r="F84" s="128">
        <v>0.41834934817919323</v>
      </c>
      <c r="G84" s="128">
        <v>0.22792194868585036</v>
      </c>
      <c r="H84" s="128">
        <v>4.8605344831177164E-2</v>
      </c>
      <c r="I84" s="128">
        <v>1</v>
      </c>
      <c r="J84" s="128">
        <v>0.60957257177962298</v>
      </c>
    </row>
    <row r="85" spans="1:10">
      <c r="A85">
        <v>4</v>
      </c>
      <c r="B85" t="s">
        <v>112</v>
      </c>
      <c r="C85" s="64">
        <v>4</v>
      </c>
      <c r="D85" s="3" t="s">
        <v>176</v>
      </c>
      <c r="E85" s="128">
        <v>2.1574724878796903E-2</v>
      </c>
      <c r="F85" s="128">
        <v>0.18703796240424148</v>
      </c>
      <c r="G85" s="128">
        <v>0.38881709036594359</v>
      </c>
      <c r="H85" s="128">
        <v>0</v>
      </c>
      <c r="I85" s="128">
        <v>0</v>
      </c>
      <c r="J85" s="128">
        <v>3.4457900284905953E-2</v>
      </c>
    </row>
    <row r="86" spans="1:10">
      <c r="A86">
        <v>4</v>
      </c>
      <c r="B86" t="s">
        <v>112</v>
      </c>
      <c r="C86" s="64">
        <v>4</v>
      </c>
      <c r="D86" s="3" t="s">
        <v>177</v>
      </c>
      <c r="E86" s="128">
        <v>0.44089336669775453</v>
      </c>
      <c r="F86" s="128">
        <v>0.28488814302392823</v>
      </c>
      <c r="G86" s="128">
        <v>0.23240848094115701</v>
      </c>
      <c r="H86" s="128">
        <v>0.90394020502292638</v>
      </c>
      <c r="I86" s="128">
        <v>0</v>
      </c>
      <c r="J86" s="128">
        <v>0.29294396062714628</v>
      </c>
    </row>
    <row r="87" spans="1:10">
      <c r="A87">
        <v>4</v>
      </c>
      <c r="B87" t="s">
        <v>112</v>
      </c>
      <c r="C87" s="64">
        <v>4</v>
      </c>
      <c r="D87" s="3" t="s">
        <v>200</v>
      </c>
      <c r="E87" s="128">
        <v>6.9892079811026811E-2</v>
      </c>
      <c r="F87" s="128">
        <v>6.9456861324943747E-2</v>
      </c>
      <c r="G87" s="128">
        <v>6.8535446360994831E-2</v>
      </c>
      <c r="H87" s="128">
        <v>0</v>
      </c>
      <c r="I87" s="128">
        <v>0</v>
      </c>
      <c r="J87" s="128">
        <v>1.2659412544468856E-2</v>
      </c>
    </row>
    <row r="88" spans="1:10">
      <c r="A88">
        <v>4</v>
      </c>
      <c r="B88" s="10" t="s">
        <v>112</v>
      </c>
      <c r="C88" s="90">
        <v>4</v>
      </c>
      <c r="D88" s="89" t="s">
        <v>179</v>
      </c>
      <c r="E88" s="129">
        <v>7.7639530102875332E-2</v>
      </c>
      <c r="F88" s="129">
        <v>4.0267685067693272E-2</v>
      </c>
      <c r="G88" s="129">
        <v>8.2317033646054374E-2</v>
      </c>
      <c r="H88" s="129">
        <v>4.7454450145896526E-2</v>
      </c>
      <c r="I88" s="129">
        <v>0</v>
      </c>
      <c r="J88" s="129">
        <v>5.0366154763855947E-2</v>
      </c>
    </row>
    <row r="89" spans="1:10">
      <c r="A89">
        <v>3</v>
      </c>
      <c r="B89" t="s">
        <v>113</v>
      </c>
      <c r="C89" s="126">
        <v>1</v>
      </c>
      <c r="D89" s="127" t="s">
        <v>175</v>
      </c>
      <c r="E89" s="128">
        <v>0.12965349929801848</v>
      </c>
      <c r="F89" s="128">
        <v>7.1841551422533234E-2</v>
      </c>
      <c r="G89" s="128">
        <v>0.17689622404748359</v>
      </c>
      <c r="H89" s="128">
        <v>0.17089669123667564</v>
      </c>
      <c r="I89" s="128">
        <v>4.8925063063846197E-2</v>
      </c>
      <c r="J89" s="128">
        <v>0.3193926355872736</v>
      </c>
    </row>
    <row r="90" spans="1:10">
      <c r="A90">
        <v>3</v>
      </c>
      <c r="B90" t="s">
        <v>113</v>
      </c>
      <c r="C90" s="64">
        <v>1</v>
      </c>
      <c r="D90" s="3" t="s">
        <v>176</v>
      </c>
      <c r="E90" s="128">
        <v>3.363177353397339E-2</v>
      </c>
      <c r="F90" s="128">
        <v>0.43469963188689825</v>
      </c>
      <c r="G90" s="128">
        <v>0.27583032259103285</v>
      </c>
      <c r="H90" s="128">
        <v>0.15466245015011407</v>
      </c>
      <c r="I90" s="128">
        <v>7.1315906474743521E-2</v>
      </c>
      <c r="J90" s="128">
        <v>6.5461197124980192E-2</v>
      </c>
    </row>
    <row r="91" spans="1:10">
      <c r="A91">
        <v>3</v>
      </c>
      <c r="B91" t="s">
        <v>113</v>
      </c>
      <c r="C91" s="64">
        <v>1</v>
      </c>
      <c r="D91" s="3" t="s">
        <v>177</v>
      </c>
      <c r="E91" s="128">
        <v>0.31151500711591806</v>
      </c>
      <c r="F91" s="128">
        <v>0.4934588166905684</v>
      </c>
      <c r="G91" s="128">
        <v>0.17936163418740217</v>
      </c>
      <c r="H91" s="128">
        <v>0.3101981204540335</v>
      </c>
      <c r="I91" s="128">
        <v>0.56984491399662851</v>
      </c>
      <c r="J91" s="128">
        <v>0.34586304133944068</v>
      </c>
    </row>
    <row r="92" spans="1:10">
      <c r="A92">
        <v>3</v>
      </c>
      <c r="B92" t="s">
        <v>113</v>
      </c>
      <c r="C92" s="64">
        <v>1</v>
      </c>
      <c r="D92" s="3" t="s">
        <v>200</v>
      </c>
      <c r="E92" s="128">
        <v>0.34601622282568978</v>
      </c>
      <c r="F92" s="128">
        <v>0</v>
      </c>
      <c r="G92" s="128">
        <v>0.35855816780259248</v>
      </c>
      <c r="H92" s="128">
        <v>0.27060137960981223</v>
      </c>
      <c r="I92" s="128">
        <v>0.22419224667462209</v>
      </c>
      <c r="J92" s="128">
        <v>0.19429981016927045</v>
      </c>
    </row>
    <row r="93" spans="1:10">
      <c r="A93">
        <v>3</v>
      </c>
      <c r="B93" t="s">
        <v>113</v>
      </c>
      <c r="C93" s="66">
        <v>1</v>
      </c>
      <c r="D93" s="3" t="s">
        <v>179</v>
      </c>
      <c r="E93" s="128">
        <v>0.17918349722640034</v>
      </c>
      <c r="F93" s="128">
        <v>0</v>
      </c>
      <c r="G93" s="128">
        <v>9.3536513714890506E-3</v>
      </c>
      <c r="H93" s="128">
        <v>9.3641358549364603E-2</v>
      </c>
      <c r="I93" s="128">
        <v>8.5721869790159735E-2</v>
      </c>
      <c r="J93" s="128">
        <v>7.4983315779035026E-2</v>
      </c>
    </row>
    <row r="94" spans="1:10">
      <c r="A94">
        <v>3</v>
      </c>
      <c r="B94" t="s">
        <v>113</v>
      </c>
      <c r="C94" s="64">
        <v>2</v>
      </c>
      <c r="D94" s="3" t="s">
        <v>175</v>
      </c>
      <c r="E94" s="128">
        <v>0.31126776138716183</v>
      </c>
      <c r="F94" s="128">
        <v>0.37027401278392047</v>
      </c>
      <c r="G94" s="128">
        <v>0.30599442019226564</v>
      </c>
      <c r="H94" s="128">
        <v>0.31557709975001269</v>
      </c>
      <c r="I94" s="128">
        <v>2.0991830252439603E-2</v>
      </c>
      <c r="J94" s="128">
        <v>0.66008133650600342</v>
      </c>
    </row>
    <row r="95" spans="1:10">
      <c r="A95">
        <v>3</v>
      </c>
      <c r="B95" t="s">
        <v>113</v>
      </c>
      <c r="C95" s="64">
        <v>2</v>
      </c>
      <c r="D95" s="3" t="s">
        <v>176</v>
      </c>
      <c r="E95" s="128">
        <v>3.9113068683059936E-2</v>
      </c>
      <c r="F95" s="128">
        <v>0.15976774678918634</v>
      </c>
      <c r="G95" s="128">
        <v>0.24254556662377361</v>
      </c>
      <c r="H95" s="128">
        <v>0.21895244339624242</v>
      </c>
      <c r="I95" s="128">
        <v>0</v>
      </c>
      <c r="J95" s="128">
        <v>5.0434419641525549E-2</v>
      </c>
    </row>
    <row r="96" spans="1:10">
      <c r="A96">
        <v>3</v>
      </c>
      <c r="B96" t="s">
        <v>113</v>
      </c>
      <c r="C96" s="64">
        <v>2</v>
      </c>
      <c r="D96" s="3" t="s">
        <v>177</v>
      </c>
      <c r="E96" s="128">
        <v>0.3345071685751479</v>
      </c>
      <c r="F96" s="128">
        <v>0.34545436750516784</v>
      </c>
      <c r="G96" s="128">
        <v>0.18391908980944208</v>
      </c>
      <c r="H96" s="128">
        <v>0.3358988556861478</v>
      </c>
      <c r="I96" s="128">
        <v>0.95069753052188544</v>
      </c>
      <c r="J96" s="128">
        <v>0.11318635792133418</v>
      </c>
    </row>
    <row r="97" spans="1:10">
      <c r="A97">
        <v>3</v>
      </c>
      <c r="B97" t="s">
        <v>113</v>
      </c>
      <c r="C97" s="64">
        <v>2</v>
      </c>
      <c r="D97" s="3" t="s">
        <v>200</v>
      </c>
      <c r="E97" s="128">
        <v>0.17704242642871965</v>
      </c>
      <c r="F97" s="128">
        <v>0.10222537138268233</v>
      </c>
      <c r="G97" s="128">
        <v>0.21043535389285414</v>
      </c>
      <c r="H97" s="128">
        <v>0.10624270419582703</v>
      </c>
      <c r="I97" s="128">
        <v>1.5684689382641479E-2</v>
      </c>
      <c r="J97" s="128">
        <v>7.5062941091341068E-2</v>
      </c>
    </row>
    <row r="98" spans="1:10">
      <c r="A98">
        <v>3</v>
      </c>
      <c r="B98" t="s">
        <v>113</v>
      </c>
      <c r="C98" s="66">
        <v>2</v>
      </c>
      <c r="D98" s="3" t="s">
        <v>179</v>
      </c>
      <c r="E98" s="128">
        <v>0.13806957492591065</v>
      </c>
      <c r="F98" s="128">
        <v>2.2278501539043118E-2</v>
      </c>
      <c r="G98" s="128">
        <v>5.710556948166471E-2</v>
      </c>
      <c r="H98" s="128">
        <v>2.3328896971770079E-2</v>
      </c>
      <c r="I98" s="128">
        <v>1.2625949843033325E-2</v>
      </c>
      <c r="J98" s="128">
        <v>0.10123494483979578</v>
      </c>
    </row>
    <row r="99" spans="1:10">
      <c r="A99">
        <v>3</v>
      </c>
      <c r="B99" t="s">
        <v>113</v>
      </c>
      <c r="C99" s="64">
        <v>3</v>
      </c>
      <c r="D99" s="3" t="s">
        <v>175</v>
      </c>
      <c r="E99" s="128">
        <v>0.43878540550897488</v>
      </c>
      <c r="F99" s="128">
        <v>0.46136689621162114</v>
      </c>
      <c r="G99" s="128">
        <v>0.41829976300965027</v>
      </c>
      <c r="H99" s="128">
        <v>0.2573403840013947</v>
      </c>
      <c r="I99" s="128">
        <v>0</v>
      </c>
      <c r="J99" s="128">
        <v>0.61437702492142787</v>
      </c>
    </row>
    <row r="100" spans="1:10">
      <c r="A100">
        <v>3</v>
      </c>
      <c r="B100" t="s">
        <v>113</v>
      </c>
      <c r="C100" s="64">
        <v>3</v>
      </c>
      <c r="D100" s="3" t="s">
        <v>176</v>
      </c>
      <c r="E100" s="128">
        <v>1.8522702206446889E-2</v>
      </c>
      <c r="F100" s="128">
        <v>0.24576885816650507</v>
      </c>
      <c r="G100" s="128">
        <v>0.30006037913847411</v>
      </c>
      <c r="H100" s="128">
        <v>6.786584701218161E-2</v>
      </c>
      <c r="I100" s="128">
        <v>0</v>
      </c>
      <c r="J100" s="128">
        <v>8.4353422705651451E-2</v>
      </c>
    </row>
    <row r="101" spans="1:10">
      <c r="A101">
        <v>3</v>
      </c>
      <c r="B101" t="s">
        <v>113</v>
      </c>
      <c r="C101" s="64">
        <v>3</v>
      </c>
      <c r="D101" s="3" t="s">
        <v>177</v>
      </c>
      <c r="E101" s="128">
        <v>0.28116142622559698</v>
      </c>
      <c r="F101" s="128">
        <v>0.15494482128250586</v>
      </c>
      <c r="G101" s="128">
        <v>0.17284939184787565</v>
      </c>
      <c r="H101" s="128">
        <v>0.65058629269150114</v>
      </c>
      <c r="I101" s="128">
        <v>1</v>
      </c>
      <c r="J101" s="128">
        <v>0.14716019943764666</v>
      </c>
    </row>
    <row r="102" spans="1:10">
      <c r="A102">
        <v>3</v>
      </c>
      <c r="B102" t="s">
        <v>113</v>
      </c>
      <c r="C102" s="64">
        <v>3</v>
      </c>
      <c r="D102" s="3" t="s">
        <v>200</v>
      </c>
      <c r="E102" s="128">
        <v>0.16363141342238344</v>
      </c>
      <c r="F102" s="128">
        <v>0.10061972799393967</v>
      </c>
      <c r="G102" s="128">
        <v>9.8345000633668134E-2</v>
      </c>
      <c r="H102" s="128">
        <v>1.5276099499537202E-3</v>
      </c>
      <c r="I102" s="128">
        <v>0</v>
      </c>
      <c r="J102" s="128">
        <v>7.5615639920987951E-2</v>
      </c>
    </row>
    <row r="103" spans="1:10">
      <c r="A103">
        <v>3</v>
      </c>
      <c r="B103" t="s">
        <v>113</v>
      </c>
      <c r="C103" s="66">
        <v>3</v>
      </c>
      <c r="D103" s="3" t="s">
        <v>179</v>
      </c>
      <c r="E103" s="128">
        <v>9.7899052636597886E-2</v>
      </c>
      <c r="F103" s="128">
        <v>3.7299696345428318E-2</v>
      </c>
      <c r="G103" s="128">
        <v>1.0445465370331848E-2</v>
      </c>
      <c r="H103" s="128">
        <v>2.2679866344968828E-2</v>
      </c>
      <c r="I103" s="128">
        <v>0</v>
      </c>
      <c r="J103" s="128">
        <v>7.8493713014285871E-2</v>
      </c>
    </row>
    <row r="104" spans="1:10">
      <c r="A104">
        <v>3</v>
      </c>
      <c r="B104" t="s">
        <v>113</v>
      </c>
      <c r="C104" s="64">
        <v>4</v>
      </c>
      <c r="D104" s="3" t="s">
        <v>175</v>
      </c>
      <c r="E104" s="128">
        <v>0.42352351678081296</v>
      </c>
      <c r="F104" s="128">
        <v>0.37575440178627117</v>
      </c>
      <c r="G104" s="128">
        <v>0.18142578650827562</v>
      </c>
      <c r="H104" s="128">
        <v>0</v>
      </c>
      <c r="I104" s="128">
        <v>0</v>
      </c>
      <c r="J104" s="128">
        <v>0.61155411536375115</v>
      </c>
    </row>
    <row r="105" spans="1:10">
      <c r="A105">
        <v>3</v>
      </c>
      <c r="B105" t="s">
        <v>113</v>
      </c>
      <c r="C105" s="64">
        <v>4</v>
      </c>
      <c r="D105" s="3" t="s">
        <v>176</v>
      </c>
      <c r="E105" s="128">
        <v>1.8158825838347319E-2</v>
      </c>
      <c r="F105" s="128">
        <v>0.24916344751474587</v>
      </c>
      <c r="G105" s="128">
        <v>0.53567068355656799</v>
      </c>
      <c r="H105" s="128">
        <v>0</v>
      </c>
      <c r="I105" s="128">
        <v>0</v>
      </c>
      <c r="J105" s="128">
        <v>7.7608554962604499E-3</v>
      </c>
    </row>
    <row r="106" spans="1:10">
      <c r="A106">
        <v>3</v>
      </c>
      <c r="B106" t="s">
        <v>113</v>
      </c>
      <c r="C106" s="64">
        <v>4</v>
      </c>
      <c r="D106" s="3" t="s">
        <v>177</v>
      </c>
      <c r="E106" s="128">
        <v>0.41281572052878263</v>
      </c>
      <c r="F106" s="128">
        <v>0.30373718466470528</v>
      </c>
      <c r="G106" s="128">
        <v>0.10118294779514862</v>
      </c>
      <c r="H106" s="128">
        <v>0.95186106964974515</v>
      </c>
      <c r="I106" s="128">
        <v>0</v>
      </c>
      <c r="J106" s="128">
        <v>0.277608743905703</v>
      </c>
    </row>
    <row r="107" spans="1:10">
      <c r="A107">
        <v>3</v>
      </c>
      <c r="B107" t="s">
        <v>113</v>
      </c>
      <c r="C107" s="64">
        <v>4</v>
      </c>
      <c r="D107" s="3" t="s">
        <v>200</v>
      </c>
      <c r="E107" s="128">
        <v>8.3993579883959821E-2</v>
      </c>
      <c r="F107" s="128">
        <v>3.6500815049567654E-2</v>
      </c>
      <c r="G107" s="128">
        <v>0.18172058214000766</v>
      </c>
      <c r="H107" s="128">
        <v>0</v>
      </c>
      <c r="I107" s="128">
        <v>0</v>
      </c>
      <c r="J107" s="128">
        <v>8.0905859827962084E-2</v>
      </c>
    </row>
    <row r="108" spans="1:10">
      <c r="A108" s="10">
        <v>3</v>
      </c>
      <c r="B108" s="10" t="s">
        <v>113</v>
      </c>
      <c r="C108" s="90">
        <v>4</v>
      </c>
      <c r="D108" s="89" t="s">
        <v>179</v>
      </c>
      <c r="E108" s="129">
        <v>6.1508356968097151E-2</v>
      </c>
      <c r="F108" s="129">
        <v>3.4844150984710089E-2</v>
      </c>
      <c r="G108" s="129">
        <v>0</v>
      </c>
      <c r="H108" s="129">
        <v>4.8138930350254787E-2</v>
      </c>
      <c r="I108" s="129">
        <v>0</v>
      </c>
      <c r="J108" s="129">
        <v>2.2170425406323465E-2</v>
      </c>
    </row>
    <row r="109" spans="1:10">
      <c r="A109">
        <v>2</v>
      </c>
      <c r="B109" t="s">
        <v>114</v>
      </c>
      <c r="C109" s="64">
        <v>1</v>
      </c>
      <c r="D109" s="3" t="s">
        <v>175</v>
      </c>
      <c r="E109" s="128">
        <v>0.13062932368804128</v>
      </c>
      <c r="F109" s="128">
        <v>0.657761406835906</v>
      </c>
      <c r="G109" s="128">
        <v>0.31893097241786533</v>
      </c>
      <c r="H109" s="128">
        <v>0.17404989774900975</v>
      </c>
      <c r="I109" s="128">
        <v>5.5380370692982399E-2</v>
      </c>
      <c r="J109" s="128">
        <v>0.45233496602669082</v>
      </c>
    </row>
    <row r="110" spans="1:10">
      <c r="A110">
        <v>2</v>
      </c>
      <c r="B110" t="s">
        <v>114</v>
      </c>
      <c r="C110" s="64">
        <v>1</v>
      </c>
      <c r="D110" s="3" t="s">
        <v>176</v>
      </c>
      <c r="E110" s="128">
        <v>2.8783984235244049E-2</v>
      </c>
      <c r="F110" s="128">
        <v>0.30281802165346328</v>
      </c>
      <c r="G110" s="128">
        <v>0.26271427871238745</v>
      </c>
      <c r="H110" s="128">
        <v>0.15160385916981575</v>
      </c>
      <c r="I110" s="128">
        <v>7.2909033758021533E-2</v>
      </c>
      <c r="J110" s="128">
        <v>4.1747626343240335E-2</v>
      </c>
    </row>
    <row r="111" spans="1:10">
      <c r="A111">
        <v>2</v>
      </c>
      <c r="B111" t="s">
        <v>114</v>
      </c>
      <c r="C111" s="64">
        <v>1</v>
      </c>
      <c r="D111" s="3" t="s">
        <v>177</v>
      </c>
      <c r="E111" s="128">
        <v>0.31425288733373435</v>
      </c>
      <c r="F111" s="128">
        <v>0</v>
      </c>
      <c r="G111" s="128">
        <v>0.21389948137721707</v>
      </c>
      <c r="H111" s="128">
        <v>0.34183323313162839</v>
      </c>
      <c r="I111" s="128">
        <v>0.62506437273617976</v>
      </c>
      <c r="J111" s="128">
        <v>0.23492191572994203</v>
      </c>
    </row>
    <row r="112" spans="1:10">
      <c r="A112">
        <v>2</v>
      </c>
      <c r="B112" t="s">
        <v>114</v>
      </c>
      <c r="C112" s="64">
        <v>1</v>
      </c>
      <c r="D112" s="3" t="s">
        <v>200</v>
      </c>
      <c r="E112" s="128">
        <v>0.35949006813170059</v>
      </c>
      <c r="F112" s="128">
        <v>3.9420571510630699E-2</v>
      </c>
      <c r="G112" s="128">
        <v>0.13806945483637506</v>
      </c>
      <c r="H112" s="128">
        <v>0.22567047787227296</v>
      </c>
      <c r="I112" s="128">
        <v>0.17713434634545955</v>
      </c>
      <c r="J112" s="128">
        <v>0.20544744527878642</v>
      </c>
    </row>
    <row r="113" spans="1:10">
      <c r="A113">
        <v>2</v>
      </c>
      <c r="B113" t="s">
        <v>114</v>
      </c>
      <c r="C113" s="66">
        <v>1</v>
      </c>
      <c r="D113" s="3" t="s">
        <v>179</v>
      </c>
      <c r="E113" s="128">
        <v>0.16684373661127974</v>
      </c>
      <c r="F113" s="128">
        <v>0</v>
      </c>
      <c r="G113" s="128">
        <v>6.6385812656155188E-2</v>
      </c>
      <c r="H113" s="128">
        <v>0.10684253207727316</v>
      </c>
      <c r="I113" s="128">
        <v>6.9511876467356792E-2</v>
      </c>
      <c r="J113" s="128">
        <v>6.5548046621340353E-2</v>
      </c>
    </row>
    <row r="114" spans="1:10">
      <c r="A114">
        <v>2</v>
      </c>
      <c r="B114" t="s">
        <v>114</v>
      </c>
      <c r="C114" s="64">
        <v>2</v>
      </c>
      <c r="D114" s="3" t="s">
        <v>175</v>
      </c>
      <c r="E114" s="128">
        <v>0.27378018716839075</v>
      </c>
      <c r="F114" s="128">
        <v>0.25109394788567851</v>
      </c>
      <c r="G114" s="128">
        <v>0.22736840432796387</v>
      </c>
      <c r="H114" s="128">
        <v>0.28998965796012544</v>
      </c>
      <c r="I114" s="128">
        <v>1.5661327684621275E-3</v>
      </c>
      <c r="J114" s="128">
        <v>0.61156526875727113</v>
      </c>
    </row>
    <row r="115" spans="1:10">
      <c r="A115">
        <v>2</v>
      </c>
      <c r="B115" t="s">
        <v>114</v>
      </c>
      <c r="C115" s="64">
        <v>2</v>
      </c>
      <c r="D115" s="3" t="s">
        <v>176</v>
      </c>
      <c r="E115" s="128">
        <v>2.3125378771415021E-2</v>
      </c>
      <c r="F115" s="128">
        <v>0.49096474665931172</v>
      </c>
      <c r="G115" s="128">
        <v>0.44554735574311116</v>
      </c>
      <c r="H115" s="128">
        <v>0.32169102817995615</v>
      </c>
      <c r="I115" s="128">
        <v>0</v>
      </c>
      <c r="J115" s="128">
        <v>9.2594846657605603E-2</v>
      </c>
    </row>
    <row r="116" spans="1:10">
      <c r="A116">
        <v>2</v>
      </c>
      <c r="B116" t="s">
        <v>114</v>
      </c>
      <c r="C116" s="64">
        <v>2</v>
      </c>
      <c r="D116" s="3" t="s">
        <v>177</v>
      </c>
      <c r="E116" s="128">
        <v>0.35205445813671404</v>
      </c>
      <c r="F116" s="128">
        <v>0.13403043668126308</v>
      </c>
      <c r="G116" s="128">
        <v>0.16844822251245967</v>
      </c>
      <c r="H116" s="128">
        <v>0.2735696150256291</v>
      </c>
      <c r="I116" s="128">
        <v>0.95041797676346407</v>
      </c>
      <c r="J116" s="128">
        <v>0.17657355998384591</v>
      </c>
    </row>
    <row r="117" spans="1:10">
      <c r="A117">
        <v>2</v>
      </c>
      <c r="B117" t="s">
        <v>114</v>
      </c>
      <c r="C117" s="64">
        <v>2</v>
      </c>
      <c r="D117" s="3" t="s">
        <v>200</v>
      </c>
      <c r="E117" s="128">
        <v>0.22870742836345914</v>
      </c>
      <c r="F117" s="128">
        <v>8.8696316883409912E-2</v>
      </c>
      <c r="G117" s="128">
        <v>0.14593753807227189</v>
      </c>
      <c r="H117" s="128">
        <v>8.9171515922190997E-2</v>
      </c>
      <c r="I117" s="128">
        <v>2.0477041705921149E-2</v>
      </c>
      <c r="J117" s="128">
        <v>8.6823482632857954E-2</v>
      </c>
    </row>
    <row r="118" spans="1:10">
      <c r="A118">
        <v>2</v>
      </c>
      <c r="B118" t="s">
        <v>114</v>
      </c>
      <c r="C118" s="66">
        <v>2</v>
      </c>
      <c r="D118" s="3" t="s">
        <v>179</v>
      </c>
      <c r="E118" s="128">
        <v>0.12233254756002103</v>
      </c>
      <c r="F118" s="128">
        <v>3.5214551890336725E-2</v>
      </c>
      <c r="G118" s="128">
        <v>1.269847934419341E-2</v>
      </c>
      <c r="H118" s="128">
        <v>2.5578182912098357E-2</v>
      </c>
      <c r="I118" s="128">
        <v>2.7538848762152696E-2</v>
      </c>
      <c r="J118" s="128">
        <v>3.2442841968419414E-2</v>
      </c>
    </row>
    <row r="119" spans="1:10">
      <c r="A119">
        <v>2</v>
      </c>
      <c r="B119" t="s">
        <v>114</v>
      </c>
      <c r="C119" s="64">
        <v>3</v>
      </c>
      <c r="D119" s="3" t="s">
        <v>175</v>
      </c>
      <c r="E119" s="128">
        <v>0.39837350424598439</v>
      </c>
      <c r="F119" s="128">
        <v>0.4042943223688068</v>
      </c>
      <c r="G119" s="128">
        <v>0.21933289464407152</v>
      </c>
      <c r="H119" s="128">
        <v>0.17239748810439479</v>
      </c>
      <c r="I119" s="128">
        <v>0</v>
      </c>
      <c r="J119" s="128">
        <v>0.69420083010172184</v>
      </c>
    </row>
    <row r="120" spans="1:10">
      <c r="A120">
        <v>2</v>
      </c>
      <c r="B120" t="s">
        <v>114</v>
      </c>
      <c r="C120" s="64">
        <v>3</v>
      </c>
      <c r="D120" s="3" t="s">
        <v>176</v>
      </c>
      <c r="E120" s="128">
        <v>2.7142676529016696E-2</v>
      </c>
      <c r="F120" s="128">
        <v>0.35209576463012077</v>
      </c>
      <c r="G120" s="128">
        <v>0.52751812404588916</v>
      </c>
      <c r="H120" s="128">
        <v>0.1772965770568346</v>
      </c>
      <c r="I120" s="128">
        <v>0</v>
      </c>
      <c r="J120" s="128">
        <v>8.7162466759616045E-2</v>
      </c>
    </row>
    <row r="121" spans="1:10">
      <c r="A121">
        <v>2</v>
      </c>
      <c r="B121" t="s">
        <v>114</v>
      </c>
      <c r="C121" s="64">
        <v>3</v>
      </c>
      <c r="D121" s="3" t="s">
        <v>177</v>
      </c>
      <c r="E121" s="128">
        <v>0.32116556152966963</v>
      </c>
      <c r="F121" s="128">
        <v>0.12678285750991125</v>
      </c>
      <c r="G121" s="128">
        <v>0.18328733114298343</v>
      </c>
      <c r="H121" s="128">
        <v>0.60980272542821934</v>
      </c>
      <c r="I121" s="128">
        <v>1</v>
      </c>
      <c r="J121" s="128">
        <v>9.3158483707966963E-2</v>
      </c>
    </row>
    <row r="122" spans="1:10">
      <c r="A122">
        <v>2</v>
      </c>
      <c r="B122" t="s">
        <v>114</v>
      </c>
      <c r="C122" s="64">
        <v>3</v>
      </c>
      <c r="D122" s="3" t="s">
        <v>200</v>
      </c>
      <c r="E122" s="128">
        <v>0.15711787565155461</v>
      </c>
      <c r="F122" s="128">
        <v>0.10446230287686636</v>
      </c>
      <c r="G122" s="128">
        <v>5.1286907233019041E-2</v>
      </c>
      <c r="H122" s="128">
        <v>3.3165746443442785E-2</v>
      </c>
      <c r="I122" s="128">
        <v>0</v>
      </c>
      <c r="J122" s="128">
        <v>8.7179928930870579E-2</v>
      </c>
    </row>
    <row r="123" spans="1:10">
      <c r="A123">
        <v>2</v>
      </c>
      <c r="B123" t="s">
        <v>114</v>
      </c>
      <c r="C123" s="66">
        <v>3</v>
      </c>
      <c r="D123" s="3" t="s">
        <v>179</v>
      </c>
      <c r="E123" s="128">
        <v>9.6200382043774763E-2</v>
      </c>
      <c r="F123" s="128">
        <v>1.2364752614294728E-2</v>
      </c>
      <c r="G123" s="128">
        <v>1.8574742934036739E-2</v>
      </c>
      <c r="H123" s="128">
        <v>7.3374629671084032E-3</v>
      </c>
      <c r="I123" s="128">
        <v>0</v>
      </c>
      <c r="J123" s="128">
        <v>3.8298290499824479E-2</v>
      </c>
    </row>
    <row r="124" spans="1:10">
      <c r="A124">
        <v>2</v>
      </c>
      <c r="B124" t="s">
        <v>114</v>
      </c>
      <c r="C124" s="64">
        <v>4</v>
      </c>
      <c r="D124" s="3" t="s">
        <v>175</v>
      </c>
      <c r="E124" s="128">
        <v>0.41693839232937568</v>
      </c>
      <c r="F124" s="128">
        <v>0.30805961029806966</v>
      </c>
      <c r="G124" s="128">
        <v>0.19121239198071716</v>
      </c>
      <c r="H124" s="128">
        <v>2.9267327146087975E-3</v>
      </c>
      <c r="I124" s="128">
        <v>0</v>
      </c>
      <c r="J124" s="128">
        <v>0.80872609763340075</v>
      </c>
    </row>
    <row r="125" spans="1:10">
      <c r="A125">
        <v>2</v>
      </c>
      <c r="B125" t="s">
        <v>114</v>
      </c>
      <c r="C125" s="64">
        <v>4</v>
      </c>
      <c r="D125" s="3" t="s">
        <v>176</v>
      </c>
      <c r="E125" s="128">
        <v>2.5106992363561231E-2</v>
      </c>
      <c r="F125" s="128">
        <v>0.27596967401230138</v>
      </c>
      <c r="G125" s="128">
        <v>0.56775630146959766</v>
      </c>
      <c r="H125" s="128">
        <v>0</v>
      </c>
      <c r="I125" s="128">
        <v>0</v>
      </c>
      <c r="J125" s="128">
        <v>6.5005794682726093E-3</v>
      </c>
    </row>
    <row r="126" spans="1:10">
      <c r="A126">
        <v>2</v>
      </c>
      <c r="B126" t="s">
        <v>114</v>
      </c>
      <c r="C126" s="64">
        <v>4</v>
      </c>
      <c r="D126" s="3" t="s">
        <v>177</v>
      </c>
      <c r="E126" s="128">
        <v>0.40267873336137994</v>
      </c>
      <c r="F126" s="128">
        <v>0.29889685824327394</v>
      </c>
      <c r="G126" s="128">
        <v>0.21286720017663457</v>
      </c>
      <c r="H126" s="128">
        <v>0.99707326728539125</v>
      </c>
      <c r="I126" s="128">
        <v>0</v>
      </c>
      <c r="J126" s="128">
        <v>0.12129233346403528</v>
      </c>
    </row>
    <row r="127" spans="1:10">
      <c r="A127">
        <v>2</v>
      </c>
      <c r="B127" t="s">
        <v>114</v>
      </c>
      <c r="C127" s="64">
        <v>4</v>
      </c>
      <c r="D127" s="3" t="s">
        <v>200</v>
      </c>
      <c r="E127" s="128">
        <v>7.9308354680483098E-2</v>
      </c>
      <c r="F127" s="128">
        <v>8.8079148845800634E-2</v>
      </c>
      <c r="G127" s="128">
        <v>1.1227323430027454E-2</v>
      </c>
      <c r="H127" s="128">
        <v>0</v>
      </c>
      <c r="I127" s="128">
        <v>0</v>
      </c>
      <c r="J127" s="128">
        <v>2.6280486923474879E-2</v>
      </c>
    </row>
    <row r="128" spans="1:10">
      <c r="A128" s="10">
        <v>2</v>
      </c>
      <c r="B128" s="10" t="s">
        <v>114</v>
      </c>
      <c r="C128" s="90">
        <v>4</v>
      </c>
      <c r="D128" s="89" t="s">
        <v>179</v>
      </c>
      <c r="E128" s="129">
        <v>7.5967527265199966E-2</v>
      </c>
      <c r="F128" s="129">
        <v>2.8994708600554486E-2</v>
      </c>
      <c r="G128" s="129">
        <v>1.6936782943023192E-2</v>
      </c>
      <c r="H128" s="129">
        <v>0</v>
      </c>
      <c r="I128" s="129">
        <v>0</v>
      </c>
      <c r="J128" s="129">
        <v>3.7200502510816434E-2</v>
      </c>
    </row>
    <row r="129" spans="1:10">
      <c r="A129">
        <v>1</v>
      </c>
      <c r="B129" t="s">
        <v>115</v>
      </c>
      <c r="C129" s="64">
        <v>1</v>
      </c>
      <c r="D129" s="3" t="s">
        <v>175</v>
      </c>
      <c r="E129" s="128">
        <v>0.14436788156082089</v>
      </c>
      <c r="F129" s="128">
        <v>0.82110270802930785</v>
      </c>
      <c r="G129" s="128">
        <v>0.12281385546221277</v>
      </c>
      <c r="H129" s="128">
        <v>0.19809333878705543</v>
      </c>
      <c r="I129" s="128">
        <v>6.6783731872578078E-2</v>
      </c>
      <c r="J129" s="128">
        <v>0.50269725071995075</v>
      </c>
    </row>
    <row r="130" spans="1:10">
      <c r="A130">
        <v>1</v>
      </c>
      <c r="B130" t="s">
        <v>115</v>
      </c>
      <c r="C130" s="64">
        <v>1</v>
      </c>
      <c r="D130" s="3" t="s">
        <v>176</v>
      </c>
      <c r="E130" s="128">
        <v>3.4799941075200194E-2</v>
      </c>
      <c r="F130" s="128">
        <v>0</v>
      </c>
      <c r="G130" s="128">
        <v>0.29131435508652564</v>
      </c>
      <c r="H130" s="128">
        <v>0.12662399576349612</v>
      </c>
      <c r="I130" s="128">
        <v>6.1256593275071825E-2</v>
      </c>
      <c r="J130" s="128">
        <v>2.358708796158817E-2</v>
      </c>
    </row>
    <row r="131" spans="1:10">
      <c r="A131">
        <v>1</v>
      </c>
      <c r="B131" t="s">
        <v>115</v>
      </c>
      <c r="C131" s="64">
        <v>1</v>
      </c>
      <c r="D131" s="3" t="s">
        <v>177</v>
      </c>
      <c r="E131" s="128">
        <v>0.29677827302302812</v>
      </c>
      <c r="F131" s="128">
        <v>8.9448645985346076E-2</v>
      </c>
      <c r="G131" s="128">
        <v>0.3241429628512687</v>
      </c>
      <c r="H131" s="128">
        <v>0.32963036752566227</v>
      </c>
      <c r="I131" s="128">
        <v>0.64838046199613275</v>
      </c>
      <c r="J131" s="128">
        <v>0.21362158478298704</v>
      </c>
    </row>
    <row r="132" spans="1:10">
      <c r="A132">
        <v>1</v>
      </c>
      <c r="B132" t="s">
        <v>115</v>
      </c>
      <c r="C132" s="64">
        <v>1</v>
      </c>
      <c r="D132" s="3" t="s">
        <v>200</v>
      </c>
      <c r="E132" s="128">
        <v>0.32907653377981</v>
      </c>
      <c r="F132" s="128">
        <v>0</v>
      </c>
      <c r="G132" s="128">
        <v>9.2690315324566036E-2</v>
      </c>
      <c r="H132" s="128">
        <v>0.23502470404595976</v>
      </c>
      <c r="I132" s="128">
        <v>0.15438344292595993</v>
      </c>
      <c r="J132" s="128">
        <v>0.12781271423353313</v>
      </c>
    </row>
    <row r="133" spans="1:10">
      <c r="A133">
        <v>1</v>
      </c>
      <c r="B133" t="s">
        <v>115</v>
      </c>
      <c r="C133" s="66">
        <v>1</v>
      </c>
      <c r="D133" s="3" t="s">
        <v>179</v>
      </c>
      <c r="E133" s="128">
        <v>0.19497737056114078</v>
      </c>
      <c r="F133" s="128">
        <v>8.9448645985346076E-2</v>
      </c>
      <c r="G133" s="128">
        <v>0.16903851127542693</v>
      </c>
      <c r="H133" s="128">
        <v>0.11062759387782636</v>
      </c>
      <c r="I133" s="128">
        <v>6.9195769930257514E-2</v>
      </c>
      <c r="J133" s="128">
        <v>0.13228136230194076</v>
      </c>
    </row>
    <row r="134" spans="1:10">
      <c r="A134">
        <v>1</v>
      </c>
      <c r="B134" t="s">
        <v>115</v>
      </c>
      <c r="C134" s="64">
        <v>2</v>
      </c>
      <c r="D134" s="3" t="s">
        <v>175</v>
      </c>
      <c r="E134" s="128">
        <v>0.30137136616105614</v>
      </c>
      <c r="F134" s="128">
        <v>0.29713311269893483</v>
      </c>
      <c r="G134" s="128">
        <v>0.10109058625658425</v>
      </c>
      <c r="H134" s="128">
        <v>0.25464904192853627</v>
      </c>
      <c r="I134" s="128">
        <v>3.4353035582594095E-2</v>
      </c>
      <c r="J134" s="128">
        <v>0.63377665097077485</v>
      </c>
    </row>
    <row r="135" spans="1:10">
      <c r="A135">
        <v>1</v>
      </c>
      <c r="B135" t="s">
        <v>115</v>
      </c>
      <c r="C135" s="64">
        <v>2</v>
      </c>
      <c r="D135" s="3" t="s">
        <v>176</v>
      </c>
      <c r="E135" s="128">
        <v>1.9363081725878136E-2</v>
      </c>
      <c r="F135" s="128">
        <v>5.6923932734587644E-2</v>
      </c>
      <c r="G135" s="128">
        <v>0.27207177094979751</v>
      </c>
      <c r="H135" s="128">
        <v>0.40432023109454057</v>
      </c>
      <c r="I135" s="128">
        <v>0</v>
      </c>
      <c r="J135" s="128">
        <v>5.040558155853074E-2</v>
      </c>
    </row>
    <row r="136" spans="1:10">
      <c r="A136">
        <v>1</v>
      </c>
      <c r="B136" t="s">
        <v>115</v>
      </c>
      <c r="C136" s="64">
        <v>2</v>
      </c>
      <c r="D136" s="3" t="s">
        <v>177</v>
      </c>
      <c r="E136" s="128">
        <v>0.30390702581989937</v>
      </c>
      <c r="F136" s="128">
        <v>0.53149187087327732</v>
      </c>
      <c r="G136" s="128">
        <v>0.35937529434669419</v>
      </c>
      <c r="H136" s="128">
        <v>0.23494805921793055</v>
      </c>
      <c r="I136" s="128">
        <v>0.96564696441740583</v>
      </c>
      <c r="J136" s="128">
        <v>0.16108647757281147</v>
      </c>
    </row>
    <row r="137" spans="1:10">
      <c r="A137">
        <v>1</v>
      </c>
      <c r="B137" t="s">
        <v>115</v>
      </c>
      <c r="C137" s="64">
        <v>2</v>
      </c>
      <c r="D137" s="3" t="s">
        <v>200</v>
      </c>
      <c r="E137" s="128">
        <v>0.23030285709991546</v>
      </c>
      <c r="F137" s="128">
        <v>0.11445108369320033</v>
      </c>
      <c r="G137" s="128">
        <v>0.26746234844692407</v>
      </c>
      <c r="H137" s="128">
        <v>8.154327225963294E-2</v>
      </c>
      <c r="I137" s="128">
        <v>0</v>
      </c>
      <c r="J137" s="128">
        <v>7.7180690301347554E-2</v>
      </c>
    </row>
    <row r="138" spans="1:10">
      <c r="A138">
        <v>1</v>
      </c>
      <c r="B138" t="s">
        <v>115</v>
      </c>
      <c r="C138" s="66">
        <v>2</v>
      </c>
      <c r="D138" s="3" t="s">
        <v>179</v>
      </c>
      <c r="E138" s="128">
        <v>0.14505566919325083</v>
      </c>
      <c r="F138" s="128">
        <v>0</v>
      </c>
      <c r="G138" s="128">
        <v>0</v>
      </c>
      <c r="H138" s="128">
        <v>2.4539395499359688E-2</v>
      </c>
      <c r="I138" s="128">
        <v>0</v>
      </c>
      <c r="J138" s="128">
        <v>7.7550599596535499E-2</v>
      </c>
    </row>
    <row r="139" spans="1:10">
      <c r="A139">
        <v>1</v>
      </c>
      <c r="B139" t="s">
        <v>115</v>
      </c>
      <c r="C139" s="64">
        <v>3</v>
      </c>
      <c r="D139" s="3" t="s">
        <v>175</v>
      </c>
      <c r="E139" s="128">
        <v>0.37115370939342635</v>
      </c>
      <c r="F139" s="128">
        <v>0.20201293965595218</v>
      </c>
      <c r="G139" s="128">
        <v>0.12610151140305179</v>
      </c>
      <c r="H139" s="128">
        <v>7.2817788636314731E-2</v>
      </c>
      <c r="I139" s="128">
        <v>0</v>
      </c>
      <c r="J139" s="128">
        <v>0.74494139878742172</v>
      </c>
    </row>
    <row r="140" spans="1:10">
      <c r="A140">
        <v>1</v>
      </c>
      <c r="B140" t="s">
        <v>115</v>
      </c>
      <c r="C140" s="64">
        <v>3</v>
      </c>
      <c r="D140" s="3" t="s">
        <v>176</v>
      </c>
      <c r="E140" s="128">
        <v>1.7477710745921297E-2</v>
      </c>
      <c r="F140" s="128">
        <v>0.48659515325973229</v>
      </c>
      <c r="G140" s="128">
        <v>0.67324687745013001</v>
      </c>
      <c r="H140" s="128">
        <v>0.20992136461255417</v>
      </c>
      <c r="I140" s="128">
        <v>0</v>
      </c>
      <c r="J140" s="128">
        <v>9.2302088438173266E-2</v>
      </c>
    </row>
    <row r="141" spans="1:10">
      <c r="A141">
        <v>1</v>
      </c>
      <c r="B141" t="s">
        <v>115</v>
      </c>
      <c r="C141" s="64">
        <v>3</v>
      </c>
      <c r="D141" s="3" t="s">
        <v>177</v>
      </c>
      <c r="E141" s="128">
        <v>0.35028048071152579</v>
      </c>
      <c r="F141" s="128">
        <v>0.23467290712011638</v>
      </c>
      <c r="G141" s="128">
        <v>0.12784227207166199</v>
      </c>
      <c r="H141" s="128">
        <v>0.64253399232913733</v>
      </c>
      <c r="I141" s="128">
        <v>1</v>
      </c>
      <c r="J141" s="128">
        <v>7.8780806568783737E-2</v>
      </c>
    </row>
    <row r="142" spans="1:10">
      <c r="A142">
        <v>1</v>
      </c>
      <c r="B142" t="s">
        <v>115</v>
      </c>
      <c r="C142" s="64">
        <v>3</v>
      </c>
      <c r="D142" s="3" t="s">
        <v>200</v>
      </c>
      <c r="E142" s="128">
        <v>0.179245149908939</v>
      </c>
      <c r="F142" s="128">
        <v>6.7969307950773161E-2</v>
      </c>
      <c r="G142" s="128">
        <v>2.8932437550380174E-2</v>
      </c>
      <c r="H142" s="128">
        <v>3.8656643082032982E-2</v>
      </c>
      <c r="I142" s="128">
        <v>0</v>
      </c>
      <c r="J142" s="128">
        <v>4.9263765148284407E-2</v>
      </c>
    </row>
    <row r="143" spans="1:10">
      <c r="A143">
        <v>1</v>
      </c>
      <c r="B143" t="s">
        <v>115</v>
      </c>
      <c r="C143" s="66">
        <v>3</v>
      </c>
      <c r="D143" s="3" t="s">
        <v>179</v>
      </c>
      <c r="E143" s="128">
        <v>8.1842949240187507E-2</v>
      </c>
      <c r="F143" s="128">
        <v>8.749692013426116E-3</v>
      </c>
      <c r="G143" s="128">
        <v>4.3876901524776045E-2</v>
      </c>
      <c r="H143" s="128">
        <v>3.6070211339960773E-2</v>
      </c>
      <c r="I143" s="128">
        <v>0</v>
      </c>
      <c r="J143" s="128">
        <v>3.4711941057336944E-2</v>
      </c>
    </row>
    <row r="144" spans="1:10">
      <c r="A144">
        <v>1</v>
      </c>
      <c r="B144" t="s">
        <v>115</v>
      </c>
      <c r="C144" s="64">
        <v>4</v>
      </c>
      <c r="D144" s="3" t="s">
        <v>175</v>
      </c>
      <c r="E144" s="128">
        <v>0.44923225394580246</v>
      </c>
      <c r="F144" s="128">
        <v>0.31617147699538123</v>
      </c>
      <c r="G144" s="128">
        <v>0.60825466178290677</v>
      </c>
      <c r="H144" s="128">
        <v>0</v>
      </c>
      <c r="I144" s="128">
        <v>0</v>
      </c>
      <c r="J144" s="128">
        <v>0.75349086520232766</v>
      </c>
    </row>
    <row r="145" spans="1:10">
      <c r="A145">
        <v>1</v>
      </c>
      <c r="B145" t="s">
        <v>115</v>
      </c>
      <c r="C145" s="64">
        <v>4</v>
      </c>
      <c r="D145" s="3" t="s">
        <v>176</v>
      </c>
      <c r="E145" s="128">
        <v>2.8530448168802753E-2</v>
      </c>
      <c r="F145" s="128">
        <v>0.33587715564117621</v>
      </c>
      <c r="G145" s="128">
        <v>0.14896014653056538</v>
      </c>
      <c r="H145" s="128">
        <v>0</v>
      </c>
      <c r="I145" s="128">
        <v>0</v>
      </c>
      <c r="J145" s="128">
        <v>3.0011342190462247E-2</v>
      </c>
    </row>
    <row r="146" spans="1:10">
      <c r="A146">
        <v>1</v>
      </c>
      <c r="B146" t="s">
        <v>115</v>
      </c>
      <c r="C146" s="64">
        <v>4</v>
      </c>
      <c r="D146" s="3" t="s">
        <v>177</v>
      </c>
      <c r="E146" s="128">
        <v>0.3509786783947918</v>
      </c>
      <c r="F146" s="128">
        <v>0.26979333950173873</v>
      </c>
      <c r="G146" s="128">
        <v>0.2427851916865279</v>
      </c>
      <c r="H146" s="128">
        <v>1</v>
      </c>
      <c r="I146" s="128">
        <v>1</v>
      </c>
      <c r="J146" s="128">
        <v>0.16636468983768882</v>
      </c>
    </row>
    <row r="147" spans="1:10">
      <c r="A147">
        <v>1</v>
      </c>
      <c r="B147" t="s">
        <v>115</v>
      </c>
      <c r="C147" s="64">
        <v>4</v>
      </c>
      <c r="D147" s="3" t="s">
        <v>200</v>
      </c>
      <c r="E147" s="128">
        <v>8.7803527248500365E-2</v>
      </c>
      <c r="F147" s="128">
        <v>7.2314445889849435E-2</v>
      </c>
      <c r="G147" s="128">
        <v>0</v>
      </c>
      <c r="H147" s="128">
        <v>0</v>
      </c>
      <c r="I147" s="128">
        <v>0</v>
      </c>
      <c r="J147" s="128">
        <v>1.0364985051340689E-2</v>
      </c>
    </row>
    <row r="148" spans="1:10">
      <c r="A148">
        <v>1</v>
      </c>
      <c r="B148" t="s">
        <v>115</v>
      </c>
      <c r="C148" s="90">
        <v>4</v>
      </c>
      <c r="D148" s="89" t="s">
        <v>179</v>
      </c>
      <c r="E148" s="128">
        <v>8.3455092242102638E-2</v>
      </c>
      <c r="F148" s="128">
        <v>5.8435819718544446E-3</v>
      </c>
      <c r="G148" s="128">
        <v>0</v>
      </c>
      <c r="H148" s="128">
        <v>0</v>
      </c>
      <c r="I148" s="128">
        <v>0</v>
      </c>
      <c r="J148" s="128">
        <v>3.9768117718180652E-2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545EA-AE94-C442-B2CE-29276C5E8159}">
  <sheetPr>
    <tabColor rgb="FFFFFF00"/>
  </sheetPr>
  <dimension ref="A1:AA83"/>
  <sheetViews>
    <sheetView zoomScale="60" zoomScaleNormal="60" workbookViewId="0">
      <selection activeCell="D5" sqref="D5:D24"/>
    </sheetView>
  </sheetViews>
  <sheetFormatPr baseColWidth="10" defaultColWidth="8.83203125" defaultRowHeight="15"/>
  <cols>
    <col min="1" max="1" width="21.6640625" customWidth="1"/>
    <col min="2" max="2" width="19.83203125" customWidth="1"/>
    <col min="3" max="3" width="26.6640625" customWidth="1"/>
    <col min="4" max="4" width="27.5" customWidth="1"/>
    <col min="5" max="7" width="18.5" customWidth="1"/>
    <col min="8" max="8" width="14.5" customWidth="1"/>
    <col min="9" max="9" width="18.5" customWidth="1"/>
    <col min="10" max="11" width="15.83203125" customWidth="1"/>
    <col min="12" max="12" width="14.5" customWidth="1"/>
    <col min="13" max="13" width="23.6640625" customWidth="1"/>
    <col min="14" max="15" width="18" bestFit="1" customWidth="1"/>
    <col min="16" max="16" width="25.5" customWidth="1"/>
    <col min="17" max="17" width="16.83203125" customWidth="1"/>
    <col min="18" max="18" width="12.33203125" bestFit="1" customWidth="1"/>
    <col min="22" max="22" width="25" customWidth="1"/>
    <col min="23" max="23" width="14.5" bestFit="1" customWidth="1"/>
    <col min="25" max="25" width="20.33203125" bestFit="1" customWidth="1"/>
    <col min="26" max="26" width="18.5" customWidth="1"/>
    <col min="27" max="27" width="14.5" bestFit="1" customWidth="1"/>
  </cols>
  <sheetData>
    <row r="1" spans="1:27" ht="25" customHeight="1">
      <c r="A1" s="342" t="s">
        <v>158</v>
      </c>
      <c r="B1" s="343"/>
      <c r="C1" s="343"/>
      <c r="D1" s="343"/>
      <c r="E1" s="343"/>
      <c r="F1" s="343"/>
      <c r="G1" s="343"/>
      <c r="H1" s="343"/>
      <c r="I1" s="343"/>
      <c r="J1" s="343"/>
      <c r="K1" s="343"/>
      <c r="L1" s="344"/>
    </row>
    <row r="2" spans="1:27" ht="19" customHeight="1">
      <c r="A2" s="345" t="s">
        <v>159</v>
      </c>
      <c r="B2" s="346"/>
      <c r="C2" s="346"/>
      <c r="D2" s="347"/>
      <c r="E2" s="354" t="s">
        <v>160</v>
      </c>
      <c r="F2" s="355"/>
      <c r="G2" s="355"/>
      <c r="H2" s="355"/>
      <c r="I2" s="355"/>
      <c r="J2" s="355"/>
      <c r="K2" s="355"/>
      <c r="L2" s="356"/>
    </row>
    <row r="3" spans="1:27" ht="36" customHeight="1">
      <c r="A3" s="348"/>
      <c r="B3" s="349"/>
      <c r="C3" s="349"/>
      <c r="D3" s="350"/>
      <c r="E3" s="38"/>
      <c r="F3" s="38"/>
      <c r="G3" s="38" t="s">
        <v>161</v>
      </c>
      <c r="H3" s="38" t="s">
        <v>6</v>
      </c>
      <c r="I3" s="38" t="s">
        <v>163</v>
      </c>
      <c r="J3" s="38" t="s">
        <v>164</v>
      </c>
      <c r="K3" s="38" t="s">
        <v>165</v>
      </c>
      <c r="L3" s="297" t="s">
        <v>785</v>
      </c>
      <c r="M3" s="39" t="s">
        <v>167</v>
      </c>
      <c r="N3" s="40" t="s">
        <v>168</v>
      </c>
      <c r="O3" s="41" t="s">
        <v>224</v>
      </c>
      <c r="P3" s="40" t="s">
        <v>169</v>
      </c>
      <c r="Q3" s="41" t="s">
        <v>170</v>
      </c>
      <c r="R3" s="99" t="s">
        <v>225</v>
      </c>
      <c r="Y3" t="s">
        <v>223</v>
      </c>
    </row>
    <row r="4" spans="1:27" ht="19" customHeight="1">
      <c r="A4" s="351"/>
      <c r="B4" s="352"/>
      <c r="C4" s="352"/>
      <c r="D4" s="353"/>
      <c r="E4" s="42"/>
      <c r="F4" s="42"/>
      <c r="G4" s="42"/>
      <c r="H4" s="42" t="s">
        <v>171</v>
      </c>
      <c r="I4" s="42" t="s">
        <v>171</v>
      </c>
      <c r="J4" s="42" t="s">
        <v>171</v>
      </c>
      <c r="K4" s="42" t="s">
        <v>171</v>
      </c>
      <c r="L4" s="43" t="s">
        <v>171</v>
      </c>
      <c r="N4" s="5"/>
      <c r="O4" s="95" t="s">
        <v>219</v>
      </c>
      <c r="U4" s="95" t="s">
        <v>95</v>
      </c>
      <c r="V4" s="95" t="s">
        <v>96</v>
      </c>
      <c r="W4" s="95" t="s">
        <v>219</v>
      </c>
      <c r="Y4" s="95" t="s">
        <v>95</v>
      </c>
      <c r="Z4" s="95" t="s">
        <v>96</v>
      </c>
      <c r="AA4" s="95" t="s">
        <v>219</v>
      </c>
    </row>
    <row r="5" spans="1:27" ht="20" customHeight="1">
      <c r="A5" s="357" t="s">
        <v>172</v>
      </c>
      <c r="B5" s="359" t="s">
        <v>173</v>
      </c>
      <c r="C5" s="359" t="s">
        <v>174</v>
      </c>
      <c r="D5" s="44" t="s">
        <v>175</v>
      </c>
      <c r="E5" s="45"/>
      <c r="F5" s="45"/>
      <c r="G5" s="45">
        <v>449842745.88199103</v>
      </c>
      <c r="H5" s="94">
        <v>46307566.253469303</v>
      </c>
      <c r="J5" s="45">
        <v>724408881.37946868</v>
      </c>
      <c r="K5" s="45">
        <v>140815307.51021555</v>
      </c>
      <c r="M5" s="47">
        <f>SUM(G5:J5)</f>
        <v>1220559193.5149291</v>
      </c>
      <c r="N5" s="48">
        <f>SUM(G5:H5)+SUM(J5:K5)</f>
        <v>1361374501.0251446</v>
      </c>
      <c r="O5" s="94">
        <v>1254150705.2116594</v>
      </c>
      <c r="P5" s="47">
        <f>M5-O5</f>
        <v>-33591511.696730375</v>
      </c>
      <c r="Q5" s="47">
        <f>N5-O5</f>
        <v>107223795.81348515</v>
      </c>
      <c r="R5" s="97">
        <f>P5/((M5+O5)/2)</f>
        <v>-2.7147837986194311E-2</v>
      </c>
      <c r="U5" s="5">
        <v>1</v>
      </c>
      <c r="V5" t="s">
        <v>75</v>
      </c>
      <c r="W5" s="94">
        <v>1033625008.2462384</v>
      </c>
      <c r="Y5" s="96">
        <v>1</v>
      </c>
      <c r="Z5" t="s">
        <v>83</v>
      </c>
      <c r="AA5" s="94">
        <v>1254150705.2116594</v>
      </c>
    </row>
    <row r="6" spans="1:27" ht="20" customHeight="1">
      <c r="A6" s="358"/>
      <c r="B6" s="341"/>
      <c r="C6" s="341"/>
      <c r="D6" s="49" t="s">
        <v>176</v>
      </c>
      <c r="E6" s="50"/>
      <c r="F6" s="45"/>
      <c r="G6" s="51">
        <v>128355723.81475021</v>
      </c>
      <c r="H6" s="94">
        <v>31468012.634388719</v>
      </c>
      <c r="J6" s="50">
        <v>598967040.7601999</v>
      </c>
      <c r="K6" s="50">
        <v>175319555.86746424</v>
      </c>
      <c r="M6" s="47">
        <f t="shared" ref="M6:M24" si="0">SUM(G6:J6)</f>
        <v>758790777.2093389</v>
      </c>
      <c r="N6" s="48">
        <f t="shared" ref="N6:N24" si="1">SUM(G6:H6)+SUM(J6:K6)</f>
        <v>934110333.07680297</v>
      </c>
      <c r="O6" s="94">
        <v>766125235.90227711</v>
      </c>
      <c r="P6" s="47">
        <f t="shared" ref="P6:P24" si="2">M6-O6</f>
        <v>-7334458.6929382086</v>
      </c>
      <c r="Q6" s="47">
        <f t="shared" ref="Q6:Q24" si="3">N6-O6</f>
        <v>167985097.17452586</v>
      </c>
      <c r="R6" s="97">
        <f t="shared" ref="R6:R24" si="4">P6/((M6+O6)/2)</f>
        <v>-9.6194919980833894E-3</v>
      </c>
      <c r="U6" s="5">
        <v>1</v>
      </c>
      <c r="V6" t="s">
        <v>80</v>
      </c>
      <c r="W6" s="94">
        <v>766125235.90227711</v>
      </c>
      <c r="Y6" s="5">
        <v>1</v>
      </c>
      <c r="Z6" t="s">
        <v>80</v>
      </c>
      <c r="AA6" s="94">
        <v>766125235.90227711</v>
      </c>
    </row>
    <row r="7" spans="1:27" ht="20" customHeight="1">
      <c r="A7" s="358"/>
      <c r="B7" s="341"/>
      <c r="C7" s="341"/>
      <c r="D7" s="49" t="s">
        <v>177</v>
      </c>
      <c r="E7" s="50"/>
      <c r="F7" s="45"/>
      <c r="G7" s="51">
        <v>1069259673.3562975</v>
      </c>
      <c r="H7" s="94">
        <v>47155242.313017301</v>
      </c>
      <c r="J7" s="50">
        <v>1227303972.7639661</v>
      </c>
      <c r="K7" s="50">
        <v>1252350792.221952</v>
      </c>
      <c r="M7" s="47">
        <f t="shared" si="0"/>
        <v>2343718888.4332809</v>
      </c>
      <c r="N7" s="48">
        <f t="shared" si="1"/>
        <v>3596069680.6552329</v>
      </c>
      <c r="O7" s="94">
        <v>2377951904.8373775</v>
      </c>
      <c r="P7" s="47">
        <f t="shared" si="2"/>
        <v>-34233016.404096603</v>
      </c>
      <c r="Q7" s="47">
        <f t="shared" si="3"/>
        <v>1218117775.8178554</v>
      </c>
      <c r="R7" s="97">
        <f t="shared" si="4"/>
        <v>-1.4500382556482174E-2</v>
      </c>
      <c r="U7" s="5">
        <v>1</v>
      </c>
      <c r="V7" t="s">
        <v>81</v>
      </c>
      <c r="W7" s="94">
        <v>2377951904.8373775</v>
      </c>
      <c r="Y7" s="5">
        <v>1</v>
      </c>
      <c r="Z7" t="s">
        <v>81</v>
      </c>
      <c r="AA7" s="94">
        <v>2377951904.8373775</v>
      </c>
    </row>
    <row r="8" spans="1:27" ht="20" customHeight="1">
      <c r="A8" s="358"/>
      <c r="B8" s="341"/>
      <c r="C8" s="341"/>
      <c r="D8" s="49" t="s">
        <v>178</v>
      </c>
      <c r="E8" s="50"/>
      <c r="F8" s="45"/>
      <c r="G8" s="51">
        <v>1229051602.0726454</v>
      </c>
      <c r="H8" s="94">
        <v>49336099.772080861</v>
      </c>
      <c r="J8" s="50">
        <v>1019577912.8084719</v>
      </c>
      <c r="K8" s="50">
        <v>636938798.47803771</v>
      </c>
      <c r="M8" s="47">
        <f t="shared" si="0"/>
        <v>2297965614.6531982</v>
      </c>
      <c r="N8" s="48">
        <f t="shared" si="1"/>
        <v>2934904413.1312361</v>
      </c>
      <c r="O8" s="94">
        <v>2322883089.6000986</v>
      </c>
      <c r="P8" s="47">
        <f t="shared" si="2"/>
        <v>-24917474.946900368</v>
      </c>
      <c r="Q8" s="47">
        <f t="shared" si="3"/>
        <v>612021323.53113747</v>
      </c>
      <c r="R8" s="97">
        <f t="shared" si="4"/>
        <v>-1.0784804498777414E-2</v>
      </c>
      <c r="U8" s="5">
        <v>1</v>
      </c>
      <c r="V8" t="s">
        <v>82</v>
      </c>
      <c r="W8" s="94">
        <v>2322883089.6000986</v>
      </c>
      <c r="Y8" s="5">
        <v>1</v>
      </c>
      <c r="Z8" t="s">
        <v>82</v>
      </c>
      <c r="AA8" s="94">
        <v>2322883089.6000986</v>
      </c>
    </row>
    <row r="9" spans="1:27" ht="20" customHeight="1">
      <c r="A9" s="358"/>
      <c r="B9" s="341"/>
      <c r="C9" s="341"/>
      <c r="D9" s="53" t="s">
        <v>179</v>
      </c>
      <c r="E9" s="54"/>
      <c r="F9" s="45"/>
      <c r="G9" s="55">
        <v>626291920.45841801</v>
      </c>
      <c r="H9" s="94">
        <v>11011591.753026353</v>
      </c>
      <c r="J9" s="54">
        <v>372677955.55919969</v>
      </c>
      <c r="K9" s="54">
        <v>204710161.42350003</v>
      </c>
      <c r="M9" s="47">
        <f t="shared" si="0"/>
        <v>1009981467.7706441</v>
      </c>
      <c r="N9" s="48">
        <f t="shared" si="1"/>
        <v>1214691629.1941442</v>
      </c>
      <c r="O9" s="94">
        <v>1033625008.2462384</v>
      </c>
      <c r="P9" s="47">
        <f t="shared" si="2"/>
        <v>-23643540.475594282</v>
      </c>
      <c r="Q9" s="47">
        <f t="shared" si="3"/>
        <v>181066620.9479059</v>
      </c>
      <c r="R9" s="97">
        <f t="shared" si="4"/>
        <v>-2.3139034596990543E-2</v>
      </c>
      <c r="U9" s="96">
        <v>1</v>
      </c>
      <c r="V9" t="s">
        <v>83</v>
      </c>
      <c r="W9" s="94">
        <v>1254150705.2116594</v>
      </c>
      <c r="Y9" s="5">
        <v>1</v>
      </c>
      <c r="Z9" t="s">
        <v>75</v>
      </c>
      <c r="AA9" s="94">
        <v>1033625008.2462384</v>
      </c>
    </row>
    <row r="10" spans="1:27" s="6" customFormat="1" ht="20" customHeight="1">
      <c r="A10" s="358"/>
      <c r="B10" s="341" t="s">
        <v>180</v>
      </c>
      <c r="C10" s="341" t="s">
        <v>174</v>
      </c>
      <c r="D10" s="57" t="s">
        <v>175</v>
      </c>
      <c r="E10" s="58"/>
      <c r="F10" s="45"/>
      <c r="G10" s="58">
        <v>358853800.12348086</v>
      </c>
      <c r="H10" s="94">
        <v>57216067.88079536</v>
      </c>
      <c r="J10" s="58">
        <v>111552432.60446179</v>
      </c>
      <c r="K10" s="58">
        <v>1293979.1240102376</v>
      </c>
      <c r="M10" s="47">
        <f t="shared" si="0"/>
        <v>527622300.60873801</v>
      </c>
      <c r="N10" s="48">
        <f t="shared" si="1"/>
        <v>528916279.73274827</v>
      </c>
      <c r="O10" s="94">
        <v>577822536.39123797</v>
      </c>
      <c r="P10" s="47">
        <f t="shared" si="2"/>
        <v>-50200235.782499969</v>
      </c>
      <c r="Q10" s="47">
        <f t="shared" si="3"/>
        <v>-48906256.658489704</v>
      </c>
      <c r="R10" s="97">
        <f t="shared" si="4"/>
        <v>-9.0823592643005963E-2</v>
      </c>
      <c r="U10" s="5">
        <v>2</v>
      </c>
      <c r="V10" t="s">
        <v>75</v>
      </c>
      <c r="W10" s="94">
        <v>203600974.14029256</v>
      </c>
      <c r="Y10" s="96">
        <v>2</v>
      </c>
      <c r="Z10" t="s">
        <v>83</v>
      </c>
      <c r="AA10" s="94">
        <v>577822536.39123797</v>
      </c>
    </row>
    <row r="11" spans="1:27" ht="20" customHeight="1">
      <c r="A11" s="358"/>
      <c r="B11" s="341"/>
      <c r="C11" s="341"/>
      <c r="D11" s="49" t="s">
        <v>176</v>
      </c>
      <c r="E11" s="50"/>
      <c r="F11" s="45"/>
      <c r="G11" s="51">
        <v>31791526.018919542</v>
      </c>
      <c r="H11" s="94">
        <v>29656335.69204884</v>
      </c>
      <c r="J11" s="50">
        <v>66312958.19142095</v>
      </c>
      <c r="K11" s="50">
        <v>185530.89406030331</v>
      </c>
      <c r="M11" s="47">
        <f t="shared" si="0"/>
        <v>127760819.90238933</v>
      </c>
      <c r="N11" s="48">
        <f t="shared" si="1"/>
        <v>127946350.79644963</v>
      </c>
      <c r="O11" s="94">
        <v>136187635.22391072</v>
      </c>
      <c r="P11" s="47">
        <f t="shared" si="2"/>
        <v>-8426815.3215213865</v>
      </c>
      <c r="Q11" s="47">
        <f t="shared" si="3"/>
        <v>-8241284.4274610877</v>
      </c>
      <c r="R11" s="97">
        <f t="shared" si="4"/>
        <v>-6.3851976837592278E-2</v>
      </c>
      <c r="U11" s="5">
        <v>2</v>
      </c>
      <c r="V11" t="s">
        <v>80</v>
      </c>
      <c r="W11" s="94">
        <v>136187635.22391072</v>
      </c>
      <c r="Y11" s="5">
        <v>2</v>
      </c>
      <c r="Z11" t="s">
        <v>80</v>
      </c>
      <c r="AA11" s="94">
        <v>136187635.22391072</v>
      </c>
    </row>
    <row r="12" spans="1:27" ht="20" customHeight="1">
      <c r="A12" s="358"/>
      <c r="B12" s="341"/>
      <c r="C12" s="341"/>
      <c r="D12" s="49" t="s">
        <v>177</v>
      </c>
      <c r="E12" s="50"/>
      <c r="F12" s="45"/>
      <c r="G12" s="51">
        <v>430091384.061373</v>
      </c>
      <c r="H12" s="94">
        <v>31866248.931110032</v>
      </c>
      <c r="J12" s="50">
        <v>107189310.37386458</v>
      </c>
      <c r="K12" s="50">
        <v>65868008.083009683</v>
      </c>
      <c r="M12" s="47">
        <f t="shared" si="0"/>
        <v>569146943.36634755</v>
      </c>
      <c r="N12" s="48">
        <f t="shared" si="1"/>
        <v>635014951.44935727</v>
      </c>
      <c r="O12" s="94">
        <v>672903471.29701006</v>
      </c>
      <c r="P12" s="47">
        <f t="shared" si="2"/>
        <v>-103756527.93066251</v>
      </c>
      <c r="Q12" s="47">
        <f t="shared" si="3"/>
        <v>-37888519.847652793</v>
      </c>
      <c r="R12" s="101">
        <f t="shared" si="4"/>
        <v>-0.16707297337650248</v>
      </c>
      <c r="U12" s="5">
        <v>2</v>
      </c>
      <c r="V12" t="s">
        <v>81</v>
      </c>
      <c r="W12" s="94">
        <v>672903471.29701006</v>
      </c>
      <c r="Y12" s="5">
        <v>2</v>
      </c>
      <c r="Z12" t="s">
        <v>81</v>
      </c>
      <c r="AA12" s="94">
        <v>672903471.29701006</v>
      </c>
    </row>
    <row r="13" spans="1:27" ht="20" customHeight="1">
      <c r="A13" s="358"/>
      <c r="B13" s="341"/>
      <c r="C13" s="341"/>
      <c r="D13" s="49" t="s">
        <v>178</v>
      </c>
      <c r="E13" s="50"/>
      <c r="F13" s="45"/>
      <c r="G13" s="51">
        <v>254611771.69617617</v>
      </c>
      <c r="H13" s="94">
        <v>28216995.044964552</v>
      </c>
      <c r="J13" s="50">
        <v>29212887.373747572</v>
      </c>
      <c r="K13" s="50">
        <v>1673842.2720762878</v>
      </c>
      <c r="M13" s="47">
        <f t="shared" si="0"/>
        <v>312041654.11488831</v>
      </c>
      <c r="N13" s="48">
        <f t="shared" si="1"/>
        <v>313715496.38696456</v>
      </c>
      <c r="O13" s="94">
        <v>350578112.23862702</v>
      </c>
      <c r="P13" s="47">
        <f t="shared" si="2"/>
        <v>-38536458.123738706</v>
      </c>
      <c r="Q13" s="47">
        <f t="shared" si="3"/>
        <v>-36862615.851662457</v>
      </c>
      <c r="R13" s="101">
        <f t="shared" si="4"/>
        <v>-0.11631544991725784</v>
      </c>
      <c r="U13" s="5">
        <v>2</v>
      </c>
      <c r="V13" t="s">
        <v>82</v>
      </c>
      <c r="W13" s="94">
        <v>350578112.23862702</v>
      </c>
      <c r="Y13" s="5">
        <v>2</v>
      </c>
      <c r="Z13" t="s">
        <v>82</v>
      </c>
      <c r="AA13" s="94">
        <v>350578112.23862702</v>
      </c>
    </row>
    <row r="14" spans="1:27" ht="20" customHeight="1">
      <c r="A14" s="358"/>
      <c r="B14" s="341"/>
      <c r="C14" s="341"/>
      <c r="D14" s="53" t="s">
        <v>179</v>
      </c>
      <c r="E14" s="54"/>
      <c r="F14" s="45"/>
      <c r="G14" s="55">
        <v>167503347.52365986</v>
      </c>
      <c r="H14" s="94">
        <v>7129947.9489206271</v>
      </c>
      <c r="J14" s="54">
        <v>11970105.461469932</v>
      </c>
      <c r="K14" s="54">
        <v>913815.73036516062</v>
      </c>
      <c r="M14" s="47">
        <f t="shared" si="0"/>
        <v>186603400.93405041</v>
      </c>
      <c r="N14" s="48">
        <f t="shared" si="1"/>
        <v>187517216.6644156</v>
      </c>
      <c r="O14" s="94">
        <v>203600974.14029256</v>
      </c>
      <c r="P14" s="47">
        <f t="shared" si="2"/>
        <v>-16997573.206242144</v>
      </c>
      <c r="Q14" s="47">
        <f t="shared" si="3"/>
        <v>-16083757.475876957</v>
      </c>
      <c r="R14" s="97">
        <f t="shared" si="4"/>
        <v>-8.7121387109017998E-2</v>
      </c>
      <c r="U14" s="96">
        <v>2</v>
      </c>
      <c r="V14" t="s">
        <v>83</v>
      </c>
      <c r="W14" s="94">
        <v>577822536.39123797</v>
      </c>
      <c r="Y14" s="5">
        <v>2</v>
      </c>
      <c r="Z14" t="s">
        <v>75</v>
      </c>
      <c r="AA14" s="94">
        <v>203600974.14029256</v>
      </c>
    </row>
    <row r="15" spans="1:27" s="6" customFormat="1" ht="20" customHeight="1">
      <c r="A15" s="358"/>
      <c r="B15" s="341" t="s">
        <v>181</v>
      </c>
      <c r="C15" s="341" t="s">
        <v>174</v>
      </c>
      <c r="D15" s="57" t="s">
        <v>175</v>
      </c>
      <c r="E15" s="58"/>
      <c r="F15" s="45"/>
      <c r="G15" s="58">
        <v>674448531.57937503</v>
      </c>
      <c r="H15" s="94">
        <v>135893457.7122665</v>
      </c>
      <c r="J15" s="58">
        <v>24356503.939583715</v>
      </c>
      <c r="K15" s="58">
        <v>441337.18464325811</v>
      </c>
      <c r="M15" s="47">
        <f t="shared" si="0"/>
        <v>834698493.23122513</v>
      </c>
      <c r="N15" s="48">
        <f t="shared" si="1"/>
        <v>835139830.4158684</v>
      </c>
      <c r="O15" s="94">
        <v>578489362.48026466</v>
      </c>
      <c r="P15" s="98">
        <f t="shared" si="2"/>
        <v>256209130.75096047</v>
      </c>
      <c r="Q15" s="47">
        <f t="shared" si="3"/>
        <v>256650467.93560374</v>
      </c>
      <c r="R15" s="100">
        <f t="shared" si="4"/>
        <v>0.36259741366368919</v>
      </c>
      <c r="U15" s="5">
        <v>3</v>
      </c>
      <c r="V15" t="s">
        <v>75</v>
      </c>
      <c r="W15" s="94">
        <v>116043999.82468094</v>
      </c>
      <c r="Y15" s="96">
        <v>3</v>
      </c>
      <c r="Z15" t="s">
        <v>83</v>
      </c>
      <c r="AA15" s="94">
        <v>578489362.48026466</v>
      </c>
    </row>
    <row r="16" spans="1:27" ht="20" customHeight="1">
      <c r="A16" s="358"/>
      <c r="B16" s="341"/>
      <c r="C16" s="341"/>
      <c r="D16" s="49" t="s">
        <v>176</v>
      </c>
      <c r="E16" s="50"/>
      <c r="F16" s="45"/>
      <c r="G16" s="51">
        <v>38589765.765310913</v>
      </c>
      <c r="H16" s="94">
        <v>73702084.38616395</v>
      </c>
      <c r="J16" s="50">
        <v>13698192.526881656</v>
      </c>
      <c r="K16" s="50">
        <v>0</v>
      </c>
      <c r="M16" s="47">
        <f t="shared" si="0"/>
        <v>125990042.67835651</v>
      </c>
      <c r="N16" s="48">
        <f t="shared" si="1"/>
        <v>125990042.67835651</v>
      </c>
      <c r="O16" s="94">
        <v>90272854.190513581</v>
      </c>
      <c r="P16" s="98">
        <f t="shared" si="2"/>
        <v>35717188.487842932</v>
      </c>
      <c r="Q16" s="47">
        <f t="shared" si="3"/>
        <v>35717188.487842932</v>
      </c>
      <c r="R16" s="100">
        <f t="shared" si="4"/>
        <v>0.33031267965951522</v>
      </c>
      <c r="U16" s="5">
        <v>3</v>
      </c>
      <c r="V16" t="s">
        <v>80</v>
      </c>
      <c r="W16" s="94">
        <v>90272854.190513581</v>
      </c>
      <c r="Y16" s="5">
        <v>3</v>
      </c>
      <c r="Z16" t="s">
        <v>80</v>
      </c>
      <c r="AA16" s="94">
        <v>90272854.190513581</v>
      </c>
    </row>
    <row r="17" spans="1:27" ht="20" customHeight="1">
      <c r="A17" s="358"/>
      <c r="B17" s="341"/>
      <c r="C17" s="341"/>
      <c r="D17" s="49" t="s">
        <v>177</v>
      </c>
      <c r="E17" s="50"/>
      <c r="F17" s="45"/>
      <c r="G17" s="51">
        <v>523838797.36054087</v>
      </c>
      <c r="H17" s="94">
        <v>55364983.704379134</v>
      </c>
      <c r="J17" s="50">
        <v>93614948.08039166</v>
      </c>
      <c r="K17" s="50">
        <v>14497308.189763606</v>
      </c>
      <c r="M17" s="47">
        <f t="shared" si="0"/>
        <v>672818729.14531159</v>
      </c>
      <c r="N17" s="48">
        <f t="shared" si="1"/>
        <v>687316037.33507526</v>
      </c>
      <c r="O17" s="94">
        <v>483252702.26988983</v>
      </c>
      <c r="P17" s="98">
        <f t="shared" si="2"/>
        <v>189566026.87542176</v>
      </c>
      <c r="Q17" s="47">
        <f t="shared" si="3"/>
        <v>204063335.06518543</v>
      </c>
      <c r="R17" s="100">
        <f t="shared" si="4"/>
        <v>0.32794864006519919</v>
      </c>
      <c r="U17" s="5">
        <v>3</v>
      </c>
      <c r="V17" t="s">
        <v>81</v>
      </c>
      <c r="W17" s="94">
        <v>483252702.26988983</v>
      </c>
      <c r="Y17" s="5">
        <v>3</v>
      </c>
      <c r="Z17" t="s">
        <v>81</v>
      </c>
      <c r="AA17" s="94">
        <v>483252702.26988983</v>
      </c>
    </row>
    <row r="18" spans="1:27" ht="20" customHeight="1">
      <c r="A18" s="358"/>
      <c r="B18" s="341"/>
      <c r="C18" s="341"/>
      <c r="D18" s="49" t="s">
        <v>178</v>
      </c>
      <c r="E18" s="50"/>
      <c r="F18" s="45"/>
      <c r="G18" s="51">
        <v>236781221.0708186</v>
      </c>
      <c r="H18" s="94">
        <v>22877929.27293203</v>
      </c>
      <c r="J18" s="50">
        <v>3894881.2427643668</v>
      </c>
      <c r="K18" s="50">
        <v>92290.804252919275</v>
      </c>
      <c r="M18" s="47">
        <f t="shared" si="0"/>
        <v>263554031.58651498</v>
      </c>
      <c r="N18" s="48">
        <f t="shared" si="1"/>
        <v>263646322.3907679</v>
      </c>
      <c r="O18" s="94">
        <v>187158905.30710626</v>
      </c>
      <c r="P18" s="98">
        <f t="shared" si="2"/>
        <v>76395126.279408723</v>
      </c>
      <c r="Q18" s="47">
        <f t="shared" si="3"/>
        <v>76487417.083661646</v>
      </c>
      <c r="R18" s="100">
        <f t="shared" si="4"/>
        <v>0.33899682048593943</v>
      </c>
      <c r="U18" s="5">
        <v>3</v>
      </c>
      <c r="V18" t="s">
        <v>82</v>
      </c>
      <c r="W18" s="94">
        <v>187158905.30710626</v>
      </c>
      <c r="Y18" s="5">
        <v>3</v>
      </c>
      <c r="Z18" t="s">
        <v>82</v>
      </c>
      <c r="AA18" s="94">
        <v>187158905.30710626</v>
      </c>
    </row>
    <row r="19" spans="1:27" ht="20" customHeight="1">
      <c r="A19" s="358"/>
      <c r="B19" s="341"/>
      <c r="C19" s="341"/>
      <c r="D19" s="53" t="s">
        <v>179</v>
      </c>
      <c r="E19" s="54"/>
      <c r="F19" s="45"/>
      <c r="G19" s="55">
        <v>154577679.98910242</v>
      </c>
      <c r="H19" s="94">
        <v>7349747.9753269171</v>
      </c>
      <c r="J19" s="54">
        <v>2703732.7632204094</v>
      </c>
      <c r="K19" s="54">
        <v>0</v>
      </c>
      <c r="M19" s="47">
        <f t="shared" si="0"/>
        <v>164631160.72764975</v>
      </c>
      <c r="N19" s="48">
        <f t="shared" si="1"/>
        <v>164631160.72764975</v>
      </c>
      <c r="O19" s="94">
        <v>116043999.82468094</v>
      </c>
      <c r="P19" s="98">
        <f t="shared" si="2"/>
        <v>48587160.902968809</v>
      </c>
      <c r="Q19" s="47">
        <f t="shared" si="3"/>
        <v>48587160.902968809</v>
      </c>
      <c r="R19" s="100">
        <f t="shared" si="4"/>
        <v>0.34621632215231202</v>
      </c>
      <c r="U19" s="96">
        <v>3</v>
      </c>
      <c r="V19" t="s">
        <v>83</v>
      </c>
      <c r="W19" s="94">
        <v>578489362.48026466</v>
      </c>
      <c r="Y19" s="5">
        <v>3</v>
      </c>
      <c r="Z19" t="s">
        <v>75</v>
      </c>
      <c r="AA19" s="94">
        <v>116043999.82468094</v>
      </c>
    </row>
    <row r="20" spans="1:27" s="6" customFormat="1" ht="20" customHeight="1">
      <c r="A20" s="358"/>
      <c r="B20" s="341" t="s">
        <v>182</v>
      </c>
      <c r="C20" s="341" t="s">
        <v>174</v>
      </c>
      <c r="D20" s="57" t="s">
        <v>175</v>
      </c>
      <c r="E20" s="58"/>
      <c r="F20" s="45"/>
      <c r="G20" s="58">
        <v>411110052.23995024</v>
      </c>
      <c r="H20" s="94">
        <v>103544138.94176848</v>
      </c>
      <c r="J20" s="58">
        <v>410188.92346563627</v>
      </c>
      <c r="K20" s="58">
        <v>134138.7363931158</v>
      </c>
      <c r="M20" s="47">
        <f t="shared" si="0"/>
        <v>515064380.10518432</v>
      </c>
      <c r="N20" s="48">
        <f t="shared" si="1"/>
        <v>515198518.84157747</v>
      </c>
      <c r="O20" s="94">
        <v>698154900.51431489</v>
      </c>
      <c r="P20" s="98">
        <f t="shared" si="2"/>
        <v>-183090520.40913057</v>
      </c>
      <c r="Q20" s="47">
        <f t="shared" si="3"/>
        <v>-182956381.67273742</v>
      </c>
      <c r="R20" s="100">
        <f t="shared" si="4"/>
        <v>-0.3018259325975105</v>
      </c>
      <c r="U20" s="5">
        <v>4</v>
      </c>
      <c r="V20" t="s">
        <v>75</v>
      </c>
      <c r="W20" s="94">
        <v>116618593.31809272</v>
      </c>
      <c r="Y20" s="96">
        <v>4</v>
      </c>
      <c r="Z20" t="s">
        <v>83</v>
      </c>
      <c r="AA20" s="94">
        <v>698154900.51431489</v>
      </c>
    </row>
    <row r="21" spans="1:27" ht="20" customHeight="1">
      <c r="A21" s="358"/>
      <c r="B21" s="341"/>
      <c r="C21" s="341"/>
      <c r="D21" s="49" t="s">
        <v>176</v>
      </c>
      <c r="E21" s="50"/>
      <c r="F21" s="45"/>
      <c r="G21" s="51">
        <v>22462810.730523624</v>
      </c>
      <c r="H21" s="94">
        <v>50671687.90117725</v>
      </c>
      <c r="J21" s="50">
        <v>0</v>
      </c>
      <c r="K21" s="50">
        <v>190107.37757854562</v>
      </c>
      <c r="M21" s="47">
        <f t="shared" si="0"/>
        <v>73134498.631700873</v>
      </c>
      <c r="N21" s="48">
        <f t="shared" si="1"/>
        <v>73324606.009279415</v>
      </c>
      <c r="O21" s="94">
        <v>99224473.415067464</v>
      </c>
      <c r="P21" s="98">
        <f t="shared" si="2"/>
        <v>-26089974.783366591</v>
      </c>
      <c r="Q21" s="47">
        <f t="shared" si="3"/>
        <v>-25899867.405788049</v>
      </c>
      <c r="R21" s="100">
        <f t="shared" si="4"/>
        <v>-0.30273996733152098</v>
      </c>
      <c r="U21" s="5">
        <v>4</v>
      </c>
      <c r="V21" t="s">
        <v>80</v>
      </c>
      <c r="W21" s="94">
        <v>99224473.415067464</v>
      </c>
      <c r="Y21" s="5">
        <v>4</v>
      </c>
      <c r="Z21" t="s">
        <v>80</v>
      </c>
      <c r="AA21" s="94">
        <v>99224473.415067464</v>
      </c>
    </row>
    <row r="22" spans="1:27" ht="20" customHeight="1">
      <c r="A22" s="358"/>
      <c r="B22" s="341"/>
      <c r="C22" s="341"/>
      <c r="D22" s="49" t="s">
        <v>177</v>
      </c>
      <c r="E22" s="50"/>
      <c r="F22" s="45"/>
      <c r="G22" s="51">
        <v>424247160.78505754</v>
      </c>
      <c r="H22" s="94">
        <v>85210619.844314277</v>
      </c>
      <c r="J22" s="50">
        <v>25923627.749110881</v>
      </c>
      <c r="K22" s="50">
        <v>46130.694614008658</v>
      </c>
      <c r="M22" s="47">
        <f t="shared" si="0"/>
        <v>535381408.3784827</v>
      </c>
      <c r="N22" s="48">
        <f t="shared" si="1"/>
        <v>535427539.07309669</v>
      </c>
      <c r="O22" s="94">
        <v>658057440.39166319</v>
      </c>
      <c r="P22" s="98">
        <f t="shared" si="2"/>
        <v>-122676032.01318049</v>
      </c>
      <c r="Q22" s="47">
        <f t="shared" si="3"/>
        <v>-122629901.3185665</v>
      </c>
      <c r="R22" s="100">
        <f t="shared" si="4"/>
        <v>-0.20558411038755731</v>
      </c>
      <c r="U22" s="5">
        <v>4</v>
      </c>
      <c r="V22" t="s">
        <v>81</v>
      </c>
      <c r="W22" s="94">
        <v>658057440.39166319</v>
      </c>
      <c r="Y22" s="5">
        <v>4</v>
      </c>
      <c r="Z22" t="s">
        <v>81</v>
      </c>
      <c r="AA22" s="94">
        <v>658057440.39166319</v>
      </c>
    </row>
    <row r="23" spans="1:27" ht="20" customHeight="1">
      <c r="A23" s="358"/>
      <c r="B23" s="341"/>
      <c r="C23" s="341"/>
      <c r="D23" s="49" t="s">
        <v>178</v>
      </c>
      <c r="E23" s="50"/>
      <c r="F23" s="45"/>
      <c r="G23" s="51">
        <v>75748620.924963757</v>
      </c>
      <c r="H23" s="94">
        <v>14571614.131641025</v>
      </c>
      <c r="J23" s="50">
        <v>0</v>
      </c>
      <c r="K23" s="50">
        <v>0</v>
      </c>
      <c r="M23" s="47">
        <f t="shared" si="0"/>
        <v>90320235.056604788</v>
      </c>
      <c r="N23" s="48">
        <f t="shared" si="1"/>
        <v>90320235.056604788</v>
      </c>
      <c r="O23" s="94">
        <v>123145019.5445362</v>
      </c>
      <c r="P23" s="98">
        <f t="shared" si="2"/>
        <v>-32824784.487931415</v>
      </c>
      <c r="Q23" s="47">
        <f t="shared" si="3"/>
        <v>-32824784.487931415</v>
      </c>
      <c r="R23" s="100">
        <f t="shared" si="4"/>
        <v>-0.30754217635337799</v>
      </c>
      <c r="U23" s="5">
        <v>4</v>
      </c>
      <c r="V23" t="s">
        <v>82</v>
      </c>
      <c r="W23" s="94">
        <v>123145019.5445362</v>
      </c>
      <c r="Y23" s="5">
        <v>4</v>
      </c>
      <c r="Z23" t="s">
        <v>82</v>
      </c>
      <c r="AA23" s="94">
        <v>123145019.5445362</v>
      </c>
    </row>
    <row r="24" spans="1:27" ht="20" customHeight="1">
      <c r="A24" s="358"/>
      <c r="B24" s="341"/>
      <c r="C24" s="341"/>
      <c r="D24" s="49" t="s">
        <v>179</v>
      </c>
      <c r="E24" s="50"/>
      <c r="F24" s="45"/>
      <c r="G24" s="51">
        <v>78113839.072423413</v>
      </c>
      <c r="H24" s="94">
        <v>13622716.417737365</v>
      </c>
      <c r="J24" s="50">
        <v>624476.75150606723</v>
      </c>
      <c r="K24" s="50">
        <v>0</v>
      </c>
      <c r="M24" s="47">
        <f t="shared" si="0"/>
        <v>92361032.241666839</v>
      </c>
      <c r="N24" s="48">
        <f t="shared" si="1"/>
        <v>92361032.241666839</v>
      </c>
      <c r="O24" s="94">
        <v>116618593.31809272</v>
      </c>
      <c r="P24" s="98">
        <f t="shared" si="2"/>
        <v>-24257561.07642588</v>
      </c>
      <c r="Q24" s="47">
        <f t="shared" si="3"/>
        <v>-24257561.07642588</v>
      </c>
      <c r="R24" s="100">
        <f t="shared" si="4"/>
        <v>-0.23215240252681205</v>
      </c>
      <c r="U24" s="96">
        <v>4</v>
      </c>
      <c r="V24" t="s">
        <v>83</v>
      </c>
      <c r="W24" s="94">
        <v>698154900.51431489</v>
      </c>
      <c r="Y24" s="5">
        <v>4</v>
      </c>
      <c r="Z24" t="s">
        <v>75</v>
      </c>
      <c r="AA24" s="94">
        <v>116618593.31809272</v>
      </c>
    </row>
    <row r="25" spans="1:27">
      <c r="N25" s="5"/>
      <c r="P25" s="47"/>
    </row>
    <row r="26" spans="1:27" ht="17">
      <c r="D26" s="60" t="s">
        <v>183</v>
      </c>
      <c r="E26" s="47">
        <f>SUM(V38:Y57)</f>
        <v>13145209845.4375</v>
      </c>
      <c r="G26" s="47">
        <f>SUM(G5:G24)</f>
        <v>7385571974.5257778</v>
      </c>
      <c r="H26" s="47">
        <f t="shared" ref="H26:K26" si="5">SUM(H5:H24)</f>
        <v>902173088.51152897</v>
      </c>
      <c r="I26" s="47">
        <f t="shared" si="5"/>
        <v>0</v>
      </c>
      <c r="J26" s="47">
        <f t="shared" si="5"/>
        <v>4434400009.2531967</v>
      </c>
      <c r="K26" s="47">
        <f t="shared" si="5"/>
        <v>2495471104.5919366</v>
      </c>
      <c r="L26" t="s">
        <v>222</v>
      </c>
      <c r="M26" s="47">
        <f>SUM(M5:M24)</f>
        <v>12722145072.290503</v>
      </c>
      <c r="N26" s="47">
        <f>SUM(N5:N24)</f>
        <v>15217616176.882441</v>
      </c>
      <c r="O26" s="302">
        <f>N26/1000000000</f>
        <v>15.217616176882441</v>
      </c>
      <c r="V26" t="s">
        <v>220</v>
      </c>
      <c r="W26" s="94">
        <v>12846246924.344856</v>
      </c>
      <c r="Z26" t="s">
        <v>220</v>
      </c>
      <c r="AA26" s="94">
        <v>12846246924.344856</v>
      </c>
    </row>
    <row r="27" spans="1:27" ht="17">
      <c r="D27" s="60" t="s">
        <v>227</v>
      </c>
      <c r="G27">
        <f>G26/1000000</f>
        <v>7385.5719745257775</v>
      </c>
      <c r="H27">
        <f t="shared" ref="H27:K27" si="6">H26/1000000</f>
        <v>902.17308851152893</v>
      </c>
      <c r="I27">
        <f t="shared" si="6"/>
        <v>0</v>
      </c>
      <c r="J27">
        <f t="shared" si="6"/>
        <v>4434.4000092531969</v>
      </c>
      <c r="K27">
        <f t="shared" si="6"/>
        <v>2495.4711045919366</v>
      </c>
      <c r="L27" t="s">
        <v>221</v>
      </c>
      <c r="M27">
        <f>M26/1000000</f>
        <v>12722.145072290503</v>
      </c>
      <c r="N27">
        <f>N26/1000000</f>
        <v>15217.61617688244</v>
      </c>
      <c r="V27" t="s">
        <v>221</v>
      </c>
      <c r="W27">
        <v>12846.246924344856</v>
      </c>
      <c r="Z27" t="s">
        <v>221</v>
      </c>
      <c r="AA27">
        <v>12846.246924344856</v>
      </c>
    </row>
    <row r="28" spans="1:27">
      <c r="G28" t="s">
        <v>28</v>
      </c>
      <c r="H28" t="s">
        <v>270</v>
      </c>
      <c r="J28" t="s">
        <v>271</v>
      </c>
      <c r="K28" t="s">
        <v>272</v>
      </c>
    </row>
    <row r="29" spans="1:27">
      <c r="B29" t="s">
        <v>184</v>
      </c>
      <c r="P29" t="s">
        <v>185</v>
      </c>
    </row>
    <row r="30" spans="1:27" ht="16">
      <c r="G30" s="61" t="s">
        <v>28</v>
      </c>
      <c r="H30" s="141" t="s">
        <v>6</v>
      </c>
      <c r="I30" s="61" t="s">
        <v>187</v>
      </c>
      <c r="J30" s="61" t="s">
        <v>5</v>
      </c>
      <c r="K30" s="61" t="s">
        <v>188</v>
      </c>
      <c r="L30" s="61" t="s">
        <v>189</v>
      </c>
      <c r="N30" s="296" t="s">
        <v>784</v>
      </c>
    </row>
    <row r="31" spans="1:27" ht="19">
      <c r="B31" t="s">
        <v>190</v>
      </c>
      <c r="D31" s="62" t="s">
        <v>191</v>
      </c>
      <c r="E31" s="47"/>
      <c r="G31" s="246">
        <f>SUM(G5:G24)/SUM(G5:K24)</f>
        <v>0.48533041500582946</v>
      </c>
      <c r="H31" s="246">
        <f>SUM(H5:H24)/SUM(G5:K24)</f>
        <v>5.9284784030894967E-2</v>
      </c>
      <c r="I31" s="246"/>
      <c r="J31" s="246">
        <f>SUM(J5:J24)/SUM(G5:K24)</f>
        <v>0.29139912307616445</v>
      </c>
      <c r="K31" s="246">
        <f>SUM(K5:K24)/SUM(G5:K24)</f>
        <v>0.16398567788711121</v>
      </c>
      <c r="L31" s="63"/>
      <c r="N31">
        <v>0.11</v>
      </c>
    </row>
    <row r="32" spans="1:27" ht="19">
      <c r="B32" t="s">
        <v>192</v>
      </c>
      <c r="D32" s="62" t="s">
        <v>193</v>
      </c>
      <c r="E32">
        <v>1</v>
      </c>
      <c r="G32" s="2">
        <f>SUM(V38:V42)/SUM($V$38:$V$57)</f>
        <v>0.47427628864303556</v>
      </c>
      <c r="H32" s="2">
        <f>SUM($W38:$W42)/SUM(W$38:W$57)</f>
        <v>0.20536914155981814</v>
      </c>
      <c r="I32" s="2"/>
      <c r="J32" s="2">
        <f>SUM(Y38:Y42)/SUM(Y$38:Y$57)</f>
        <v>0.88917006924130459</v>
      </c>
      <c r="K32" s="2">
        <f>SUM(Z38:Z42)/SUM(Z$38:Z$57)</f>
        <v>0.96580345533404954</v>
      </c>
      <c r="L32" s="2"/>
    </row>
    <row r="33" spans="2:27" ht="19">
      <c r="B33" t="s">
        <v>228</v>
      </c>
      <c r="D33" s="62" t="s">
        <v>194</v>
      </c>
      <c r="E33">
        <v>2</v>
      </c>
      <c r="G33" s="2">
        <f>SUM(V43:V47)/SUM($V$38:$V$57)</f>
        <v>0.16828105307353827</v>
      </c>
      <c r="H33" s="2">
        <f>SUM($W43:$W47)/SUM(W$38:W$57)</f>
        <v>0.17079382821323244</v>
      </c>
      <c r="I33" s="2"/>
      <c r="J33" s="2">
        <f>SUM(Y43:Y47)/SUM(Y$38:Y$57)</f>
        <v>7.3569748629850593E-2</v>
      </c>
      <c r="K33" s="2">
        <f>SUM(Z43:Z47)/SUM(Z$38:Z$57)</f>
        <v>2.8024839067394284E-2</v>
      </c>
      <c r="L33" s="2"/>
    </row>
    <row r="34" spans="2:27" ht="19">
      <c r="D34" s="62" t="s">
        <v>195</v>
      </c>
      <c r="E34">
        <v>3</v>
      </c>
      <c r="G34" s="2">
        <f>SUM(V48:V52)/SUM($V$38:$V$57)</f>
        <v>0.22046173287339677</v>
      </c>
      <c r="H34" s="2">
        <f>SUM($W48:$W52)/SUM(W$38:W$57)</f>
        <v>0.32719686145603344</v>
      </c>
      <c r="I34" s="2"/>
      <c r="J34" s="2">
        <f>SUM(Y48:Y52)/SUM(Y$38:Y$57)</f>
        <v>3.1180826777990136E-2</v>
      </c>
      <c r="K34" s="2">
        <f>SUM(Z48:Z52)/SUM(Z$38:Z$57)</f>
        <v>6.023286004394615E-3</v>
      </c>
      <c r="L34" s="2"/>
    </row>
    <row r="35" spans="2:27" ht="19">
      <c r="D35" s="62" t="s">
        <v>196</v>
      </c>
      <c r="E35">
        <v>4</v>
      </c>
      <c r="G35" s="2">
        <f>SUM(V53:V57)/SUM($V$38:$V$57)</f>
        <v>0.13698092541002929</v>
      </c>
      <c r="H35" s="2">
        <f>SUM($W53:$W57)/SUM(W$38:W$57)</f>
        <v>0.29664016877091587</v>
      </c>
      <c r="I35" s="2"/>
      <c r="J35" s="2">
        <f>SUM(Y53:Y57)/SUM(Y$38:Y$57)</f>
        <v>6.0793553508544816E-3</v>
      </c>
      <c r="K35" s="2">
        <f>SUM(Z53:Z57)/SUM(Z$38:Z$57)</f>
        <v>1.4841959416165418E-4</v>
      </c>
      <c r="L35" s="2"/>
      <c r="O35" s="5" t="s">
        <v>305</v>
      </c>
      <c r="S35" t="s">
        <v>273</v>
      </c>
      <c r="V35" t="s">
        <v>269</v>
      </c>
    </row>
    <row r="36" spans="2:27" ht="34">
      <c r="M36" t="s">
        <v>306</v>
      </c>
      <c r="O36" t="s">
        <v>267</v>
      </c>
      <c r="P36" t="s">
        <v>6</v>
      </c>
      <c r="Q36" s="38" t="s">
        <v>162</v>
      </c>
      <c r="R36" s="38" t="s">
        <v>163</v>
      </c>
      <c r="V36" s="38" t="s">
        <v>161</v>
      </c>
      <c r="W36" s="38" t="s">
        <v>6</v>
      </c>
      <c r="X36" s="38" t="s">
        <v>163</v>
      </c>
      <c r="Y36" s="38" t="s">
        <v>164</v>
      </c>
      <c r="Z36" s="38" t="s">
        <v>165</v>
      </c>
      <c r="AA36" s="39" t="s">
        <v>166</v>
      </c>
    </row>
    <row r="37" spans="2:27" ht="17">
      <c r="M37">
        <v>1361374501.0251451</v>
      </c>
      <c r="Q37" s="42" t="s">
        <v>171</v>
      </c>
      <c r="R37" s="42" t="s">
        <v>171</v>
      </c>
      <c r="V37" s="42"/>
      <c r="W37" s="42" t="s">
        <v>171</v>
      </c>
      <c r="X37" s="42" t="s">
        <v>171</v>
      </c>
      <c r="Y37" s="42" t="s">
        <v>171</v>
      </c>
      <c r="Z37" s="42" t="s">
        <v>171</v>
      </c>
      <c r="AA37" s="43" t="s">
        <v>171</v>
      </c>
    </row>
    <row r="38" spans="2:27" ht="16">
      <c r="M38">
        <v>934110333.07680297</v>
      </c>
      <c r="O38" s="94">
        <v>46307566.253469326</v>
      </c>
      <c r="P38" s="47">
        <f>Q38+R38</f>
        <v>46307566.253469326</v>
      </c>
      <c r="Q38" s="45">
        <v>3027066.0941299405</v>
      </c>
      <c r="R38" s="45">
        <v>43280500.159339383</v>
      </c>
      <c r="V38" s="45">
        <v>449842745.88199145</v>
      </c>
      <c r="W38" s="94">
        <v>46307566.253469303</v>
      </c>
      <c r="X38" s="45">
        <v>43280500.159339383</v>
      </c>
      <c r="Y38" s="45">
        <v>724408881.37946868</v>
      </c>
      <c r="Z38" s="45">
        <v>140815307.51021555</v>
      </c>
      <c r="AA38" s="46">
        <v>123144460.28267619</v>
      </c>
    </row>
    <row r="39" spans="2:27" ht="16">
      <c r="M39">
        <v>3596069680.6552329</v>
      </c>
      <c r="O39" s="94">
        <v>31468012.634388719</v>
      </c>
      <c r="P39" s="47">
        <f t="shared" ref="P39:P57" si="7">Q39+R39</f>
        <v>31468012.634388719</v>
      </c>
      <c r="Q39" s="50">
        <v>1241684.7995989674</v>
      </c>
      <c r="R39" s="50">
        <v>30226327.834789753</v>
      </c>
      <c r="V39" s="51">
        <v>128355723.81475021</v>
      </c>
      <c r="W39" s="94">
        <v>31468012.634388719</v>
      </c>
      <c r="X39" s="50">
        <v>30226327.834789753</v>
      </c>
      <c r="Y39" s="50">
        <v>598967040.7601999</v>
      </c>
      <c r="Z39" s="50">
        <v>175319555.86746424</v>
      </c>
      <c r="AA39" s="52">
        <v>19706439.91071979</v>
      </c>
    </row>
    <row r="40" spans="2:27" ht="16">
      <c r="B40" t="s">
        <v>197</v>
      </c>
      <c r="E40" s="35" t="s">
        <v>198</v>
      </c>
      <c r="F40" s="35" t="s">
        <v>199</v>
      </c>
      <c r="G40" s="61" t="s">
        <v>28</v>
      </c>
      <c r="H40" s="61" t="s">
        <v>6</v>
      </c>
      <c r="I40" s="61"/>
      <c r="J40" s="61" t="s">
        <v>5</v>
      </c>
      <c r="K40" s="61" t="s">
        <v>188</v>
      </c>
      <c r="L40" s="61" t="s">
        <v>189</v>
      </c>
      <c r="M40">
        <v>2934904413.1312361</v>
      </c>
      <c r="O40" s="94">
        <v>47155242.313017301</v>
      </c>
      <c r="P40" s="47">
        <f t="shared" si="7"/>
        <v>47155242.313017301</v>
      </c>
      <c r="Q40" s="50">
        <v>1282270.1025523867</v>
      </c>
      <c r="R40" s="50">
        <v>45872972.210464917</v>
      </c>
      <c r="V40" s="51">
        <v>1069259673.3562975</v>
      </c>
      <c r="W40" s="94">
        <v>47155242.313017301</v>
      </c>
      <c r="X40" s="50">
        <v>45872972.210464917</v>
      </c>
      <c r="Y40" s="50">
        <v>1227303972.7639661</v>
      </c>
      <c r="Z40" s="50">
        <v>1252350792.221952</v>
      </c>
      <c r="AA40" s="52">
        <v>81269960.843264267</v>
      </c>
    </row>
    <row r="41" spans="2:27" ht="16">
      <c r="E41" s="64">
        <v>1</v>
      </c>
      <c r="F41" s="3" t="s">
        <v>175</v>
      </c>
      <c r="G41" s="65">
        <f t="shared" ref="G41:H45" si="8">V38/SUM(V$38:V$42)</f>
        <v>0.12842369875000584</v>
      </c>
      <c r="H41" s="65">
        <f t="shared" si="8"/>
        <v>0.24993489839782893</v>
      </c>
      <c r="I41" s="65"/>
      <c r="J41" s="65">
        <f t="shared" ref="J41:L45" si="9">Y38/SUM(Y$38:Y$42)</f>
        <v>0.18372322677112388</v>
      </c>
      <c r="K41" s="65">
        <f t="shared" si="9"/>
        <v>5.8426324656116378E-2</v>
      </c>
      <c r="L41" s="65">
        <f t="shared" si="9"/>
        <v>0.39115548061490174</v>
      </c>
      <c r="M41">
        <v>1214691629.1941442</v>
      </c>
      <c r="O41" s="94">
        <v>49336099.772080861</v>
      </c>
      <c r="P41" s="47">
        <f t="shared" si="7"/>
        <v>49336099.772080861</v>
      </c>
      <c r="Q41" s="50">
        <v>1292244.1699455548</v>
      </c>
      <c r="R41" s="50">
        <v>48043855.602135308</v>
      </c>
      <c r="V41" s="51">
        <v>1229051602.0726454</v>
      </c>
      <c r="W41" s="94">
        <v>49336099.772080861</v>
      </c>
      <c r="X41" s="50">
        <v>48043855.602135308</v>
      </c>
      <c r="Y41" s="50">
        <v>1019577912.8084719</v>
      </c>
      <c r="Z41" s="50">
        <v>636938798.47803771</v>
      </c>
      <c r="AA41" s="52">
        <v>65628344.832013533</v>
      </c>
    </row>
    <row r="42" spans="2:27" ht="16">
      <c r="E42" s="64">
        <v>1</v>
      </c>
      <c r="F42" s="3" t="s">
        <v>176</v>
      </c>
      <c r="G42" s="65">
        <f t="shared" si="8"/>
        <v>3.6643731523790544E-2</v>
      </c>
      <c r="H42" s="65">
        <f t="shared" si="8"/>
        <v>0.16984167333493388</v>
      </c>
      <c r="I42" s="65"/>
      <c r="J42" s="65">
        <f t="shared" si="9"/>
        <v>0.15190890157014866</v>
      </c>
      <c r="K42" s="65">
        <f t="shared" si="9"/>
        <v>7.2742640489816726E-2</v>
      </c>
      <c r="L42" s="65">
        <f t="shared" si="9"/>
        <v>6.2595442432343593E-2</v>
      </c>
      <c r="M42">
        <v>528916279.73274827</v>
      </c>
      <c r="O42" s="94">
        <v>11011591.753026353</v>
      </c>
      <c r="P42" s="47">
        <f t="shared" si="7"/>
        <v>11011591.753026353</v>
      </c>
      <c r="Q42" s="54">
        <v>176972.11373981327</v>
      </c>
      <c r="R42" s="54">
        <v>10834619.63928654</v>
      </c>
      <c r="V42" s="55">
        <v>626291920.45841801</v>
      </c>
      <c r="W42" s="94">
        <v>11011591.753026353</v>
      </c>
      <c r="X42" s="54">
        <v>10834619.63928654</v>
      </c>
      <c r="Y42" s="54">
        <v>372677955.55919969</v>
      </c>
      <c r="Z42" s="54">
        <v>204710161.42350003</v>
      </c>
      <c r="AA42" s="56">
        <v>25073074.236136232</v>
      </c>
    </row>
    <row r="43" spans="2:27" ht="16">
      <c r="E43" s="64">
        <v>1</v>
      </c>
      <c r="F43" s="3" t="s">
        <v>177</v>
      </c>
      <c r="G43" s="65">
        <f t="shared" si="8"/>
        <v>0.30525841181989827</v>
      </c>
      <c r="H43" s="65">
        <f t="shared" si="8"/>
        <v>0.25451004338942151</v>
      </c>
      <c r="I43" s="65"/>
      <c r="J43" s="65">
        <f t="shared" si="9"/>
        <v>0.31126654007310478</v>
      </c>
      <c r="K43" s="65">
        <f t="shared" si="9"/>
        <v>0.51961860726253872</v>
      </c>
      <c r="L43" s="65">
        <f t="shared" si="9"/>
        <v>0.25814551885021614</v>
      </c>
      <c r="M43">
        <v>127946350.79644963</v>
      </c>
      <c r="O43" s="94">
        <v>57216067.88079536</v>
      </c>
      <c r="P43" s="47">
        <f t="shared" si="7"/>
        <v>57216067.88079536</v>
      </c>
      <c r="Q43" s="58">
        <v>16422506.911040446</v>
      </c>
      <c r="R43" s="58">
        <v>40793560.969754912</v>
      </c>
      <c r="V43" s="58">
        <v>358853800.12348086</v>
      </c>
      <c r="W43" s="94">
        <v>57216067.88079536</v>
      </c>
      <c r="X43" s="58">
        <v>40793560.969754912</v>
      </c>
      <c r="Y43" s="58">
        <v>111552432.60446179</v>
      </c>
      <c r="Z43" s="58">
        <v>1293979.1240102376</v>
      </c>
      <c r="AA43" s="59">
        <v>66358647.892864324</v>
      </c>
    </row>
    <row r="44" spans="2:27" ht="16">
      <c r="E44" s="64">
        <v>1</v>
      </c>
      <c r="F44" s="3" t="s">
        <v>200</v>
      </c>
      <c r="G44" s="65">
        <f t="shared" si="8"/>
        <v>0.35087673223076915</v>
      </c>
      <c r="H44" s="65">
        <f t="shared" si="8"/>
        <v>0.2662807416046481</v>
      </c>
      <c r="I44" s="65"/>
      <c r="J44" s="65">
        <f t="shared" si="9"/>
        <v>0.25858344493103441</v>
      </c>
      <c r="K44" s="65">
        <f t="shared" si="9"/>
        <v>0.26427519624068424</v>
      </c>
      <c r="L44" s="65">
        <f t="shared" si="9"/>
        <v>0.20846156380725234</v>
      </c>
      <c r="M44">
        <v>635014951.44935727</v>
      </c>
      <c r="O44" s="94">
        <v>29656335.69204884</v>
      </c>
      <c r="P44" s="47">
        <f t="shared" si="7"/>
        <v>29656335.69204884</v>
      </c>
      <c r="Q44" s="50">
        <v>6842396.3266693782</v>
      </c>
      <c r="R44" s="50">
        <v>22813939.365379464</v>
      </c>
      <c r="V44" s="51">
        <v>31791526.018919542</v>
      </c>
      <c r="W44" s="94">
        <v>29656335.69204884</v>
      </c>
      <c r="X44" s="50">
        <v>22813939.365379464</v>
      </c>
      <c r="Y44" s="50">
        <v>66312958.19142095</v>
      </c>
      <c r="Z44" s="50">
        <v>185530.89406030331</v>
      </c>
      <c r="AA44" s="52">
        <v>8965979.047436744</v>
      </c>
    </row>
    <row r="45" spans="2:27" ht="16">
      <c r="E45" s="66">
        <v>1</v>
      </c>
      <c r="F45" s="3" t="s">
        <v>179</v>
      </c>
      <c r="G45" s="65">
        <f t="shared" si="8"/>
        <v>0.17879742567553619</v>
      </c>
      <c r="H45" s="65">
        <f t="shared" si="8"/>
        <v>5.9432643273167537E-2</v>
      </c>
      <c r="I45" s="65"/>
      <c r="J45" s="65">
        <f t="shared" si="9"/>
        <v>9.4517886654588226E-2</v>
      </c>
      <c r="K45" s="65">
        <f t="shared" si="9"/>
        <v>8.4937231350843884E-2</v>
      </c>
      <c r="L45" s="65">
        <f t="shared" si="9"/>
        <v>7.9641994295286053E-2</v>
      </c>
      <c r="M45">
        <v>313715496.38696456</v>
      </c>
      <c r="O45" s="94">
        <v>31866248.931110032</v>
      </c>
      <c r="P45" s="47">
        <f t="shared" si="7"/>
        <v>31866248.931110032</v>
      </c>
      <c r="Q45" s="50">
        <v>6839670.8156286608</v>
      </c>
      <c r="R45" s="50">
        <v>25026578.115481369</v>
      </c>
      <c r="V45" s="51">
        <v>430091384.061373</v>
      </c>
      <c r="W45" s="94">
        <v>31866248.931110032</v>
      </c>
      <c r="X45" s="50">
        <v>25026578.115481369</v>
      </c>
      <c r="Y45" s="50">
        <v>107189310.37386458</v>
      </c>
      <c r="Z45" s="50">
        <v>65868008.083009683</v>
      </c>
      <c r="AA45" s="52">
        <v>17875285.469291903</v>
      </c>
    </row>
    <row r="46" spans="2:27" ht="16">
      <c r="E46" s="64">
        <v>2</v>
      </c>
      <c r="F46" s="3" t="s">
        <v>175</v>
      </c>
      <c r="G46" s="65">
        <f t="shared" ref="G46:H50" si="10">V43/SUM(V$43:V$47)</f>
        <v>0.28873417701762927</v>
      </c>
      <c r="H46" s="65">
        <f t="shared" si="10"/>
        <v>0.37132651949674061</v>
      </c>
      <c r="I46" s="65"/>
      <c r="J46" s="65">
        <f t="shared" ref="J46:L50" si="11">Y43/SUM(Y$43:Y$47)</f>
        <v>0.34193606273701815</v>
      </c>
      <c r="K46" s="65">
        <f t="shared" si="11"/>
        <v>1.8502550448930344E-2</v>
      </c>
      <c r="L46" s="65">
        <f t="shared" si="11"/>
        <v>0.60358681575978779</v>
      </c>
      <c r="M46">
        <v>187517216.6644156</v>
      </c>
      <c r="O46" s="94">
        <v>28216995.044964552</v>
      </c>
      <c r="P46" s="47">
        <f t="shared" si="7"/>
        <v>28216995.044964552</v>
      </c>
      <c r="Q46" s="50">
        <v>3531355.6913992194</v>
      </c>
      <c r="R46" s="50">
        <v>24685639.353565332</v>
      </c>
      <c r="V46" s="51">
        <v>254611771.69617617</v>
      </c>
      <c r="W46" s="94">
        <v>28216995.044964552</v>
      </c>
      <c r="X46" s="50">
        <v>24685639.353565332</v>
      </c>
      <c r="Y46" s="50">
        <v>29212887.373747572</v>
      </c>
      <c r="Z46" s="50">
        <v>1673842.2720762878</v>
      </c>
      <c r="AA46" s="52">
        <v>9761378.2446785402</v>
      </c>
    </row>
    <row r="47" spans="2:27" ht="16">
      <c r="E47" s="64">
        <v>2</v>
      </c>
      <c r="F47" s="3" t="s">
        <v>176</v>
      </c>
      <c r="G47" s="65">
        <f t="shared" si="10"/>
        <v>2.5579498107721595E-2</v>
      </c>
      <c r="H47" s="65">
        <f t="shared" si="10"/>
        <v>0.19246663256374721</v>
      </c>
      <c r="I47" s="65"/>
      <c r="J47" s="65">
        <f t="shared" si="11"/>
        <v>0.20326577648753172</v>
      </c>
      <c r="K47" s="65">
        <f t="shared" si="11"/>
        <v>2.6528980750069302E-3</v>
      </c>
      <c r="L47" s="65">
        <f t="shared" si="11"/>
        <v>8.1552998972320156E-2</v>
      </c>
      <c r="M47">
        <v>835139830.41586864</v>
      </c>
      <c r="O47" s="94">
        <v>7129947.9489206271</v>
      </c>
      <c r="P47" s="47">
        <f t="shared" si="7"/>
        <v>7129947.9489206271</v>
      </c>
      <c r="Q47" s="54">
        <v>1671240.1861188642</v>
      </c>
      <c r="R47" s="54">
        <v>5458707.7628017627</v>
      </c>
      <c r="V47" s="55">
        <v>167503347.52365986</v>
      </c>
      <c r="W47" s="94">
        <v>7129947.9489206271</v>
      </c>
      <c r="X47" s="54">
        <v>5458707.7628017627</v>
      </c>
      <c r="Y47" s="54">
        <v>11970105.461469932</v>
      </c>
      <c r="Z47" s="54">
        <v>913815.73036516062</v>
      </c>
      <c r="AA47" s="56">
        <v>6979228.5224650968</v>
      </c>
    </row>
    <row r="48" spans="2:27" ht="16">
      <c r="E48" s="64">
        <v>2</v>
      </c>
      <c r="F48" s="3" t="s">
        <v>177</v>
      </c>
      <c r="G48" s="65">
        <f t="shared" si="10"/>
        <v>0.34605201833337934</v>
      </c>
      <c r="H48" s="65">
        <f t="shared" si="10"/>
        <v>0.20680874697049056</v>
      </c>
      <c r="I48" s="65"/>
      <c r="J48" s="65">
        <f t="shared" si="11"/>
        <v>0.32856200354405801</v>
      </c>
      <c r="K48" s="65">
        <f t="shared" si="11"/>
        <v>0.94184374377650015</v>
      </c>
      <c r="L48" s="65">
        <f t="shared" si="11"/>
        <v>0.16259051351718842</v>
      </c>
      <c r="M48">
        <v>125990042.67835651</v>
      </c>
      <c r="O48" s="94">
        <v>135893457.7122665</v>
      </c>
      <c r="P48" s="47">
        <f t="shared" si="7"/>
        <v>135893457.7122665</v>
      </c>
      <c r="Q48" s="58">
        <v>93877565.309350818</v>
      </c>
      <c r="R48" s="58">
        <v>42015892.402915679</v>
      </c>
      <c r="V48" s="58">
        <v>674448531.57937527</v>
      </c>
      <c r="W48" s="94">
        <v>135893457.7122665</v>
      </c>
      <c r="X48" s="58">
        <v>42015892.402915679</v>
      </c>
      <c r="Y48" s="58">
        <v>24356503.939583715</v>
      </c>
      <c r="Z48" s="58">
        <v>441337.18464325811</v>
      </c>
      <c r="AA48" s="59">
        <v>90919219.150002465</v>
      </c>
    </row>
    <row r="49" spans="5:27" ht="16">
      <c r="E49" s="64">
        <v>2</v>
      </c>
      <c r="F49" s="3" t="s">
        <v>200</v>
      </c>
      <c r="G49" s="65">
        <f t="shared" si="10"/>
        <v>0.20486092200890596</v>
      </c>
      <c r="H49" s="65">
        <f t="shared" si="10"/>
        <v>0.18312545669046792</v>
      </c>
      <c r="I49" s="65"/>
      <c r="J49" s="65">
        <f t="shared" si="11"/>
        <v>8.9544794824668539E-2</v>
      </c>
      <c r="K49" s="65">
        <f t="shared" si="11"/>
        <v>2.3934196856794637E-2</v>
      </c>
      <c r="L49" s="65">
        <f t="shared" si="11"/>
        <v>8.8787812880767689E-2</v>
      </c>
      <c r="M49">
        <v>687316037.33507526</v>
      </c>
      <c r="O49" s="94">
        <v>73702084.38616395</v>
      </c>
      <c r="P49" s="47">
        <f t="shared" si="7"/>
        <v>73702084.38616395</v>
      </c>
      <c r="Q49" s="50">
        <v>39989138.995255679</v>
      </c>
      <c r="R49" s="50">
        <v>33712945.390908279</v>
      </c>
      <c r="V49" s="51">
        <v>38589765.765310913</v>
      </c>
      <c r="W49" s="94">
        <v>73702084.38616395</v>
      </c>
      <c r="X49" s="50">
        <v>33712945.390908279</v>
      </c>
      <c r="Y49" s="50">
        <v>13698192.526881656</v>
      </c>
      <c r="Z49" s="50">
        <v>0</v>
      </c>
      <c r="AA49" s="52">
        <v>8523265.2801507488</v>
      </c>
    </row>
    <row r="50" spans="5:27" ht="16">
      <c r="E50" s="66">
        <v>2</v>
      </c>
      <c r="F50" s="3" t="s">
        <v>179</v>
      </c>
      <c r="G50" s="65">
        <f t="shared" si="10"/>
        <v>0.13477338453236373</v>
      </c>
      <c r="H50" s="65">
        <f t="shared" si="10"/>
        <v>4.6272644278553619E-2</v>
      </c>
      <c r="I50" s="65"/>
      <c r="J50" s="65">
        <f t="shared" si="11"/>
        <v>3.66913624067235E-2</v>
      </c>
      <c r="K50" s="65">
        <f t="shared" si="11"/>
        <v>1.3066610842767926E-2</v>
      </c>
      <c r="L50" s="65">
        <f t="shared" si="11"/>
        <v>6.3481858869936111E-2</v>
      </c>
      <c r="M50">
        <v>263646322.3907679</v>
      </c>
      <c r="O50" s="94">
        <v>55364983.704379134</v>
      </c>
      <c r="P50" s="47">
        <f t="shared" si="7"/>
        <v>55364983.704379134</v>
      </c>
      <c r="Q50" s="50">
        <v>33064463.003680352</v>
      </c>
      <c r="R50" s="50">
        <v>22300520.700698782</v>
      </c>
      <c r="V50" s="51">
        <v>523838797.36054087</v>
      </c>
      <c r="W50" s="94">
        <v>55364983.704379134</v>
      </c>
      <c r="X50" s="50">
        <v>22300520.700698782</v>
      </c>
      <c r="Y50" s="50">
        <v>93614948.08039166</v>
      </c>
      <c r="Z50" s="50">
        <v>14497308.189763606</v>
      </c>
      <c r="AA50" s="52">
        <v>16622988.537805393</v>
      </c>
    </row>
    <row r="51" spans="5:27" ht="16">
      <c r="E51" s="64">
        <v>3</v>
      </c>
      <c r="F51" s="3" t="s">
        <v>175</v>
      </c>
      <c r="G51" s="65">
        <f t="shared" ref="G51:H55" si="12">V48/SUM(V$48:V$52)</f>
        <v>0.4142203791916757</v>
      </c>
      <c r="H51" s="65">
        <f t="shared" si="12"/>
        <v>0.46036208868670975</v>
      </c>
      <c r="I51" s="65"/>
      <c r="J51" s="65">
        <f t="shared" ref="J51:L55" si="13">Y48/SUM(Y$48:Y$52)</f>
        <v>0.17615397918876244</v>
      </c>
      <c r="K51" s="65">
        <f t="shared" si="13"/>
        <v>2.9361922597332821E-2</v>
      </c>
      <c r="L51" s="65">
        <f t="shared" si="13"/>
        <v>0.67219407845290191</v>
      </c>
      <c r="M51">
        <v>164631160.72764975</v>
      </c>
      <c r="O51" s="94">
        <v>22877929.27293203</v>
      </c>
      <c r="P51" s="47">
        <f t="shared" si="7"/>
        <v>22877929.27293203</v>
      </c>
      <c r="Q51" s="50">
        <v>13966932.443848751</v>
      </c>
      <c r="R51" s="50">
        <v>8910996.8290832769</v>
      </c>
      <c r="V51" s="51">
        <v>236781221.0708186</v>
      </c>
      <c r="W51" s="94">
        <v>22877929.27293203</v>
      </c>
      <c r="X51" s="50">
        <v>8910996.8290832769</v>
      </c>
      <c r="Y51" s="50">
        <v>3894881.2427643668</v>
      </c>
      <c r="Z51" s="50">
        <v>92290.804252919275</v>
      </c>
      <c r="AA51" s="52">
        <v>10399002.513516352</v>
      </c>
    </row>
    <row r="52" spans="5:27" ht="16">
      <c r="E52" s="64">
        <v>3</v>
      </c>
      <c r="F52" s="3" t="s">
        <v>176</v>
      </c>
      <c r="G52" s="65">
        <f t="shared" si="12"/>
        <v>2.3700351709259836E-2</v>
      </c>
      <c r="H52" s="65">
        <f t="shared" si="12"/>
        <v>0.24967828532569522</v>
      </c>
      <c r="I52" s="65"/>
      <c r="J52" s="65">
        <f t="shared" si="13"/>
        <v>9.9069682877698476E-2</v>
      </c>
      <c r="K52" s="65">
        <f t="shared" si="13"/>
        <v>0</v>
      </c>
      <c r="L52" s="65">
        <f t="shared" si="13"/>
        <v>6.3015152395316104E-2</v>
      </c>
      <c r="M52">
        <v>515198518.84157747</v>
      </c>
      <c r="O52" s="94">
        <v>7349747.9753269171</v>
      </c>
      <c r="P52" s="47">
        <f t="shared" si="7"/>
        <v>7349747.9753269171</v>
      </c>
      <c r="Q52" s="54">
        <v>4323382.6806343207</v>
      </c>
      <c r="R52" s="54">
        <v>3026365.2946925964</v>
      </c>
      <c r="V52" s="55">
        <v>154577679.98910242</v>
      </c>
      <c r="W52" s="94">
        <v>7349747.9753269171</v>
      </c>
      <c r="X52" s="54">
        <v>3026365.2946925964</v>
      </c>
      <c r="Y52" s="54">
        <v>2703732.7632204094</v>
      </c>
      <c r="Z52" s="54">
        <v>0</v>
      </c>
      <c r="AA52" s="56">
        <v>8792918.2748921253</v>
      </c>
    </row>
    <row r="53" spans="5:27" ht="16">
      <c r="E53" s="64">
        <v>3</v>
      </c>
      <c r="F53" s="3" t="s">
        <v>177</v>
      </c>
      <c r="G53" s="65">
        <f t="shared" si="12"/>
        <v>0.32172166609937658</v>
      </c>
      <c r="H53" s="65">
        <f t="shared" si="12"/>
        <v>0.18755825311488078</v>
      </c>
      <c r="I53" s="65"/>
      <c r="J53" s="65">
        <f t="shared" si="13"/>
        <v>0.67705306380650598</v>
      </c>
      <c r="K53" s="65">
        <f t="shared" si="13"/>
        <v>0.9644980204457394</v>
      </c>
      <c r="L53" s="65">
        <f t="shared" si="13"/>
        <v>0.12289892682501052</v>
      </c>
      <c r="M53">
        <v>73324606.009279415</v>
      </c>
      <c r="O53" s="94">
        <v>103544138.94176848</v>
      </c>
      <c r="P53" s="47">
        <f t="shared" si="7"/>
        <v>103544138.94176848</v>
      </c>
      <c r="Q53" s="58">
        <v>99503460.631120384</v>
      </c>
      <c r="R53" s="58">
        <v>4040678.3106480967</v>
      </c>
      <c r="V53" s="58">
        <v>411110052.23995024</v>
      </c>
      <c r="W53" s="94">
        <v>103544138.94176848</v>
      </c>
      <c r="X53" s="58">
        <v>4040678.3106480967</v>
      </c>
      <c r="Y53" s="58">
        <v>410188.92346563627</v>
      </c>
      <c r="Z53" s="58">
        <v>134138.7363931158</v>
      </c>
      <c r="AA53" s="59">
        <v>63546656.572901167</v>
      </c>
    </row>
    <row r="54" spans="5:27" ht="16">
      <c r="E54" s="64">
        <v>3</v>
      </c>
      <c r="F54" s="3" t="s">
        <v>200</v>
      </c>
      <c r="G54" s="65">
        <f t="shared" si="12"/>
        <v>0.1454219300437154</v>
      </c>
      <c r="H54" s="65">
        <f t="shared" si="12"/>
        <v>7.7502857622579427E-2</v>
      </c>
      <c r="I54" s="65"/>
      <c r="J54" s="65">
        <f t="shared" si="13"/>
        <v>2.81690192928543E-2</v>
      </c>
      <c r="K54" s="65">
        <f t="shared" si="13"/>
        <v>6.1400569569279011E-3</v>
      </c>
      <c r="L54" s="65">
        <f t="shared" si="13"/>
        <v>7.6883061433577496E-2</v>
      </c>
      <c r="M54">
        <v>535427539.07309669</v>
      </c>
      <c r="O54" s="94">
        <v>50671687.90117725</v>
      </c>
      <c r="P54" s="47">
        <f t="shared" si="7"/>
        <v>50671687.90117725</v>
      </c>
      <c r="Q54" s="50">
        <v>44550121.416350737</v>
      </c>
      <c r="R54" s="50">
        <v>6121566.4848265098</v>
      </c>
      <c r="V54" s="51">
        <v>22462810.730523624</v>
      </c>
      <c r="W54" s="94">
        <v>50671687.90117725</v>
      </c>
      <c r="X54" s="50">
        <v>6121566.4848265098</v>
      </c>
      <c r="Y54" s="50">
        <v>0</v>
      </c>
      <c r="Z54" s="50">
        <v>190107.37757854562</v>
      </c>
      <c r="AA54" s="52">
        <v>1743472.1260334416</v>
      </c>
    </row>
    <row r="55" spans="5:27" ht="16">
      <c r="E55" s="66">
        <v>3</v>
      </c>
      <c r="F55" s="3" t="s">
        <v>179</v>
      </c>
      <c r="G55" s="65">
        <f t="shared" si="12"/>
        <v>9.4935672955972578E-2</v>
      </c>
      <c r="H55" s="65">
        <f t="shared" si="12"/>
        <v>2.4898515250134798E-2</v>
      </c>
      <c r="I55" s="65"/>
      <c r="J55" s="65">
        <f t="shared" si="13"/>
        <v>1.9554254834178934E-2</v>
      </c>
      <c r="K55" s="65">
        <f t="shared" si="13"/>
        <v>0</v>
      </c>
      <c r="L55" s="65">
        <f t="shared" si="13"/>
        <v>6.5008780893193938E-2</v>
      </c>
      <c r="M55">
        <v>90320235.056604788</v>
      </c>
      <c r="O55" s="94">
        <v>85210619.844314277</v>
      </c>
      <c r="P55" s="47">
        <f t="shared" si="7"/>
        <v>85210619.844314277</v>
      </c>
      <c r="Q55" s="50">
        <v>81222699.316470519</v>
      </c>
      <c r="R55" s="50">
        <v>3987920.5278437543</v>
      </c>
      <c r="V55" s="51">
        <v>424247160.78505754</v>
      </c>
      <c r="W55" s="94">
        <v>85210619.844314277</v>
      </c>
      <c r="X55" s="50">
        <v>3987920.5278437543</v>
      </c>
      <c r="Y55" s="50">
        <v>25923627.749110881</v>
      </c>
      <c r="Z55" s="50">
        <v>46130.694614008658</v>
      </c>
      <c r="AA55" s="52">
        <v>21059674.451247241</v>
      </c>
    </row>
    <row r="56" spans="5:27" ht="16">
      <c r="E56" s="64">
        <v>4</v>
      </c>
      <c r="F56" s="3" t="s">
        <v>175</v>
      </c>
      <c r="G56" s="65">
        <f t="shared" ref="G56:H60" si="14">V53/SUM(V$53:V$57)</f>
        <v>0.40636272629224934</v>
      </c>
      <c r="H56" s="65">
        <f t="shared" si="14"/>
        <v>0.38690620366225009</v>
      </c>
      <c r="I56" s="65"/>
      <c r="J56" s="65">
        <f t="shared" ref="J56:L60" si="15">Y53/SUM(Y$53:Y$57)</f>
        <v>1.521568583785809E-2</v>
      </c>
      <c r="K56" s="65">
        <f t="shared" si="15"/>
        <v>0.36216829262431754</v>
      </c>
      <c r="L56" s="65">
        <f t="shared" si="15"/>
        <v>0.67721099446017374</v>
      </c>
      <c r="M56">
        <v>92361032.241666839</v>
      </c>
      <c r="O56" s="94">
        <v>14571614.131641025</v>
      </c>
      <c r="P56" s="47">
        <f t="shared" si="7"/>
        <v>14571614.131641025</v>
      </c>
      <c r="Q56" s="50">
        <v>13593736.275381528</v>
      </c>
      <c r="R56" s="50">
        <v>977877.85625949677</v>
      </c>
      <c r="V56" s="51">
        <v>75748620.924963757</v>
      </c>
      <c r="W56" s="94">
        <v>14571614.131641025</v>
      </c>
      <c r="X56" s="50">
        <v>977877.85625949677</v>
      </c>
      <c r="Y56" s="50">
        <v>0</v>
      </c>
      <c r="Z56" s="50">
        <v>0</v>
      </c>
      <c r="AA56" s="52">
        <v>2789838.787405279</v>
      </c>
    </row>
    <row r="57" spans="5:27" ht="16">
      <c r="E57" s="64">
        <v>4</v>
      </c>
      <c r="F57" s="3" t="s">
        <v>176</v>
      </c>
      <c r="G57" s="65">
        <f t="shared" si="14"/>
        <v>2.2203419641304845E-2</v>
      </c>
      <c r="H57" s="65">
        <f t="shared" si="14"/>
        <v>0.18934138232612563</v>
      </c>
      <c r="I57" s="65"/>
      <c r="J57" s="65">
        <f t="shared" si="15"/>
        <v>0</v>
      </c>
      <c r="K57" s="65">
        <f t="shared" si="15"/>
        <v>0.51328099700543972</v>
      </c>
      <c r="L57" s="65">
        <f t="shared" si="15"/>
        <v>1.8580025385445651E-2</v>
      </c>
      <c r="O57" s="94">
        <v>13622716.417737365</v>
      </c>
      <c r="P57" s="47">
        <f t="shared" si="7"/>
        <v>13622716.417737365</v>
      </c>
      <c r="Q57" s="50">
        <v>12689408.081614219</v>
      </c>
      <c r="R57" s="50">
        <v>933308.33612314588</v>
      </c>
      <c r="V57" s="51">
        <v>78113839.072423413</v>
      </c>
      <c r="W57" s="94">
        <v>13622716.417737365</v>
      </c>
      <c r="X57" s="50">
        <v>933308.33612314588</v>
      </c>
      <c r="Y57" s="50">
        <v>624476.75150606723</v>
      </c>
      <c r="Z57" s="50">
        <v>0</v>
      </c>
      <c r="AA57" s="52">
        <v>4696189.2771086795</v>
      </c>
    </row>
    <row r="58" spans="5:27">
      <c r="E58" s="64">
        <v>4</v>
      </c>
      <c r="F58" s="3" t="s">
        <v>177</v>
      </c>
      <c r="G58" s="65">
        <f t="shared" si="14"/>
        <v>0.41934813303407026</v>
      </c>
      <c r="H58" s="65">
        <f t="shared" si="14"/>
        <v>0.31840061419808396</v>
      </c>
      <c r="I58" s="65"/>
      <c r="J58" s="65">
        <f t="shared" si="15"/>
        <v>0.96161976358461143</v>
      </c>
      <c r="K58" s="65">
        <f t="shared" si="15"/>
        <v>0.12455071037024282</v>
      </c>
      <c r="L58" s="65">
        <f t="shared" si="15"/>
        <v>0.22443105345401412</v>
      </c>
    </row>
    <row r="59" spans="5:27">
      <c r="E59" s="64">
        <v>4</v>
      </c>
      <c r="F59" s="3" t="s">
        <v>200</v>
      </c>
      <c r="G59" s="65">
        <f t="shared" si="14"/>
        <v>7.4873907714570753E-2</v>
      </c>
      <c r="H59" s="65">
        <f t="shared" si="14"/>
        <v>5.4448740049642563E-2</v>
      </c>
      <c r="I59" s="65"/>
      <c r="J59" s="65">
        <f t="shared" si="15"/>
        <v>0</v>
      </c>
      <c r="K59" s="65">
        <f t="shared" si="15"/>
        <v>0</v>
      </c>
      <c r="L59" s="65">
        <f t="shared" si="15"/>
        <v>2.973106063314071E-2</v>
      </c>
    </row>
    <row r="60" spans="5:27">
      <c r="E60" s="66">
        <v>4</v>
      </c>
      <c r="F60" s="3" t="s">
        <v>179</v>
      </c>
      <c r="G60" s="65">
        <f t="shared" si="14"/>
        <v>7.7211813317804773E-2</v>
      </c>
      <c r="H60" s="65">
        <f t="shared" si="14"/>
        <v>5.090305976389773E-2</v>
      </c>
      <c r="I60" s="65"/>
      <c r="J60" s="65">
        <f t="shared" si="15"/>
        <v>2.3164550577530436E-2</v>
      </c>
      <c r="K60" s="65">
        <f t="shared" si="15"/>
        <v>0</v>
      </c>
      <c r="L60" s="65">
        <f t="shared" si="15"/>
        <v>5.004686606722572E-2</v>
      </c>
    </row>
    <row r="61" spans="5:27">
      <c r="V61" t="s">
        <v>274</v>
      </c>
    </row>
    <row r="62" spans="5:27">
      <c r="V62" t="s">
        <v>161</v>
      </c>
      <c r="W62" t="s">
        <v>6</v>
      </c>
      <c r="X62" t="s">
        <v>163</v>
      </c>
      <c r="Y62" t="s">
        <v>164</v>
      </c>
      <c r="Z62" t="s">
        <v>165</v>
      </c>
      <c r="AA62" t="s">
        <v>166</v>
      </c>
    </row>
    <row r="63" spans="5:27">
      <c r="W63" t="s">
        <v>171</v>
      </c>
      <c r="X63" t="s">
        <v>171</v>
      </c>
      <c r="Y63" t="s">
        <v>171</v>
      </c>
      <c r="Z63" t="s">
        <v>171</v>
      </c>
      <c r="AA63" t="s">
        <v>171</v>
      </c>
    </row>
    <row r="64" spans="5:27">
      <c r="V64">
        <v>449842745.88199145</v>
      </c>
      <c r="W64">
        <v>46307566.253469303</v>
      </c>
      <c r="X64">
        <v>43280500.159339383</v>
      </c>
      <c r="Y64">
        <v>724408881.37946868</v>
      </c>
      <c r="Z64">
        <v>140815307.51021555</v>
      </c>
      <c r="AA64">
        <v>123144460.28267619</v>
      </c>
    </row>
    <row r="65" spans="22:27">
      <c r="V65">
        <v>128355723.81475021</v>
      </c>
      <c r="W65">
        <v>31468012.634388719</v>
      </c>
      <c r="X65">
        <v>30226327.834789753</v>
      </c>
      <c r="Y65">
        <v>598967040.7601999</v>
      </c>
      <c r="Z65">
        <v>175319555.86746424</v>
      </c>
      <c r="AA65">
        <v>19706439.91071979</v>
      </c>
    </row>
    <row r="66" spans="22:27">
      <c r="V66">
        <v>1069259673.3562975</v>
      </c>
      <c r="W66">
        <v>47155242.313017301</v>
      </c>
      <c r="X66">
        <v>45872972.210464917</v>
      </c>
      <c r="Y66">
        <v>1227303972.7639661</v>
      </c>
      <c r="Z66">
        <v>1252350792.221952</v>
      </c>
      <c r="AA66">
        <v>81269960.843264267</v>
      </c>
    </row>
    <row r="67" spans="22:27">
      <c r="V67">
        <v>1229051602.0726454</v>
      </c>
      <c r="W67">
        <v>49336099.772080861</v>
      </c>
      <c r="X67">
        <v>48043855.602135308</v>
      </c>
      <c r="Y67">
        <v>1019577912.8084719</v>
      </c>
      <c r="Z67">
        <v>636938798.47803771</v>
      </c>
      <c r="AA67">
        <v>65628344.832013533</v>
      </c>
    </row>
    <row r="68" spans="22:27">
      <c r="V68">
        <v>626291920.45841801</v>
      </c>
      <c r="W68">
        <v>11011591.753026353</v>
      </c>
      <c r="X68">
        <v>10834619.63928654</v>
      </c>
      <c r="Y68">
        <v>372677955.55919969</v>
      </c>
      <c r="Z68">
        <v>204710161.42350003</v>
      </c>
      <c r="AA68">
        <v>25073074.236136232</v>
      </c>
    </row>
    <row r="69" spans="22:27">
      <c r="V69">
        <v>358853800.12348086</v>
      </c>
      <c r="W69">
        <v>57216067.88079536</v>
      </c>
      <c r="X69">
        <v>40793560.969754912</v>
      </c>
      <c r="Y69">
        <v>111552432.60446179</v>
      </c>
      <c r="Z69">
        <v>1293979.1240102376</v>
      </c>
      <c r="AA69">
        <v>66358647.892864324</v>
      </c>
    </row>
    <row r="70" spans="22:27">
      <c r="V70">
        <v>31791526.018919542</v>
      </c>
      <c r="W70">
        <v>29656335.69204884</v>
      </c>
      <c r="X70">
        <v>22813939.365379464</v>
      </c>
      <c r="Y70">
        <v>66312958.19142095</v>
      </c>
      <c r="Z70">
        <v>185530.89406030331</v>
      </c>
      <c r="AA70">
        <v>8965979.047436744</v>
      </c>
    </row>
    <row r="71" spans="22:27">
      <c r="V71">
        <v>430091384.061373</v>
      </c>
      <c r="W71">
        <v>31866248.931110032</v>
      </c>
      <c r="X71">
        <v>25026578.115481369</v>
      </c>
      <c r="Y71">
        <v>107189310.37386458</v>
      </c>
      <c r="Z71">
        <v>65868008.083009683</v>
      </c>
      <c r="AA71">
        <v>17875285.469291903</v>
      </c>
    </row>
    <row r="72" spans="22:27">
      <c r="V72">
        <v>254611771.69617617</v>
      </c>
      <c r="W72">
        <v>28216995.044964552</v>
      </c>
      <c r="X72">
        <v>24685639.353565332</v>
      </c>
      <c r="Y72">
        <v>29212887.373747572</v>
      </c>
      <c r="Z72">
        <v>1673842.2720762878</v>
      </c>
      <c r="AA72">
        <v>9761378.2446785402</v>
      </c>
    </row>
    <row r="73" spans="22:27">
      <c r="V73">
        <v>167503347.52365986</v>
      </c>
      <c r="W73">
        <v>7129947.9489206271</v>
      </c>
      <c r="X73">
        <v>5458707.7628017627</v>
      </c>
      <c r="Y73">
        <v>11970105.461469932</v>
      </c>
      <c r="Z73">
        <v>913815.73036516062</v>
      </c>
      <c r="AA73">
        <v>6979228.5224650968</v>
      </c>
    </row>
    <row r="74" spans="22:27">
      <c r="V74">
        <v>674448531.57937527</v>
      </c>
      <c r="W74">
        <v>135893457.7122665</v>
      </c>
      <c r="X74">
        <v>42015892.402915679</v>
      </c>
      <c r="Y74">
        <v>24356503.939583715</v>
      </c>
      <c r="Z74">
        <v>441337.18464325811</v>
      </c>
      <c r="AA74">
        <v>90919219.150002465</v>
      </c>
    </row>
    <row r="75" spans="22:27">
      <c r="V75">
        <v>38589765.765310913</v>
      </c>
      <c r="W75">
        <v>73702084.38616395</v>
      </c>
      <c r="X75">
        <v>33712945.390908279</v>
      </c>
      <c r="Y75">
        <v>13698192.526881656</v>
      </c>
      <c r="Z75">
        <v>0</v>
      </c>
      <c r="AA75">
        <v>8523265.2801507488</v>
      </c>
    </row>
    <row r="76" spans="22:27">
      <c r="V76">
        <v>523838797.36054087</v>
      </c>
      <c r="W76">
        <v>55364983.704379134</v>
      </c>
      <c r="X76">
        <v>22300520.700698782</v>
      </c>
      <c r="Y76">
        <v>93614948.08039166</v>
      </c>
      <c r="Z76">
        <v>14497308.189763606</v>
      </c>
      <c r="AA76">
        <v>16622988.537805393</v>
      </c>
    </row>
    <row r="77" spans="22:27">
      <c r="V77">
        <v>236781221.0708186</v>
      </c>
      <c r="W77">
        <v>22877929.27293203</v>
      </c>
      <c r="X77">
        <v>8910996.8290832769</v>
      </c>
      <c r="Y77">
        <v>3894881.2427643668</v>
      </c>
      <c r="Z77">
        <v>92290.804252919275</v>
      </c>
      <c r="AA77">
        <v>10399002.513516352</v>
      </c>
    </row>
    <row r="78" spans="22:27">
      <c r="V78">
        <v>154577679.98910242</v>
      </c>
      <c r="W78">
        <v>7349747.9753269171</v>
      </c>
      <c r="X78">
        <v>3026365.2946925964</v>
      </c>
      <c r="Y78">
        <v>2703732.7632204094</v>
      </c>
      <c r="Z78">
        <v>0</v>
      </c>
      <c r="AA78">
        <v>8792918.2748921253</v>
      </c>
    </row>
    <row r="79" spans="22:27">
      <c r="V79">
        <v>411110052.23995024</v>
      </c>
      <c r="W79">
        <v>103544138.94176848</v>
      </c>
      <c r="X79">
        <v>4040678.3106480967</v>
      </c>
      <c r="Y79">
        <v>410188.92346563627</v>
      </c>
      <c r="Z79">
        <v>134138.7363931158</v>
      </c>
      <c r="AA79">
        <v>63546656.572901167</v>
      </c>
    </row>
    <row r="80" spans="22:27">
      <c r="V80">
        <v>22462810.730523624</v>
      </c>
      <c r="W80">
        <v>50671687.90117725</v>
      </c>
      <c r="X80">
        <v>6121566.4848265098</v>
      </c>
      <c r="Y80">
        <v>0</v>
      </c>
      <c r="Z80">
        <v>190107.37757854562</v>
      </c>
      <c r="AA80">
        <v>1743472.1260334416</v>
      </c>
    </row>
    <row r="81" spans="22:27">
      <c r="V81">
        <v>424247160.78505754</v>
      </c>
      <c r="W81">
        <v>85210619.844314277</v>
      </c>
      <c r="X81">
        <v>3987920.5278437543</v>
      </c>
      <c r="Y81">
        <v>25923627.749110881</v>
      </c>
      <c r="Z81">
        <v>46130.694614008658</v>
      </c>
      <c r="AA81">
        <v>21059674.451247241</v>
      </c>
    </row>
    <row r="82" spans="22:27">
      <c r="V82">
        <v>75748620.924963757</v>
      </c>
      <c r="W82">
        <v>14571614.131641025</v>
      </c>
      <c r="X82">
        <v>977877.85625949677</v>
      </c>
      <c r="Y82">
        <v>0</v>
      </c>
      <c r="Z82">
        <v>0</v>
      </c>
      <c r="AA82">
        <v>2789838.787405279</v>
      </c>
    </row>
    <row r="83" spans="22:27">
      <c r="V83">
        <v>78113839.072423413</v>
      </c>
      <c r="W83">
        <v>13622716.417737365</v>
      </c>
      <c r="X83">
        <v>933308.33612314588</v>
      </c>
      <c r="Y83">
        <v>624476.75150606723</v>
      </c>
      <c r="Z83">
        <v>0</v>
      </c>
      <c r="AA83">
        <v>4696189.2771086795</v>
      </c>
    </row>
  </sheetData>
  <mergeCells count="12">
    <mergeCell ref="B20:B24"/>
    <mergeCell ref="C20:C24"/>
    <mergeCell ref="A1:L1"/>
    <mergeCell ref="A2:D4"/>
    <mergeCell ref="E2:L2"/>
    <mergeCell ref="A5:A24"/>
    <mergeCell ref="B5:B9"/>
    <mergeCell ref="C5:C9"/>
    <mergeCell ref="B10:B14"/>
    <mergeCell ref="C10:C14"/>
    <mergeCell ref="B15:B19"/>
    <mergeCell ref="C15:C19"/>
  </mergeCells>
  <conditionalFormatting sqref="G32:L35">
    <cfRule type="dataBar" priority="2">
      <dataBar>
        <cfvo type="min"/>
        <cfvo type="max"/>
        <color rgb="FF63C384"/>
      </dataBar>
      <extLst>
        <ext xmlns:x14="http://schemas.microsoft.com/office/spreadsheetml/2009/9/main" uri="{B025F937-C7B1-47D3-B67F-A62EFF666E3E}">
          <x14:id>{37C2D50B-792A-47E0-9F3B-BDA957E89CEB}</x14:id>
        </ext>
      </extLst>
    </cfRule>
  </conditionalFormatting>
  <conditionalFormatting sqref="G31:L35">
    <cfRule type="dataBar" priority="1">
      <dataBar>
        <cfvo type="min"/>
        <cfvo type="max"/>
        <color rgb="FF63C384"/>
      </dataBar>
      <extLst>
        <ext xmlns:x14="http://schemas.microsoft.com/office/spreadsheetml/2009/9/main" uri="{B025F937-C7B1-47D3-B67F-A62EFF666E3E}">
          <x14:id>{AE0DA5EE-5AC0-4A0C-B5CC-37CAB13B6A94}</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7C2D50B-792A-47E0-9F3B-BDA957E89CEB}">
            <x14:dataBar minLength="0" maxLength="100" border="1" negativeBarBorderColorSameAsPositive="0">
              <x14:cfvo type="autoMin"/>
              <x14:cfvo type="autoMax"/>
              <x14:borderColor rgb="FF63C384"/>
              <x14:negativeFillColor rgb="FFFF0000"/>
              <x14:negativeBorderColor rgb="FFFF0000"/>
              <x14:axisColor rgb="FF000000"/>
            </x14:dataBar>
          </x14:cfRule>
          <xm:sqref>G32:L35</xm:sqref>
        </x14:conditionalFormatting>
        <x14:conditionalFormatting xmlns:xm="http://schemas.microsoft.com/office/excel/2006/main">
          <x14:cfRule type="dataBar" id="{AE0DA5EE-5AC0-4A0C-B5CC-37CAB13B6A94}">
            <x14:dataBar minLength="0" maxLength="100" border="1" negativeBarBorderColorSameAsPositive="0">
              <x14:cfvo type="autoMin"/>
              <x14:cfvo type="autoMax"/>
              <x14:borderColor rgb="FF63C384"/>
              <x14:negativeFillColor rgb="FFFF0000"/>
              <x14:negativeBorderColor rgb="FFFF0000"/>
              <x14:axisColor rgb="FF000000"/>
            </x14:dataBar>
          </x14:cfRule>
          <xm:sqref>G31:L35</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25943-18AD-4792-98A0-27F59A1EB31F}">
  <dimension ref="A1:R104"/>
  <sheetViews>
    <sheetView topLeftCell="A93" zoomScale="140" zoomScaleNormal="140" workbookViewId="0">
      <selection activeCell="B44" sqref="B44:D65"/>
    </sheetView>
  </sheetViews>
  <sheetFormatPr baseColWidth="10" defaultColWidth="8.83203125" defaultRowHeight="15"/>
  <cols>
    <col min="3" max="3" width="9.1640625" customWidth="1"/>
    <col min="4" max="4" width="11.5" bestFit="1" customWidth="1"/>
    <col min="6" max="6" width="10" bestFit="1" customWidth="1"/>
    <col min="7" max="7" width="10.83203125" bestFit="1" customWidth="1"/>
    <col min="10" max="10" width="18.83203125" bestFit="1" customWidth="1"/>
    <col min="15" max="15" width="24.33203125" bestFit="1" customWidth="1"/>
    <col min="18" max="18" width="11" bestFit="1" customWidth="1"/>
    <col min="19" max="19" width="17.5" bestFit="1" customWidth="1"/>
    <col min="30" max="30" width="12" bestFit="1" customWidth="1"/>
    <col min="31" max="31" width="12" customWidth="1"/>
  </cols>
  <sheetData>
    <row r="1" spans="1:5">
      <c r="A1" s="5" t="s">
        <v>792</v>
      </c>
    </row>
    <row r="3" spans="1:5">
      <c r="A3" t="s">
        <v>793</v>
      </c>
    </row>
    <row r="4" spans="1:5">
      <c r="A4" t="s">
        <v>794</v>
      </c>
      <c r="C4" t="s">
        <v>902</v>
      </c>
    </row>
    <row r="5" spans="1:5">
      <c r="A5" t="s">
        <v>795</v>
      </c>
    </row>
    <row r="7" spans="1:5">
      <c r="A7" t="s">
        <v>796</v>
      </c>
      <c r="C7" t="s">
        <v>425</v>
      </c>
    </row>
    <row r="8" spans="1:5">
      <c r="A8" t="s">
        <v>797</v>
      </c>
      <c r="C8" t="s">
        <v>799</v>
      </c>
    </row>
    <row r="9" spans="1:5">
      <c r="A9" t="s">
        <v>798</v>
      </c>
      <c r="C9" t="s">
        <v>800</v>
      </c>
    </row>
    <row r="10" spans="1:5">
      <c r="C10" t="s">
        <v>858</v>
      </c>
    </row>
    <row r="13" spans="1:5">
      <c r="A13" t="s">
        <v>803</v>
      </c>
    </row>
    <row r="14" spans="1:5">
      <c r="C14" t="s">
        <v>801</v>
      </c>
    </row>
    <row r="15" spans="1:5" ht="16" thickBot="1">
      <c r="B15">
        <v>1</v>
      </c>
      <c r="C15">
        <v>32</v>
      </c>
    </row>
    <row r="16" spans="1:5" ht="16" thickBot="1">
      <c r="B16" s="301">
        <f>B15*C16/C15</f>
        <v>0.109375</v>
      </c>
      <c r="C16">
        <v>3.5</v>
      </c>
      <c r="E16" t="s">
        <v>804</v>
      </c>
    </row>
    <row r="18" spans="1:12">
      <c r="A18" t="s">
        <v>802</v>
      </c>
      <c r="B18">
        <f>B16*100</f>
        <v>10.9375</v>
      </c>
    </row>
    <row r="20" spans="1:12">
      <c r="C20" t="s">
        <v>806</v>
      </c>
    </row>
    <row r="21" spans="1:12">
      <c r="C21" s="260" t="s">
        <v>805</v>
      </c>
    </row>
    <row r="22" spans="1:12">
      <c r="C22" t="s">
        <v>807</v>
      </c>
    </row>
    <row r="25" spans="1:12">
      <c r="J25" t="s">
        <v>819</v>
      </c>
    </row>
    <row r="27" spans="1:12">
      <c r="K27" t="s">
        <v>813</v>
      </c>
      <c r="L27" t="s">
        <v>814</v>
      </c>
    </row>
    <row r="28" spans="1:12">
      <c r="A28" s="5" t="s">
        <v>808</v>
      </c>
      <c r="J28" t="s">
        <v>28</v>
      </c>
      <c r="K28">
        <v>7.38</v>
      </c>
      <c r="L28">
        <v>7.4</v>
      </c>
    </row>
    <row r="29" spans="1:12">
      <c r="A29" t="s">
        <v>809</v>
      </c>
      <c r="C29" t="s">
        <v>810</v>
      </c>
      <c r="D29">
        <f>354.4+137.9</f>
        <v>492.29999999999995</v>
      </c>
      <c r="J29" t="s">
        <v>467</v>
      </c>
      <c r="K29">
        <v>0.90200000000000002</v>
      </c>
      <c r="L29">
        <v>0.90600000000000003</v>
      </c>
    </row>
    <row r="30" spans="1:12">
      <c r="A30" t="s">
        <v>811</v>
      </c>
      <c r="C30" t="s">
        <v>812</v>
      </c>
      <c r="J30" t="s">
        <v>271</v>
      </c>
      <c r="K30">
        <v>4.4000000000000004</v>
      </c>
      <c r="L30">
        <v>4.5</v>
      </c>
    </row>
    <row r="31" spans="1:12">
      <c r="J31" t="s">
        <v>272</v>
      </c>
      <c r="K31">
        <v>2.4900000000000002</v>
      </c>
      <c r="L31">
        <v>0</v>
      </c>
    </row>
    <row r="32" spans="1:12">
      <c r="A32" t="s">
        <v>311</v>
      </c>
      <c r="B32" t="s">
        <v>739</v>
      </c>
      <c r="C32">
        <v>0.1</v>
      </c>
      <c r="K32" s="5">
        <f>SUM(K28:K31)</f>
        <v>15.172000000000001</v>
      </c>
      <c r="L32" s="5">
        <f>SUM(L28:L31)</f>
        <v>12.806000000000001</v>
      </c>
    </row>
    <row r="33" spans="1:18">
      <c r="B33" t="s">
        <v>818</v>
      </c>
      <c r="C33">
        <v>0.1</v>
      </c>
    </row>
    <row r="34" spans="1:18">
      <c r="A34" t="s">
        <v>313</v>
      </c>
      <c r="B34" t="s">
        <v>739</v>
      </c>
      <c r="C34">
        <v>0.2</v>
      </c>
    </row>
    <row r="35" spans="1:18">
      <c r="B35" t="s">
        <v>818</v>
      </c>
      <c r="C35">
        <v>0.2</v>
      </c>
    </row>
    <row r="36" spans="1:18">
      <c r="A36" t="s">
        <v>314</v>
      </c>
      <c r="B36" t="s">
        <v>739</v>
      </c>
      <c r="C36">
        <v>0.3</v>
      </c>
    </row>
    <row r="37" spans="1:18">
      <c r="B37" t="s">
        <v>818</v>
      </c>
      <c r="C37">
        <v>0.3</v>
      </c>
    </row>
    <row r="38" spans="1:18">
      <c r="A38" t="s">
        <v>315</v>
      </c>
      <c r="B38" t="s">
        <v>739</v>
      </c>
      <c r="C38">
        <v>0.4</v>
      </c>
    </row>
    <row r="39" spans="1:18">
      <c r="B39" t="s">
        <v>818</v>
      </c>
      <c r="C39">
        <v>0.4</v>
      </c>
    </row>
    <row r="44" spans="1:18">
      <c r="D44" t="s">
        <v>837</v>
      </c>
      <c r="O44" t="s">
        <v>838</v>
      </c>
      <c r="R44" t="s">
        <v>839</v>
      </c>
    </row>
    <row r="45" spans="1:18">
      <c r="F45" t="s">
        <v>832</v>
      </c>
      <c r="J45" t="s">
        <v>833</v>
      </c>
    </row>
    <row r="46" spans="1:18">
      <c r="B46" t="s">
        <v>817</v>
      </c>
      <c r="C46" s="5" t="s">
        <v>175</v>
      </c>
      <c r="D46" s="304">
        <v>1361374501.0251446</v>
      </c>
      <c r="F46">
        <f>D46*$B$16</f>
        <v>148900336.04962519</v>
      </c>
      <c r="J46" s="305">
        <f>F68*C32</f>
        <v>35444381.109542765</v>
      </c>
      <c r="O46" s="47">
        <f>D46+J46</f>
        <v>1396818882.1346874</v>
      </c>
      <c r="R46" s="47">
        <f>O46</f>
        <v>1396818882.1346874</v>
      </c>
    </row>
    <row r="47" spans="1:18">
      <c r="C47" s="5" t="s">
        <v>176</v>
      </c>
      <c r="D47" s="304">
        <v>934110333.07680297</v>
      </c>
      <c r="F47">
        <f t="shared" ref="F47:F62" si="0">D47*$B$16</f>
        <v>102168317.68027532</v>
      </c>
      <c r="J47" s="305">
        <f>F69*C33</f>
        <v>13796248.94988472</v>
      </c>
      <c r="O47" s="47">
        <f t="shared" ref="O47:O65" si="1">D47+J47</f>
        <v>947906582.02668774</v>
      </c>
    </row>
    <row r="48" spans="1:18">
      <c r="C48" t="s">
        <v>177</v>
      </c>
      <c r="D48" s="47">
        <v>3596069680.6552329</v>
      </c>
      <c r="J48" s="305"/>
      <c r="O48" s="47">
        <f t="shared" si="1"/>
        <v>3596069680.6552329</v>
      </c>
    </row>
    <row r="49" spans="2:15">
      <c r="C49" t="s">
        <v>178</v>
      </c>
      <c r="D49" s="47">
        <v>2934904413.1312361</v>
      </c>
      <c r="J49" s="305"/>
      <c r="O49" s="47">
        <f t="shared" si="1"/>
        <v>2934904413.1312361</v>
      </c>
    </row>
    <row r="50" spans="2:15">
      <c r="C50" t="s">
        <v>179</v>
      </c>
      <c r="D50" s="47">
        <v>1214691629.1941442</v>
      </c>
      <c r="J50" s="305"/>
      <c r="O50" s="47">
        <f t="shared" si="1"/>
        <v>1214691629.1941442</v>
      </c>
    </row>
    <row r="51" spans="2:15">
      <c r="B51" t="s">
        <v>313</v>
      </c>
      <c r="C51" s="5" t="s">
        <v>175</v>
      </c>
      <c r="D51" s="304">
        <v>528916279.73274827</v>
      </c>
      <c r="F51">
        <f t="shared" si="0"/>
        <v>57850218.095769346</v>
      </c>
      <c r="J51" s="305">
        <f>F68*C34</f>
        <v>70888762.219085529</v>
      </c>
      <c r="O51" s="47">
        <f t="shared" si="1"/>
        <v>599805041.95183384</v>
      </c>
    </row>
    <row r="52" spans="2:15">
      <c r="C52" s="5" t="s">
        <v>176</v>
      </c>
      <c r="D52" s="304">
        <v>127946350.79644963</v>
      </c>
      <c r="F52">
        <f t="shared" si="0"/>
        <v>13994132.118361678</v>
      </c>
      <c r="J52" s="305">
        <f>F69*C35</f>
        <v>27592497.89976944</v>
      </c>
      <c r="O52" s="47">
        <f t="shared" si="1"/>
        <v>155538848.69621909</v>
      </c>
    </row>
    <row r="53" spans="2:15">
      <c r="C53" t="s">
        <v>177</v>
      </c>
      <c r="D53" s="47">
        <v>635014951.44935727</v>
      </c>
      <c r="J53" s="305"/>
      <c r="O53" s="47">
        <f t="shared" si="1"/>
        <v>635014951.44935727</v>
      </c>
    </row>
    <row r="54" spans="2:15">
      <c r="C54" t="s">
        <v>178</v>
      </c>
      <c r="D54" s="47">
        <v>313715496.38696456</v>
      </c>
      <c r="J54" s="305"/>
      <c r="O54" s="47">
        <f t="shared" si="1"/>
        <v>313715496.38696456</v>
      </c>
    </row>
    <row r="55" spans="2:15">
      <c r="C55" t="s">
        <v>179</v>
      </c>
      <c r="D55" s="47">
        <v>187517216.6644156</v>
      </c>
      <c r="J55" s="305"/>
      <c r="O55" s="47">
        <f t="shared" si="1"/>
        <v>187517216.6644156</v>
      </c>
    </row>
    <row r="56" spans="2:15">
      <c r="B56" t="s">
        <v>314</v>
      </c>
      <c r="C56" s="5" t="s">
        <v>175</v>
      </c>
      <c r="D56" s="304">
        <v>835139830.4158684</v>
      </c>
      <c r="F56">
        <f t="shared" si="0"/>
        <v>91343418.951735601</v>
      </c>
      <c r="J56" s="305">
        <f>F68*C36</f>
        <v>106333143.32862829</v>
      </c>
      <c r="O56" s="47">
        <f t="shared" si="1"/>
        <v>941472973.7444967</v>
      </c>
    </row>
    <row r="57" spans="2:15">
      <c r="C57" s="5" t="s">
        <v>176</v>
      </c>
      <c r="D57" s="304">
        <v>125990042.67835651</v>
      </c>
      <c r="F57">
        <f t="shared" si="0"/>
        <v>13780160.917945243</v>
      </c>
      <c r="J57" s="305">
        <f>F69*C37</f>
        <v>41388746.849654153</v>
      </c>
      <c r="O57" s="47">
        <f t="shared" si="1"/>
        <v>167378789.52801067</v>
      </c>
    </row>
    <row r="58" spans="2:15">
      <c r="C58" t="s">
        <v>177</v>
      </c>
      <c r="D58" s="47">
        <v>687316037.33507526</v>
      </c>
      <c r="J58" s="305"/>
      <c r="O58" s="47">
        <f t="shared" si="1"/>
        <v>687316037.33507526</v>
      </c>
    </row>
    <row r="59" spans="2:15">
      <c r="C59" t="s">
        <v>178</v>
      </c>
      <c r="D59" s="47">
        <v>263646322.3907679</v>
      </c>
      <c r="J59" s="305"/>
      <c r="O59" s="47">
        <f t="shared" si="1"/>
        <v>263646322.3907679</v>
      </c>
    </row>
    <row r="60" spans="2:15">
      <c r="C60" t="s">
        <v>179</v>
      </c>
      <c r="D60" s="47">
        <v>164631160.72764975</v>
      </c>
      <c r="J60" s="305"/>
      <c r="O60" s="47">
        <f t="shared" si="1"/>
        <v>164631160.72764975</v>
      </c>
    </row>
    <row r="61" spans="2:15">
      <c r="B61" t="s">
        <v>315</v>
      </c>
      <c r="C61" s="5" t="s">
        <v>175</v>
      </c>
      <c r="D61" s="304">
        <v>515198518.84157747</v>
      </c>
      <c r="F61">
        <f t="shared" si="0"/>
        <v>56349837.998297535</v>
      </c>
      <c r="J61" s="305">
        <f>F68*C38</f>
        <v>141777524.43817106</v>
      </c>
      <c r="O61" s="47">
        <f t="shared" si="1"/>
        <v>656976043.27974856</v>
      </c>
    </row>
    <row r="62" spans="2:15">
      <c r="C62" s="5" t="s">
        <v>176</v>
      </c>
      <c r="D62" s="304">
        <v>73324606.009279415</v>
      </c>
      <c r="F62">
        <f t="shared" si="0"/>
        <v>8019878.7822649358</v>
      </c>
      <c r="J62" s="305">
        <f>F69*C39</f>
        <v>55184995.799538881</v>
      </c>
      <c r="O62" s="47">
        <f t="shared" si="1"/>
        <v>128509601.8088183</v>
      </c>
    </row>
    <row r="63" spans="2:15">
      <c r="C63" t="s">
        <v>177</v>
      </c>
      <c r="D63" s="47">
        <v>535427539.07309669</v>
      </c>
      <c r="J63" s="305"/>
      <c r="O63" s="47">
        <f t="shared" si="1"/>
        <v>535427539.07309669</v>
      </c>
    </row>
    <row r="64" spans="2:15">
      <c r="C64" t="s">
        <v>178</v>
      </c>
      <c r="D64" s="47">
        <v>90320235.056604788</v>
      </c>
      <c r="J64" s="305"/>
      <c r="O64" s="47">
        <f t="shared" si="1"/>
        <v>90320235.056604788</v>
      </c>
    </row>
    <row r="65" spans="1:15">
      <c r="C65" t="s">
        <v>179</v>
      </c>
      <c r="D65" s="47">
        <v>92361032.241666839</v>
      </c>
      <c r="J65" s="305"/>
      <c r="O65" s="47">
        <f t="shared" si="1"/>
        <v>92361032.241666839</v>
      </c>
    </row>
    <row r="66" spans="1:15">
      <c r="E66" t="s">
        <v>236</v>
      </c>
      <c r="F66" s="5">
        <f>SUM(F46:F65)</f>
        <v>492406300.59427488</v>
      </c>
      <c r="G66">
        <f>F66/1000000</f>
        <v>492.40630059427485</v>
      </c>
      <c r="H66" t="s">
        <v>836</v>
      </c>
      <c r="J66" s="303">
        <f>SUM(J46:J62)</f>
        <v>492406300.59427476</v>
      </c>
      <c r="O66" s="304">
        <f>SUM(O46:O65)</f>
        <v>15710022477.476719</v>
      </c>
    </row>
    <row r="68" spans="1:15">
      <c r="E68" t="s">
        <v>834</v>
      </c>
      <c r="F68">
        <f>F46+F51+F56+F61</f>
        <v>354443811.09542763</v>
      </c>
    </row>
    <row r="69" spans="1:15">
      <c r="E69" t="s">
        <v>835</v>
      </c>
      <c r="F69">
        <f>F47+F52+F57+F62</f>
        <v>137962489.49884719</v>
      </c>
    </row>
    <row r="72" spans="1:15">
      <c r="A72" t="s">
        <v>868</v>
      </c>
    </row>
    <row r="74" spans="1:15">
      <c r="B74" t="s">
        <v>817</v>
      </c>
      <c r="C74" s="5" t="s">
        <v>175</v>
      </c>
      <c r="D74" s="304">
        <v>1361374501.0251446</v>
      </c>
    </row>
    <row r="75" spans="1:15">
      <c r="C75" s="5" t="s">
        <v>176</v>
      </c>
      <c r="D75" s="304">
        <v>934110333.07680297</v>
      </c>
    </row>
    <row r="76" spans="1:15">
      <c r="C76" t="s">
        <v>177</v>
      </c>
      <c r="D76" s="47">
        <v>3596069680.6552329</v>
      </c>
    </row>
    <row r="77" spans="1:15">
      <c r="C77" t="s">
        <v>178</v>
      </c>
      <c r="D77" s="47">
        <v>2934904413.1312361</v>
      </c>
    </row>
    <row r="78" spans="1:15">
      <c r="C78" t="s">
        <v>179</v>
      </c>
      <c r="D78" s="47">
        <v>1214691629.1941442</v>
      </c>
    </row>
    <row r="79" spans="1:15">
      <c r="B79" t="s">
        <v>313</v>
      </c>
      <c r="C79" s="5" t="s">
        <v>175</v>
      </c>
      <c r="D79" s="304">
        <v>528916279.73274827</v>
      </c>
    </row>
    <row r="80" spans="1:15">
      <c r="C80" s="5" t="s">
        <v>176</v>
      </c>
      <c r="D80" s="304">
        <v>127946350.79644963</v>
      </c>
    </row>
    <row r="81" spans="2:4">
      <c r="C81" t="s">
        <v>177</v>
      </c>
      <c r="D81" s="47">
        <v>635014951.44935727</v>
      </c>
    </row>
    <row r="82" spans="2:4">
      <c r="C82" t="s">
        <v>178</v>
      </c>
      <c r="D82" s="47">
        <v>313715496.38696456</v>
      </c>
    </row>
    <row r="83" spans="2:4">
      <c r="C83" t="s">
        <v>179</v>
      </c>
      <c r="D83" s="47">
        <v>187517216.6644156</v>
      </c>
    </row>
    <row r="84" spans="2:4">
      <c r="B84" t="s">
        <v>314</v>
      </c>
      <c r="C84" s="5" t="s">
        <v>175</v>
      </c>
      <c r="D84" s="304">
        <v>835139830.4158684</v>
      </c>
    </row>
    <row r="85" spans="2:4">
      <c r="C85" s="5" t="s">
        <v>176</v>
      </c>
      <c r="D85" s="304">
        <v>125990042.67835651</v>
      </c>
    </row>
    <row r="86" spans="2:4">
      <c r="C86" t="s">
        <v>177</v>
      </c>
      <c r="D86" s="47">
        <v>687316037.33507526</v>
      </c>
    </row>
    <row r="87" spans="2:4">
      <c r="C87" t="s">
        <v>178</v>
      </c>
      <c r="D87" s="47">
        <v>263646322.3907679</v>
      </c>
    </row>
    <row r="88" spans="2:4">
      <c r="C88" t="s">
        <v>179</v>
      </c>
      <c r="D88" s="47">
        <v>164631160.72764975</v>
      </c>
    </row>
    <row r="89" spans="2:4">
      <c r="B89" t="s">
        <v>315</v>
      </c>
      <c r="C89" s="5" t="s">
        <v>175</v>
      </c>
      <c r="D89" s="304">
        <v>515198518.84157747</v>
      </c>
    </row>
    <row r="90" spans="2:4">
      <c r="C90" s="5" t="s">
        <v>176</v>
      </c>
      <c r="D90" s="304">
        <v>73324606.009279415</v>
      </c>
    </row>
    <row r="91" spans="2:4">
      <c r="C91" t="s">
        <v>177</v>
      </c>
      <c r="D91" s="47">
        <v>535427539.07309669</v>
      </c>
    </row>
    <row r="92" spans="2:4">
      <c r="C92" t="s">
        <v>178</v>
      </c>
      <c r="D92" s="47">
        <v>90320235.056604788</v>
      </c>
    </row>
    <row r="93" spans="2:4">
      <c r="C93" t="s">
        <v>179</v>
      </c>
      <c r="D93" s="47">
        <v>92361032.241666839</v>
      </c>
    </row>
    <row r="97" spans="2:7">
      <c r="C97" s="5" t="s">
        <v>883</v>
      </c>
    </row>
    <row r="98" spans="2:7" ht="16" thickBot="1">
      <c r="B98" t="s">
        <v>884</v>
      </c>
      <c r="G98" t="s">
        <v>891</v>
      </c>
    </row>
    <row r="99" spans="2:7">
      <c r="D99" t="s">
        <v>886</v>
      </c>
      <c r="E99">
        <f>C100+(C100*0.1)</f>
        <v>0.37070000000000003</v>
      </c>
      <c r="G99" s="298">
        <f>E99*$G$104/$E$104</f>
        <v>0.23289564616447828</v>
      </c>
    </row>
    <row r="100" spans="2:7">
      <c r="B100" t="s">
        <v>578</v>
      </c>
      <c r="C100">
        <v>0.33700000000000002</v>
      </c>
      <c r="D100" t="s">
        <v>887</v>
      </c>
      <c r="E100">
        <f>C100</f>
        <v>0.33700000000000002</v>
      </c>
      <c r="G100" s="299">
        <f t="shared" ref="G100:G103" si="2">E100*$G$104/$E$104</f>
        <v>0.21172331469498024</v>
      </c>
    </row>
    <row r="101" spans="2:7">
      <c r="B101" t="s">
        <v>885</v>
      </c>
      <c r="C101">
        <v>0.33300000000000002</v>
      </c>
      <c r="D101" t="s">
        <v>888</v>
      </c>
      <c r="E101">
        <f>C101</f>
        <v>0.33300000000000002</v>
      </c>
      <c r="G101" s="299">
        <f t="shared" si="2"/>
        <v>0.2092102783187787</v>
      </c>
    </row>
    <row r="102" spans="2:7">
      <c r="B102" t="s">
        <v>579</v>
      </c>
      <c r="C102">
        <v>0.28999999999999998</v>
      </c>
      <c r="D102" t="s">
        <v>889</v>
      </c>
      <c r="E102">
        <f>C102</f>
        <v>0.28999999999999998</v>
      </c>
      <c r="G102" s="299">
        <f t="shared" si="2"/>
        <v>0.18219513727461206</v>
      </c>
    </row>
    <row r="103" spans="2:7" ht="16" thickBot="1">
      <c r="D103" t="s">
        <v>890</v>
      </c>
      <c r="E103">
        <f>C102-(C102*0.1)</f>
        <v>0.26100000000000001</v>
      </c>
      <c r="G103" s="300">
        <f t="shared" si="2"/>
        <v>0.16397562354715087</v>
      </c>
    </row>
    <row r="104" spans="2:7">
      <c r="E104" s="5">
        <f>SUM(E99:E103)</f>
        <v>1.5916999999999999</v>
      </c>
      <c r="G104">
        <v>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4338-CFF7-F842-A609-952A8D045FBD}">
  <dimension ref="A1:O21"/>
  <sheetViews>
    <sheetView workbookViewId="0">
      <selection activeCell="G28" sqref="G28"/>
    </sheetView>
  </sheetViews>
  <sheetFormatPr baseColWidth="10" defaultRowHeight="15"/>
  <sheetData>
    <row r="1" spans="1:15">
      <c r="A1" s="5" t="s">
        <v>901</v>
      </c>
    </row>
    <row r="4" spans="1:15">
      <c r="H4" t="s">
        <v>850</v>
      </c>
    </row>
    <row r="6" spans="1:15">
      <c r="B6" t="s">
        <v>820</v>
      </c>
      <c r="H6" t="s">
        <v>829</v>
      </c>
    </row>
    <row r="7" spans="1:15">
      <c r="A7" t="s">
        <v>821</v>
      </c>
      <c r="B7" t="s">
        <v>822</v>
      </c>
      <c r="H7">
        <v>72.900000000000006</v>
      </c>
      <c r="I7" t="s">
        <v>830</v>
      </c>
    </row>
    <row r="8" spans="1:15">
      <c r="H8">
        <f>H7/12</f>
        <v>6.0750000000000002</v>
      </c>
      <c r="I8" t="s">
        <v>831</v>
      </c>
    </row>
    <row r="9" spans="1:15">
      <c r="A9" t="s">
        <v>823</v>
      </c>
      <c r="B9">
        <v>6.0679999999999996</v>
      </c>
      <c r="C9" t="s">
        <v>824</v>
      </c>
      <c r="D9" t="s">
        <v>825</v>
      </c>
      <c r="G9" t="s">
        <v>828</v>
      </c>
    </row>
    <row r="10" spans="1:15">
      <c r="A10" t="s">
        <v>826</v>
      </c>
    </row>
    <row r="12" spans="1:15">
      <c r="A12" t="s">
        <v>827</v>
      </c>
      <c r="B12">
        <v>11.77</v>
      </c>
      <c r="C12" t="s">
        <v>824</v>
      </c>
      <c r="H12" t="s">
        <v>840</v>
      </c>
      <c r="L12">
        <v>13.3</v>
      </c>
      <c r="M12" t="s">
        <v>847</v>
      </c>
      <c r="N12" t="s">
        <v>841</v>
      </c>
      <c r="O12" t="s">
        <v>569</v>
      </c>
    </row>
    <row r="13" spans="1:15">
      <c r="L13">
        <f>L12/12</f>
        <v>1.1083333333333334</v>
      </c>
      <c r="M13" t="s">
        <v>847</v>
      </c>
      <c r="N13" t="s">
        <v>841</v>
      </c>
      <c r="O13" t="s">
        <v>842</v>
      </c>
    </row>
    <row r="15" spans="1:15">
      <c r="H15" t="s">
        <v>843</v>
      </c>
      <c r="L15">
        <f>72.9</f>
        <v>72.900000000000006</v>
      </c>
      <c r="M15" t="s">
        <v>844</v>
      </c>
      <c r="N15" t="s">
        <v>845</v>
      </c>
      <c r="O15" t="s">
        <v>569</v>
      </c>
    </row>
    <row r="16" spans="1:15">
      <c r="L16">
        <f>L15/12</f>
        <v>6.0750000000000002</v>
      </c>
      <c r="M16" t="s">
        <v>844</v>
      </c>
      <c r="N16" t="s">
        <v>845</v>
      </c>
      <c r="O16" t="s">
        <v>842</v>
      </c>
    </row>
    <row r="20" spans="8:15">
      <c r="H20" t="s">
        <v>846</v>
      </c>
      <c r="L20">
        <f>L15/(L12/1000)</f>
        <v>5481.2030075187968</v>
      </c>
    </row>
    <row r="21" spans="8:15">
      <c r="L21">
        <f>L16/(L13/ 1000)</f>
        <v>5481.2030075187968</v>
      </c>
      <c r="N21" t="s">
        <v>848</v>
      </c>
      <c r="O21" t="s">
        <v>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7613A-8B29-43EC-BC68-B5D6E14590FB}">
  <dimension ref="A2:N100"/>
  <sheetViews>
    <sheetView zoomScale="80" zoomScaleNormal="80" workbookViewId="0">
      <selection activeCell="J33" sqref="J33"/>
    </sheetView>
  </sheetViews>
  <sheetFormatPr baseColWidth="10" defaultColWidth="8.83203125" defaultRowHeight="15"/>
  <cols>
    <col min="3" max="3" width="18.5" bestFit="1" customWidth="1"/>
    <col min="4" max="4" width="16.1640625" bestFit="1" customWidth="1"/>
    <col min="5" max="5" width="14.1640625" bestFit="1" customWidth="1"/>
    <col min="6" max="6" width="16.1640625" bestFit="1" customWidth="1"/>
    <col min="7" max="7" width="11" bestFit="1" customWidth="1"/>
    <col min="8" max="8" width="16.6640625" bestFit="1" customWidth="1"/>
    <col min="9" max="9" width="13" bestFit="1" customWidth="1"/>
    <col min="10" max="10" width="35.5" bestFit="1" customWidth="1"/>
    <col min="11" max="11" width="21.5" bestFit="1" customWidth="1"/>
    <col min="14" max="14" width="12" bestFit="1" customWidth="1"/>
  </cols>
  <sheetData>
    <row r="2" spans="1:14">
      <c r="B2" s="5" t="s">
        <v>297</v>
      </c>
      <c r="H2" s="133" t="s">
        <v>431</v>
      </c>
      <c r="I2" s="133"/>
      <c r="J2" s="133"/>
      <c r="K2" s="133"/>
      <c r="L2" s="133"/>
      <c r="M2" s="133"/>
    </row>
    <row r="3" spans="1:14">
      <c r="H3" s="133"/>
      <c r="I3" s="133"/>
      <c r="J3" s="133"/>
      <c r="K3" s="133"/>
      <c r="L3" s="133"/>
      <c r="M3" s="133"/>
    </row>
    <row r="4" spans="1:14">
      <c r="B4" t="s">
        <v>298</v>
      </c>
    </row>
    <row r="5" spans="1:14">
      <c r="I5" s="162" t="s">
        <v>400</v>
      </c>
      <c r="J5" s="162" t="s">
        <v>401</v>
      </c>
    </row>
    <row r="6" spans="1:14">
      <c r="B6" t="s">
        <v>71</v>
      </c>
    </row>
    <row r="7" spans="1:14">
      <c r="A7" s="10"/>
      <c r="B7" s="10" t="s">
        <v>251</v>
      </c>
      <c r="C7" s="10" t="s">
        <v>72</v>
      </c>
      <c r="D7" t="s">
        <v>28</v>
      </c>
      <c r="E7" t="s">
        <v>5</v>
      </c>
      <c r="F7" t="s">
        <v>6</v>
      </c>
      <c r="G7" t="s">
        <v>272</v>
      </c>
      <c r="I7" t="s">
        <v>399</v>
      </c>
      <c r="J7" t="s">
        <v>299</v>
      </c>
      <c r="N7" t="s">
        <v>300</v>
      </c>
    </row>
    <row r="8" spans="1:14">
      <c r="A8">
        <v>1</v>
      </c>
      <c r="B8" t="s">
        <v>216</v>
      </c>
      <c r="C8" t="s">
        <v>76</v>
      </c>
      <c r="D8" s="94">
        <v>449842745.88199145</v>
      </c>
      <c r="E8" s="94">
        <v>724408881.37946868</v>
      </c>
      <c r="F8" s="94">
        <v>46307566.253469303</v>
      </c>
      <c r="G8" s="94">
        <v>140815307.51021555</v>
      </c>
      <c r="I8" s="94">
        <f>SUM(D8:F8)</f>
        <v>1220559193.5149293</v>
      </c>
      <c r="J8" s="94">
        <v>1361374501.02514</v>
      </c>
      <c r="N8">
        <v>10041150557.082561</v>
      </c>
    </row>
    <row r="9" spans="1:14">
      <c r="A9">
        <v>2</v>
      </c>
      <c r="B9" t="s">
        <v>216</v>
      </c>
      <c r="C9" t="s">
        <v>77</v>
      </c>
      <c r="D9" s="94">
        <v>358853800.12348086</v>
      </c>
      <c r="E9" s="94">
        <v>111552432.60446179</v>
      </c>
      <c r="F9" s="94">
        <v>57216067.88079536</v>
      </c>
      <c r="G9" s="94">
        <v>1293979.1240102376</v>
      </c>
      <c r="I9" s="94">
        <f t="shared" ref="I9:I27" si="0">SUM(D9:F9)</f>
        <v>527622300.60873801</v>
      </c>
      <c r="J9" s="94">
        <v>528916279.73274827</v>
      </c>
    </row>
    <row r="10" spans="1:14">
      <c r="A10">
        <v>3</v>
      </c>
      <c r="B10" t="s">
        <v>216</v>
      </c>
      <c r="C10" t="s">
        <v>78</v>
      </c>
      <c r="D10" s="94">
        <v>674448531.57937527</v>
      </c>
      <c r="E10" s="94">
        <v>24356503.939583715</v>
      </c>
      <c r="F10" s="94">
        <v>135893457.7122665</v>
      </c>
      <c r="G10" s="94">
        <v>441337.18464325811</v>
      </c>
      <c r="I10" s="94">
        <f t="shared" si="0"/>
        <v>834698493.23122549</v>
      </c>
      <c r="J10" s="94">
        <v>835139830.41586876</v>
      </c>
    </row>
    <row r="11" spans="1:14">
      <c r="A11">
        <v>4</v>
      </c>
      <c r="B11" t="s">
        <v>216</v>
      </c>
      <c r="C11" t="s">
        <v>79</v>
      </c>
      <c r="D11" s="94">
        <v>411110052.23995024</v>
      </c>
      <c r="E11" s="94">
        <v>410188.92346563627</v>
      </c>
      <c r="F11" s="94">
        <v>103544138.94176848</v>
      </c>
      <c r="G11" s="94">
        <v>134138.7363931158</v>
      </c>
      <c r="I11" s="94">
        <f t="shared" si="0"/>
        <v>515064380.10518432</v>
      </c>
      <c r="J11" s="94">
        <v>515198518.84157741</v>
      </c>
    </row>
    <row r="12" spans="1:14">
      <c r="A12">
        <v>5</v>
      </c>
      <c r="B12" t="s">
        <v>80</v>
      </c>
      <c r="C12" t="s">
        <v>76</v>
      </c>
      <c r="D12" s="94">
        <v>128355723.81475021</v>
      </c>
      <c r="E12" s="94">
        <v>598967040.7601999</v>
      </c>
      <c r="F12" s="94">
        <v>31468012.634388719</v>
      </c>
      <c r="G12" s="94">
        <v>175319555.86746424</v>
      </c>
      <c r="I12" s="94">
        <f t="shared" si="0"/>
        <v>758790777.20933878</v>
      </c>
      <c r="J12" s="94">
        <v>934110333.07680297</v>
      </c>
    </row>
    <row r="13" spans="1:14">
      <c r="A13">
        <v>6</v>
      </c>
      <c r="B13" t="s">
        <v>80</v>
      </c>
      <c r="C13" t="s">
        <v>77</v>
      </c>
      <c r="D13" s="94">
        <v>31791526.018919542</v>
      </c>
      <c r="E13" s="94">
        <v>66312958.19142095</v>
      </c>
      <c r="F13" s="94">
        <v>29656335.69204884</v>
      </c>
      <c r="G13" s="94">
        <v>185530.89406030331</v>
      </c>
      <c r="I13" s="94">
        <f t="shared" si="0"/>
        <v>127760819.90238935</v>
      </c>
      <c r="J13" s="94">
        <v>127946350.79644965</v>
      </c>
    </row>
    <row r="14" spans="1:14">
      <c r="A14">
        <v>7</v>
      </c>
      <c r="B14" t="s">
        <v>80</v>
      </c>
      <c r="C14" t="s">
        <v>78</v>
      </c>
      <c r="D14" s="94">
        <v>38589765.765310913</v>
      </c>
      <c r="E14" s="94">
        <v>13698192.526881656</v>
      </c>
      <c r="F14" s="94">
        <v>73702084.38616395</v>
      </c>
      <c r="G14" s="94">
        <v>0</v>
      </c>
      <c r="I14" s="94">
        <f t="shared" si="0"/>
        <v>125990042.67835653</v>
      </c>
      <c r="J14" s="94">
        <v>125990042.67835653</v>
      </c>
    </row>
    <row r="15" spans="1:14">
      <c r="A15">
        <v>8</v>
      </c>
      <c r="B15" t="s">
        <v>80</v>
      </c>
      <c r="C15" t="s">
        <v>79</v>
      </c>
      <c r="D15" s="94">
        <v>22462810.730523624</v>
      </c>
      <c r="E15" s="94">
        <v>0</v>
      </c>
      <c r="F15" s="94">
        <v>50671687.90117725</v>
      </c>
      <c r="G15" s="94">
        <v>190107.37757854562</v>
      </c>
      <c r="I15" s="94">
        <f t="shared" si="0"/>
        <v>73134498.631700873</v>
      </c>
      <c r="J15" s="94">
        <v>73324606.009279415</v>
      </c>
    </row>
    <row r="16" spans="1:14">
      <c r="A16">
        <v>9</v>
      </c>
      <c r="B16" t="s">
        <v>81</v>
      </c>
      <c r="C16" t="s">
        <v>76</v>
      </c>
      <c r="D16" s="94">
        <v>1069259673.3562975</v>
      </c>
      <c r="E16" s="94">
        <v>1227303972.7639661</v>
      </c>
      <c r="F16" s="94">
        <v>47155242.313017301</v>
      </c>
      <c r="G16" s="94">
        <v>1252350792.221952</v>
      </c>
      <c r="I16" s="94">
        <f t="shared" si="0"/>
        <v>2343718888.4332809</v>
      </c>
      <c r="J16" s="94">
        <v>3596069680.6552329</v>
      </c>
    </row>
    <row r="17" spans="1:10">
      <c r="A17">
        <v>10</v>
      </c>
      <c r="B17" t="s">
        <v>81</v>
      </c>
      <c r="C17" t="s">
        <v>77</v>
      </c>
      <c r="D17" s="94">
        <v>430091384.061373</v>
      </c>
      <c r="E17" s="94">
        <v>107189310.37386458</v>
      </c>
      <c r="F17" s="94">
        <v>31866248.931110032</v>
      </c>
      <c r="G17" s="94">
        <v>65868008.083009683</v>
      </c>
      <c r="I17" s="94">
        <f t="shared" si="0"/>
        <v>569146943.36634755</v>
      </c>
      <c r="J17" s="94">
        <v>635014951.44935727</v>
      </c>
    </row>
    <row r="18" spans="1:10">
      <c r="A18">
        <v>11</v>
      </c>
      <c r="B18" t="s">
        <v>81</v>
      </c>
      <c r="C18" t="s">
        <v>78</v>
      </c>
      <c r="D18" s="94">
        <v>523838797.36054087</v>
      </c>
      <c r="E18" s="94">
        <v>93614948.08039166</v>
      </c>
      <c r="F18" s="94">
        <v>55364983.704379134</v>
      </c>
      <c r="G18" s="94">
        <v>14497308.189763606</v>
      </c>
      <c r="I18" s="94">
        <f t="shared" si="0"/>
        <v>672818729.14531159</v>
      </c>
      <c r="J18" s="94">
        <v>687316037.33507514</v>
      </c>
    </row>
    <row r="19" spans="1:10">
      <c r="A19">
        <v>12</v>
      </c>
      <c r="B19" t="s">
        <v>81</v>
      </c>
      <c r="C19" t="s">
        <v>79</v>
      </c>
      <c r="D19" s="94">
        <v>424247160.78505754</v>
      </c>
      <c r="E19" s="94">
        <v>25923627.749110881</v>
      </c>
      <c r="F19" s="94">
        <v>85210619.844314277</v>
      </c>
      <c r="G19" s="94">
        <v>46130.694614008658</v>
      </c>
      <c r="I19" s="94">
        <f t="shared" si="0"/>
        <v>535381408.3784827</v>
      </c>
      <c r="J19" s="94">
        <v>535427539.07309669</v>
      </c>
    </row>
    <row r="20" spans="1:10">
      <c r="A20">
        <v>13</v>
      </c>
      <c r="B20" t="s">
        <v>82</v>
      </c>
      <c r="C20" t="s">
        <v>76</v>
      </c>
      <c r="D20" s="94">
        <v>1229051602.0726454</v>
      </c>
      <c r="E20" s="94">
        <v>1019577912.8084719</v>
      </c>
      <c r="F20" s="94">
        <v>49336099.772080861</v>
      </c>
      <c r="G20" s="94">
        <v>636938798.47803771</v>
      </c>
      <c r="I20" s="94">
        <f t="shared" si="0"/>
        <v>2297965614.6531982</v>
      </c>
      <c r="J20" s="94">
        <v>2934904413.1312361</v>
      </c>
    </row>
    <row r="21" spans="1:10">
      <c r="A21">
        <v>14</v>
      </c>
      <c r="B21" t="s">
        <v>82</v>
      </c>
      <c r="C21" t="s">
        <v>77</v>
      </c>
      <c r="D21" s="94">
        <v>254611771.69617617</v>
      </c>
      <c r="E21" s="94">
        <v>29212887.373747572</v>
      </c>
      <c r="F21" s="94">
        <v>28216995.044964552</v>
      </c>
      <c r="G21" s="94">
        <v>1673842.2720762878</v>
      </c>
      <c r="I21" s="94">
        <f t="shared" si="0"/>
        <v>312041654.11488831</v>
      </c>
      <c r="J21" s="94">
        <v>313715496.38696462</v>
      </c>
    </row>
    <row r="22" spans="1:10">
      <c r="A22">
        <v>15</v>
      </c>
      <c r="B22" t="s">
        <v>82</v>
      </c>
      <c r="C22" t="s">
        <v>78</v>
      </c>
      <c r="D22" s="94">
        <v>236781221.0708186</v>
      </c>
      <c r="E22" s="94">
        <v>3894881.2427643668</v>
      </c>
      <c r="F22" s="94">
        <v>22877929.27293203</v>
      </c>
      <c r="G22" s="94">
        <v>92290.804252919275</v>
      </c>
      <c r="I22" s="94">
        <f t="shared" si="0"/>
        <v>263554031.58651498</v>
      </c>
      <c r="J22" s="94">
        <v>263646322.3907679</v>
      </c>
    </row>
    <row r="23" spans="1:10">
      <c r="A23">
        <v>16</v>
      </c>
      <c r="B23" t="s">
        <v>82</v>
      </c>
      <c r="C23" t="s">
        <v>79</v>
      </c>
      <c r="D23" s="94">
        <v>75748620.924963757</v>
      </c>
      <c r="E23" s="94">
        <v>0</v>
      </c>
      <c r="F23" s="94">
        <v>14571614.131641025</v>
      </c>
      <c r="G23" s="94">
        <v>0</v>
      </c>
      <c r="I23" s="94">
        <f t="shared" si="0"/>
        <v>90320235.056604788</v>
      </c>
      <c r="J23" s="94">
        <v>90320235.056604788</v>
      </c>
    </row>
    <row r="24" spans="1:10">
      <c r="A24">
        <v>17</v>
      </c>
      <c r="B24" t="s">
        <v>211</v>
      </c>
      <c r="C24" t="s">
        <v>76</v>
      </c>
      <c r="D24" s="94">
        <v>626291920.45841801</v>
      </c>
      <c r="E24" s="94">
        <v>372677955.55919969</v>
      </c>
      <c r="F24" s="94">
        <v>11011591.753026353</v>
      </c>
      <c r="G24" s="94">
        <v>204710161.42350003</v>
      </c>
      <c r="I24" s="94">
        <f t="shared" si="0"/>
        <v>1009981467.7706441</v>
      </c>
      <c r="J24" s="94">
        <v>1214691629.194144</v>
      </c>
    </row>
    <row r="25" spans="1:10">
      <c r="A25">
        <v>18</v>
      </c>
      <c r="B25" t="s">
        <v>211</v>
      </c>
      <c r="C25" t="s">
        <v>77</v>
      </c>
      <c r="D25" s="94">
        <v>167503347.52365986</v>
      </c>
      <c r="E25" s="94">
        <v>11970105.461469932</v>
      </c>
      <c r="F25" s="94">
        <v>7129947.9489206271</v>
      </c>
      <c r="G25" s="94">
        <v>913815.73036516062</v>
      </c>
      <c r="I25" s="94">
        <f t="shared" si="0"/>
        <v>186603400.93405041</v>
      </c>
      <c r="J25" s="94">
        <v>187517216.66441557</v>
      </c>
    </row>
    <row r="26" spans="1:10">
      <c r="A26">
        <v>19</v>
      </c>
      <c r="B26" t="s">
        <v>211</v>
      </c>
      <c r="C26" t="s">
        <v>78</v>
      </c>
      <c r="D26" s="94">
        <v>154577679.98910242</v>
      </c>
      <c r="E26" s="94">
        <v>2703732.7632204094</v>
      </c>
      <c r="F26" s="94">
        <v>7349747.9753269171</v>
      </c>
      <c r="G26" s="94">
        <v>0</v>
      </c>
      <c r="I26" s="94">
        <f t="shared" si="0"/>
        <v>164631160.72764975</v>
      </c>
      <c r="J26" s="94">
        <v>164631160.72764975</v>
      </c>
    </row>
    <row r="27" spans="1:10">
      <c r="A27">
        <v>20</v>
      </c>
      <c r="B27" t="s">
        <v>211</v>
      </c>
      <c r="C27" t="s">
        <v>79</v>
      </c>
      <c r="D27" s="94">
        <v>78113839.072423413</v>
      </c>
      <c r="E27" s="94">
        <v>624476.75150606723</v>
      </c>
      <c r="F27" s="94">
        <v>13622716.417737365</v>
      </c>
      <c r="G27" s="94">
        <v>0</v>
      </c>
      <c r="I27" s="94">
        <f t="shared" si="0"/>
        <v>92361032.241666839</v>
      </c>
      <c r="J27" s="94">
        <v>92361032.241666839</v>
      </c>
    </row>
    <row r="28" spans="1:10">
      <c r="D28" s="94"/>
      <c r="E28" s="94"/>
      <c r="F28" s="94"/>
      <c r="G28" s="94"/>
      <c r="I28" s="94"/>
      <c r="J28" s="94"/>
    </row>
    <row r="29" spans="1:10">
      <c r="D29" s="94"/>
      <c r="E29" s="94"/>
      <c r="F29" s="94"/>
      <c r="G29" s="94"/>
      <c r="I29" s="94"/>
      <c r="J29" s="94"/>
    </row>
    <row r="30" spans="1:10">
      <c r="B30" s="133" t="s">
        <v>451</v>
      </c>
      <c r="C30" s="133"/>
      <c r="D30" s="174"/>
      <c r="E30" s="174"/>
      <c r="F30" s="174"/>
      <c r="G30" s="94"/>
      <c r="I30" s="94"/>
      <c r="J30" s="94"/>
    </row>
    <row r="32" spans="1:10">
      <c r="B32" t="s">
        <v>301</v>
      </c>
    </row>
    <row r="34" spans="1:11">
      <c r="B34" t="s">
        <v>302</v>
      </c>
      <c r="C34" t="s">
        <v>28</v>
      </c>
      <c r="D34" t="s">
        <v>6</v>
      </c>
      <c r="E34" t="s">
        <v>5</v>
      </c>
      <c r="F34" t="s">
        <v>272</v>
      </c>
      <c r="H34" t="s">
        <v>303</v>
      </c>
      <c r="I34" t="s">
        <v>450</v>
      </c>
      <c r="J34" t="s">
        <v>449</v>
      </c>
      <c r="K34" t="s">
        <v>448</v>
      </c>
    </row>
    <row r="35" spans="1:11">
      <c r="A35" t="s">
        <v>304</v>
      </c>
      <c r="B35" t="s">
        <v>175</v>
      </c>
      <c r="C35">
        <v>449842745.88199145</v>
      </c>
      <c r="D35">
        <v>46307566.253469303</v>
      </c>
      <c r="E35">
        <v>724408881.37946868</v>
      </c>
      <c r="F35">
        <v>140815307.51021555</v>
      </c>
      <c r="H35">
        <v>1361374501.0251448</v>
      </c>
      <c r="I35">
        <f>SUM(C35:E35)</f>
        <v>1220559193.5149293</v>
      </c>
      <c r="K35" s="2">
        <f>SUM(C35:F35)</f>
        <v>1361374501.0251448</v>
      </c>
    </row>
    <row r="36" spans="1:11">
      <c r="B36" t="s">
        <v>176</v>
      </c>
      <c r="C36">
        <v>128355723.81475021</v>
      </c>
      <c r="D36">
        <v>31468012.634388719</v>
      </c>
      <c r="E36">
        <v>598967040.7601999</v>
      </c>
      <c r="F36">
        <v>175319555.86746424</v>
      </c>
      <c r="H36">
        <v>934110333.07680321</v>
      </c>
      <c r="I36">
        <f t="shared" ref="I36:I54" si="1">SUM(C36:E36)</f>
        <v>758790777.2093389</v>
      </c>
      <c r="K36" s="2">
        <f t="shared" ref="K36:K54" si="2">SUM(C36:F36)</f>
        <v>934110333.07680321</v>
      </c>
    </row>
    <row r="37" spans="1:11">
      <c r="B37" t="s">
        <v>177</v>
      </c>
      <c r="C37">
        <v>1069259673.3562975</v>
      </c>
      <c r="D37">
        <v>47155242.313017301</v>
      </c>
      <c r="E37">
        <v>1227303972.7639661</v>
      </c>
      <c r="F37">
        <v>1252350792.221952</v>
      </c>
      <c r="H37">
        <v>3596069680.6552329</v>
      </c>
      <c r="I37">
        <f t="shared" si="1"/>
        <v>2343718888.4332809</v>
      </c>
      <c r="K37" s="2">
        <f t="shared" si="2"/>
        <v>3596069680.6552329</v>
      </c>
    </row>
    <row r="38" spans="1:11">
      <c r="B38" t="s">
        <v>178</v>
      </c>
      <c r="C38">
        <v>1229051602.0726454</v>
      </c>
      <c r="D38">
        <v>49336099.772080861</v>
      </c>
      <c r="E38">
        <v>1019577912.8084719</v>
      </c>
      <c r="F38">
        <v>636938798.47803771</v>
      </c>
      <c r="H38">
        <v>2934904413.1312361</v>
      </c>
      <c r="I38">
        <f t="shared" si="1"/>
        <v>2297965614.6531982</v>
      </c>
      <c r="K38" s="2">
        <f t="shared" si="2"/>
        <v>2934904413.1312361</v>
      </c>
    </row>
    <row r="39" spans="1:11">
      <c r="B39" t="s">
        <v>179</v>
      </c>
      <c r="C39">
        <v>626291920.45841801</v>
      </c>
      <c r="D39">
        <v>11011591.753026353</v>
      </c>
      <c r="E39">
        <v>372677955.55919969</v>
      </c>
      <c r="F39">
        <v>204710161.42350003</v>
      </c>
      <c r="H39">
        <v>1214691629.194144</v>
      </c>
      <c r="I39">
        <f t="shared" si="1"/>
        <v>1009981467.7706441</v>
      </c>
      <c r="K39" s="2">
        <f t="shared" si="2"/>
        <v>1214691629.194144</v>
      </c>
    </row>
    <row r="40" spans="1:11">
      <c r="A40" t="s">
        <v>180</v>
      </c>
      <c r="B40" t="s">
        <v>175</v>
      </c>
      <c r="C40">
        <v>358853800.12348086</v>
      </c>
      <c r="D40">
        <v>57216067.88079536</v>
      </c>
      <c r="E40">
        <v>111552432.60446179</v>
      </c>
      <c r="F40">
        <v>1293979.1240102376</v>
      </c>
      <c r="H40">
        <v>528916279.73274827</v>
      </c>
      <c r="I40">
        <f t="shared" si="1"/>
        <v>527622300.60873801</v>
      </c>
      <c r="K40" s="2">
        <f t="shared" si="2"/>
        <v>528916279.73274827</v>
      </c>
    </row>
    <row r="41" spans="1:11">
      <c r="B41" t="s">
        <v>176</v>
      </c>
      <c r="C41">
        <v>31791526.018919542</v>
      </c>
      <c r="D41">
        <v>29656335.69204884</v>
      </c>
      <c r="E41">
        <v>66312958.19142095</v>
      </c>
      <c r="F41">
        <v>185530.89406030331</v>
      </c>
      <c r="H41">
        <v>127946350.79644963</v>
      </c>
      <c r="I41">
        <f t="shared" si="1"/>
        <v>127760819.90238933</v>
      </c>
      <c r="K41" s="2">
        <f t="shared" si="2"/>
        <v>127946350.79644963</v>
      </c>
    </row>
    <row r="42" spans="1:11">
      <c r="B42" t="s">
        <v>177</v>
      </c>
      <c r="C42">
        <v>430091384.061373</v>
      </c>
      <c r="D42">
        <v>31866248.931110032</v>
      </c>
      <c r="E42">
        <v>107189310.37386458</v>
      </c>
      <c r="F42">
        <v>65868008.083009683</v>
      </c>
      <c r="H42">
        <v>635014951.44935727</v>
      </c>
      <c r="I42">
        <f t="shared" si="1"/>
        <v>569146943.36634755</v>
      </c>
      <c r="K42" s="2">
        <f t="shared" si="2"/>
        <v>635014951.44935727</v>
      </c>
    </row>
    <row r="43" spans="1:11">
      <c r="B43" t="s">
        <v>178</v>
      </c>
      <c r="C43">
        <v>254611771.69617617</v>
      </c>
      <c r="D43">
        <v>28216995.044964552</v>
      </c>
      <c r="E43">
        <v>29212887.373747572</v>
      </c>
      <c r="F43">
        <v>1673842.2720762878</v>
      </c>
      <c r="H43">
        <v>313715496.38696462</v>
      </c>
      <c r="I43">
        <f t="shared" si="1"/>
        <v>312041654.11488831</v>
      </c>
      <c r="K43" s="2">
        <f t="shared" si="2"/>
        <v>313715496.38696462</v>
      </c>
    </row>
    <row r="44" spans="1:11">
      <c r="B44" t="s">
        <v>179</v>
      </c>
      <c r="C44">
        <v>167503347.52365986</v>
      </c>
      <c r="D44">
        <v>7129947.9489206271</v>
      </c>
      <c r="E44">
        <v>11970105.461469932</v>
      </c>
      <c r="F44">
        <v>913815.73036516062</v>
      </c>
      <c r="H44">
        <v>187517216.66441557</v>
      </c>
      <c r="I44">
        <f t="shared" si="1"/>
        <v>186603400.93405041</v>
      </c>
      <c r="K44" s="2">
        <f t="shared" si="2"/>
        <v>187517216.66441557</v>
      </c>
    </row>
    <row r="45" spans="1:11">
      <c r="A45" t="s">
        <v>181</v>
      </c>
      <c r="B45" t="s">
        <v>175</v>
      </c>
      <c r="C45">
        <v>674448531.57937527</v>
      </c>
      <c r="D45">
        <v>135893457.7122665</v>
      </c>
      <c r="E45">
        <v>24356503.939583715</v>
      </c>
      <c r="F45">
        <v>441337.18464325811</v>
      </c>
      <c r="H45">
        <v>835139830.41586864</v>
      </c>
      <c r="I45">
        <f t="shared" si="1"/>
        <v>834698493.23122537</v>
      </c>
      <c r="K45" s="2">
        <f t="shared" si="2"/>
        <v>835139830.41586864</v>
      </c>
    </row>
    <row r="46" spans="1:11">
      <c r="B46" t="s">
        <v>176</v>
      </c>
      <c r="C46">
        <v>38589765.765310913</v>
      </c>
      <c r="D46">
        <v>73702084.38616395</v>
      </c>
      <c r="E46">
        <v>13698192.526881656</v>
      </c>
      <c r="F46">
        <v>0</v>
      </c>
      <c r="H46">
        <v>125990042.67835651</v>
      </c>
      <c r="I46">
        <f t="shared" si="1"/>
        <v>125990042.67835651</v>
      </c>
      <c r="K46" s="2">
        <f t="shared" si="2"/>
        <v>125990042.67835651</v>
      </c>
    </row>
    <row r="47" spans="1:11">
      <c r="B47" t="s">
        <v>177</v>
      </c>
      <c r="C47">
        <v>523838797.36054087</v>
      </c>
      <c r="D47">
        <v>55364983.704379134</v>
      </c>
      <c r="E47">
        <v>93614948.08039166</v>
      </c>
      <c r="F47">
        <v>14497308.189763606</v>
      </c>
      <c r="H47">
        <v>687316037.33507514</v>
      </c>
      <c r="I47">
        <f t="shared" si="1"/>
        <v>672818729.14531159</v>
      </c>
      <c r="K47" s="2">
        <f t="shared" si="2"/>
        <v>687316037.33507514</v>
      </c>
    </row>
    <row r="48" spans="1:11">
      <c r="B48" t="s">
        <v>178</v>
      </c>
      <c r="C48">
        <v>236781221.0708186</v>
      </c>
      <c r="D48">
        <v>22877929.27293203</v>
      </c>
      <c r="E48">
        <v>3894881.2427643668</v>
      </c>
      <c r="F48">
        <v>92290.804252919275</v>
      </c>
      <c r="H48">
        <v>263646322.3907679</v>
      </c>
      <c r="I48">
        <f t="shared" si="1"/>
        <v>263554031.58651498</v>
      </c>
      <c r="K48" s="2">
        <f t="shared" si="2"/>
        <v>263646322.3907679</v>
      </c>
    </row>
    <row r="49" spans="1:11">
      <c r="B49" t="s">
        <v>179</v>
      </c>
      <c r="C49">
        <v>154577679.98910242</v>
      </c>
      <c r="D49">
        <v>7349747.9753269171</v>
      </c>
      <c r="E49">
        <v>2703732.7632204094</v>
      </c>
      <c r="F49">
        <v>0</v>
      </c>
      <c r="H49">
        <v>164631160.72764975</v>
      </c>
      <c r="I49">
        <f t="shared" si="1"/>
        <v>164631160.72764975</v>
      </c>
      <c r="K49" s="2">
        <f t="shared" si="2"/>
        <v>164631160.72764975</v>
      </c>
    </row>
    <row r="50" spans="1:11">
      <c r="A50" t="s">
        <v>182</v>
      </c>
      <c r="B50" t="s">
        <v>175</v>
      </c>
      <c r="C50">
        <v>411110052.23995024</v>
      </c>
      <c r="D50">
        <v>103544138.94176848</v>
      </c>
      <c r="E50">
        <v>410188.92346563627</v>
      </c>
      <c r="F50">
        <v>134138.7363931158</v>
      </c>
      <c r="H50">
        <v>515198518.84157741</v>
      </c>
      <c r="I50">
        <f t="shared" si="1"/>
        <v>515064380.10518432</v>
      </c>
      <c r="K50" s="2">
        <f t="shared" si="2"/>
        <v>515198518.84157741</v>
      </c>
    </row>
    <row r="51" spans="1:11">
      <c r="B51" t="s">
        <v>176</v>
      </c>
      <c r="C51">
        <v>22462810.730523624</v>
      </c>
      <c r="D51">
        <v>50671687.90117725</v>
      </c>
      <c r="E51">
        <v>0</v>
      </c>
      <c r="F51">
        <v>190107.37757854562</v>
      </c>
      <c r="H51">
        <v>73324606.009279415</v>
      </c>
      <c r="I51">
        <f t="shared" si="1"/>
        <v>73134498.631700873</v>
      </c>
      <c r="K51" s="2">
        <f t="shared" si="2"/>
        <v>73324606.009279415</v>
      </c>
    </row>
    <row r="52" spans="1:11">
      <c r="B52" t="s">
        <v>177</v>
      </c>
      <c r="C52">
        <v>424247160.78505754</v>
      </c>
      <c r="D52">
        <v>85210619.844314277</v>
      </c>
      <c r="E52">
        <v>25923627.749110881</v>
      </c>
      <c r="F52">
        <v>46130.694614008658</v>
      </c>
      <c r="H52">
        <v>535427539.07309669</v>
      </c>
      <c r="I52">
        <f t="shared" si="1"/>
        <v>535381408.3784827</v>
      </c>
      <c r="K52" s="2">
        <f t="shared" si="2"/>
        <v>535427539.07309669</v>
      </c>
    </row>
    <row r="53" spans="1:11">
      <c r="B53" t="s">
        <v>178</v>
      </c>
      <c r="C53">
        <v>75748620.924963757</v>
      </c>
      <c r="D53">
        <v>14571614.131641025</v>
      </c>
      <c r="E53">
        <v>0</v>
      </c>
      <c r="F53">
        <v>0</v>
      </c>
      <c r="H53">
        <v>90320235.056604788</v>
      </c>
      <c r="I53">
        <f t="shared" si="1"/>
        <v>90320235.056604788</v>
      </c>
      <c r="K53" s="2">
        <f t="shared" si="2"/>
        <v>90320235.056604788</v>
      </c>
    </row>
    <row r="54" spans="1:11">
      <c r="B54" t="s">
        <v>179</v>
      </c>
      <c r="C54">
        <v>78113839.072423413</v>
      </c>
      <c r="D54">
        <v>13622716.417737365</v>
      </c>
      <c r="E54">
        <v>624476.75150606723</v>
      </c>
      <c r="F54">
        <v>0</v>
      </c>
      <c r="H54">
        <v>92361032.241666839</v>
      </c>
      <c r="I54">
        <f t="shared" si="1"/>
        <v>92361032.241666839</v>
      </c>
      <c r="K54" s="2">
        <f t="shared" si="2"/>
        <v>92361032.241666839</v>
      </c>
    </row>
    <row r="56" spans="1:11">
      <c r="A56" t="s">
        <v>452</v>
      </c>
    </row>
    <row r="58" spans="1:11">
      <c r="B58" t="s">
        <v>302</v>
      </c>
      <c r="C58" t="s">
        <v>28</v>
      </c>
      <c r="D58" t="s">
        <v>5</v>
      </c>
      <c r="E58" t="s">
        <v>6</v>
      </c>
      <c r="F58" t="s">
        <v>272</v>
      </c>
    </row>
    <row r="59" spans="1:11">
      <c r="A59" t="s">
        <v>304</v>
      </c>
      <c r="B59" t="s">
        <v>175</v>
      </c>
      <c r="C59" s="128">
        <v>449842745.88199145</v>
      </c>
      <c r="D59" s="128">
        <v>724408881.37946868</v>
      </c>
      <c r="E59" s="128">
        <v>46307566.253469303</v>
      </c>
      <c r="F59" s="128">
        <v>140815307.51021555</v>
      </c>
    </row>
    <row r="60" spans="1:11">
      <c r="B60" t="s">
        <v>176</v>
      </c>
      <c r="C60" s="128">
        <v>128355723.81475021</v>
      </c>
      <c r="D60" s="128">
        <v>598967040.7601999</v>
      </c>
      <c r="E60" s="128">
        <v>31468012.634388719</v>
      </c>
      <c r="F60" s="128">
        <v>175319555.86746424</v>
      </c>
    </row>
    <row r="61" spans="1:11">
      <c r="B61" t="s">
        <v>177</v>
      </c>
      <c r="C61" s="128">
        <v>1069259673.3562975</v>
      </c>
      <c r="D61" s="128">
        <v>1227303972.7639661</v>
      </c>
      <c r="E61" s="128">
        <v>47155242.313017301</v>
      </c>
      <c r="F61" s="128">
        <v>1252350792.221952</v>
      </c>
    </row>
    <row r="62" spans="1:11">
      <c r="B62" t="s">
        <v>178</v>
      </c>
      <c r="C62" s="128">
        <v>1229051602.0726454</v>
      </c>
      <c r="D62" s="128">
        <v>1019577912.8084719</v>
      </c>
      <c r="E62" s="128">
        <v>49336099.772080861</v>
      </c>
      <c r="F62" s="128">
        <v>636938798.47803771</v>
      </c>
    </row>
    <row r="63" spans="1:11">
      <c r="B63" t="s">
        <v>179</v>
      </c>
      <c r="C63" s="128">
        <v>626291920.45841801</v>
      </c>
      <c r="D63" s="128">
        <v>372677955.55919969</v>
      </c>
      <c r="E63" s="128">
        <v>11011591.753026353</v>
      </c>
      <c r="F63" s="128">
        <v>204710161.42350003</v>
      </c>
    </row>
    <row r="64" spans="1:11">
      <c r="A64" t="s">
        <v>180</v>
      </c>
      <c r="B64" t="s">
        <v>175</v>
      </c>
      <c r="C64" s="128">
        <v>358853800.12348086</v>
      </c>
      <c r="D64" s="128">
        <v>111552432.60446179</v>
      </c>
      <c r="E64" s="128">
        <v>57216067.88079536</v>
      </c>
      <c r="F64" s="128">
        <v>1293979.1240102376</v>
      </c>
    </row>
    <row r="65" spans="1:6">
      <c r="B65" t="s">
        <v>176</v>
      </c>
      <c r="C65" s="128">
        <v>31791526.018919542</v>
      </c>
      <c r="D65" s="128">
        <v>66312958.19142095</v>
      </c>
      <c r="E65" s="128">
        <v>29656335.69204884</v>
      </c>
      <c r="F65" s="128">
        <v>185530.89406030331</v>
      </c>
    </row>
    <row r="66" spans="1:6">
      <c r="B66" t="s">
        <v>177</v>
      </c>
      <c r="C66" s="128">
        <v>430091384.061373</v>
      </c>
      <c r="D66" s="128">
        <v>107189310.37386458</v>
      </c>
      <c r="E66" s="128">
        <v>31866248.931110032</v>
      </c>
      <c r="F66" s="128">
        <v>65868008.083009683</v>
      </c>
    </row>
    <row r="67" spans="1:6">
      <c r="B67" t="s">
        <v>178</v>
      </c>
      <c r="C67" s="128">
        <v>254611771.69617617</v>
      </c>
      <c r="D67" s="128">
        <v>29212887.373747572</v>
      </c>
      <c r="E67" s="128">
        <v>28216995.044964552</v>
      </c>
      <c r="F67" s="128">
        <v>1673842.2720762878</v>
      </c>
    </row>
    <row r="68" spans="1:6">
      <c r="B68" t="s">
        <v>179</v>
      </c>
      <c r="C68" s="128">
        <v>167503347.52365986</v>
      </c>
      <c r="D68" s="128">
        <v>11970105.461469932</v>
      </c>
      <c r="E68" s="128">
        <v>7129947.9489206271</v>
      </c>
      <c r="F68" s="128">
        <v>913815.73036516062</v>
      </c>
    </row>
    <row r="69" spans="1:6">
      <c r="A69" t="s">
        <v>181</v>
      </c>
      <c r="B69" t="s">
        <v>175</v>
      </c>
      <c r="C69" s="128">
        <v>674448531.57937527</v>
      </c>
      <c r="D69" s="128">
        <v>24356503.939583715</v>
      </c>
      <c r="E69" s="128">
        <v>135893457.7122665</v>
      </c>
      <c r="F69" s="128">
        <v>441337.18464325811</v>
      </c>
    </row>
    <row r="70" spans="1:6">
      <c r="B70" t="s">
        <v>176</v>
      </c>
      <c r="C70" s="128">
        <v>38589765.765310913</v>
      </c>
      <c r="D70" s="128">
        <v>13698192.526881656</v>
      </c>
      <c r="E70" s="128">
        <v>73702084.38616395</v>
      </c>
      <c r="F70" s="128">
        <v>0</v>
      </c>
    </row>
    <row r="71" spans="1:6">
      <c r="B71" t="s">
        <v>177</v>
      </c>
      <c r="C71" s="128">
        <v>523838797.36054087</v>
      </c>
      <c r="D71" s="128">
        <v>93614948.08039166</v>
      </c>
      <c r="E71" s="128">
        <v>55364983.704379134</v>
      </c>
      <c r="F71" s="128">
        <v>14497308.189763606</v>
      </c>
    </row>
    <row r="72" spans="1:6">
      <c r="B72" t="s">
        <v>178</v>
      </c>
      <c r="C72" s="128">
        <v>236781221.0708186</v>
      </c>
      <c r="D72" s="128">
        <v>3894881.2427643668</v>
      </c>
      <c r="E72" s="128">
        <v>22877929.27293203</v>
      </c>
      <c r="F72" s="128">
        <v>92290.804252919275</v>
      </c>
    </row>
    <row r="73" spans="1:6">
      <c r="B73" t="s">
        <v>179</v>
      </c>
      <c r="C73" s="128">
        <v>154577679.98910242</v>
      </c>
      <c r="D73" s="128">
        <v>2703732.7632204094</v>
      </c>
      <c r="E73" s="128">
        <v>7349747.9753269171</v>
      </c>
      <c r="F73" s="128">
        <v>0</v>
      </c>
    </row>
    <row r="74" spans="1:6">
      <c r="A74" t="s">
        <v>182</v>
      </c>
      <c r="B74" t="s">
        <v>175</v>
      </c>
      <c r="C74" s="128">
        <v>411110052.23995024</v>
      </c>
      <c r="D74" s="128">
        <v>410188.92346563627</v>
      </c>
      <c r="E74" s="128">
        <v>103544138.94176848</v>
      </c>
      <c r="F74" s="128">
        <v>134138.7363931158</v>
      </c>
    </row>
    <row r="75" spans="1:6">
      <c r="B75" t="s">
        <v>176</v>
      </c>
      <c r="C75" s="128">
        <v>22462810.730523624</v>
      </c>
      <c r="D75" s="128">
        <v>0</v>
      </c>
      <c r="E75" s="128">
        <v>50671687.90117725</v>
      </c>
      <c r="F75" s="128">
        <v>190107.37757854562</v>
      </c>
    </row>
    <row r="76" spans="1:6">
      <c r="B76" t="s">
        <v>177</v>
      </c>
      <c r="C76" s="128">
        <v>424247160.78505754</v>
      </c>
      <c r="D76" s="128">
        <v>25923627.749110881</v>
      </c>
      <c r="E76" s="128">
        <v>85210619.844314277</v>
      </c>
      <c r="F76" s="128">
        <v>46130.694614008658</v>
      </c>
    </row>
    <row r="77" spans="1:6">
      <c r="B77" t="s">
        <v>178</v>
      </c>
      <c r="C77" s="128">
        <v>75748620.924963757</v>
      </c>
      <c r="D77" s="128">
        <v>0</v>
      </c>
      <c r="E77" s="128">
        <v>14571614.131641025</v>
      </c>
      <c r="F77" s="128">
        <v>0</v>
      </c>
    </row>
    <row r="78" spans="1:6">
      <c r="B78" t="s">
        <v>179</v>
      </c>
      <c r="C78" s="128">
        <v>78113839.072423413</v>
      </c>
      <c r="D78" s="128">
        <v>624476.75150606723</v>
      </c>
      <c r="E78" s="128">
        <v>13622716.417737365</v>
      </c>
      <c r="F78" s="128">
        <v>0</v>
      </c>
    </row>
    <row r="81" spans="3:6">
      <c r="C81" s="128">
        <v>449842745.88199145</v>
      </c>
      <c r="D81" s="128">
        <v>724408881.37946868</v>
      </c>
      <c r="E81" s="128">
        <v>46307566.253469303</v>
      </c>
      <c r="F81" s="128">
        <v>140815307.51021555</v>
      </c>
    </row>
    <row r="82" spans="3:6">
      <c r="C82" s="128">
        <v>128355723.81475021</v>
      </c>
      <c r="D82" s="128">
        <v>598967040.7601999</v>
      </c>
      <c r="E82" s="128">
        <v>31468012.634388719</v>
      </c>
      <c r="F82" s="128">
        <v>175319555.86746424</v>
      </c>
    </row>
    <row r="83" spans="3:6">
      <c r="C83" s="128">
        <v>1069259673.3562975</v>
      </c>
      <c r="D83" s="128">
        <v>1227303972.7639661</v>
      </c>
      <c r="E83" s="128">
        <v>47155242.313017301</v>
      </c>
      <c r="F83" s="128">
        <v>1252350792.221952</v>
      </c>
    </row>
    <row r="84" spans="3:6">
      <c r="C84" s="128">
        <v>1229051602.0726454</v>
      </c>
      <c r="D84" s="128">
        <v>1019577912.8084719</v>
      </c>
      <c r="E84" s="128">
        <v>49336099.772080861</v>
      </c>
      <c r="F84" s="128">
        <v>636938798.47803771</v>
      </c>
    </row>
    <row r="85" spans="3:6">
      <c r="C85" s="128">
        <v>626291920.45841801</v>
      </c>
      <c r="D85" s="128">
        <v>372677955.55919969</v>
      </c>
      <c r="E85" s="128">
        <v>11011591.753026353</v>
      </c>
      <c r="F85" s="128">
        <v>204710161.42350003</v>
      </c>
    </row>
    <row r="86" spans="3:6">
      <c r="C86" s="128">
        <v>358853800.12348086</v>
      </c>
      <c r="D86" s="128">
        <v>111552432.60446179</v>
      </c>
      <c r="E86" s="128">
        <v>57216067.88079536</v>
      </c>
      <c r="F86" s="128">
        <v>1293979.1240102376</v>
      </c>
    </row>
    <row r="87" spans="3:6">
      <c r="C87" s="128">
        <v>31791526.018919542</v>
      </c>
      <c r="D87" s="128">
        <v>66312958.19142095</v>
      </c>
      <c r="E87" s="128">
        <v>29656335.69204884</v>
      </c>
      <c r="F87" s="128">
        <v>185530.89406030331</v>
      </c>
    </row>
    <row r="88" spans="3:6">
      <c r="C88" s="128">
        <v>430091384.061373</v>
      </c>
      <c r="D88" s="128">
        <v>107189310.37386458</v>
      </c>
      <c r="E88" s="128">
        <v>31866248.931110032</v>
      </c>
      <c r="F88" s="128">
        <v>65868008.083009683</v>
      </c>
    </row>
    <row r="89" spans="3:6">
      <c r="C89" s="128">
        <v>254611771.69617617</v>
      </c>
      <c r="D89" s="128">
        <v>29212887.373747572</v>
      </c>
      <c r="E89" s="128">
        <v>28216995.044964552</v>
      </c>
      <c r="F89" s="128">
        <v>1673842.2720762878</v>
      </c>
    </row>
    <row r="90" spans="3:6">
      <c r="C90" s="128">
        <v>167503347.52365986</v>
      </c>
      <c r="D90" s="128">
        <v>11970105.461469932</v>
      </c>
      <c r="E90" s="128">
        <v>7129947.9489206271</v>
      </c>
      <c r="F90" s="128">
        <v>913815.73036516062</v>
      </c>
    </row>
    <row r="91" spans="3:6">
      <c r="C91" s="128">
        <v>674448531.57937527</v>
      </c>
      <c r="D91" s="128">
        <v>24356503.939583715</v>
      </c>
      <c r="E91" s="128">
        <v>135893457.7122665</v>
      </c>
      <c r="F91" s="128">
        <v>441337.18464325811</v>
      </c>
    </row>
    <row r="92" spans="3:6">
      <c r="C92" s="128">
        <v>38589765.765310913</v>
      </c>
      <c r="D92" s="128">
        <v>13698192.526881656</v>
      </c>
      <c r="E92" s="128">
        <v>73702084.38616395</v>
      </c>
      <c r="F92" s="128">
        <v>0</v>
      </c>
    </row>
    <row r="93" spans="3:6">
      <c r="C93" s="128">
        <v>523838797.36054087</v>
      </c>
      <c r="D93" s="128">
        <v>93614948.08039166</v>
      </c>
      <c r="E93" s="128">
        <v>55364983.704379134</v>
      </c>
      <c r="F93" s="128">
        <v>14497308.189763606</v>
      </c>
    </row>
    <row r="94" spans="3:6">
      <c r="C94" s="128">
        <v>236781221.0708186</v>
      </c>
      <c r="D94" s="128">
        <v>3894881.2427643668</v>
      </c>
      <c r="E94" s="128">
        <v>22877929.27293203</v>
      </c>
      <c r="F94" s="128">
        <v>92290.804252919275</v>
      </c>
    </row>
    <row r="95" spans="3:6">
      <c r="C95" s="128">
        <v>154577679.98910242</v>
      </c>
      <c r="D95" s="128">
        <v>2703732.7632204094</v>
      </c>
      <c r="E95" s="128">
        <v>7349747.9753269171</v>
      </c>
      <c r="F95" s="128">
        <v>0</v>
      </c>
    </row>
    <row r="96" spans="3:6">
      <c r="C96" s="128">
        <v>411110052.23995024</v>
      </c>
      <c r="D96" s="128">
        <v>410188.92346563627</v>
      </c>
      <c r="E96" s="128">
        <v>103544138.94176848</v>
      </c>
      <c r="F96" s="128">
        <v>134138.7363931158</v>
      </c>
    </row>
    <row r="97" spans="3:6">
      <c r="C97" s="128">
        <v>22462810.730523624</v>
      </c>
      <c r="D97" s="128">
        <v>0</v>
      </c>
      <c r="E97" s="128">
        <v>50671687.90117725</v>
      </c>
      <c r="F97" s="128">
        <v>190107.37757854562</v>
      </c>
    </row>
    <row r="98" spans="3:6">
      <c r="C98" s="128">
        <v>424247160.78505754</v>
      </c>
      <c r="D98" s="128">
        <v>25923627.749110881</v>
      </c>
      <c r="E98" s="128">
        <v>85210619.844314277</v>
      </c>
      <c r="F98" s="128">
        <v>46130.694614008658</v>
      </c>
    </row>
    <row r="99" spans="3:6">
      <c r="C99" s="128">
        <v>75748620.924963757</v>
      </c>
      <c r="D99" s="128">
        <v>0</v>
      </c>
      <c r="E99" s="128">
        <v>14571614.131641025</v>
      </c>
      <c r="F99" s="128">
        <v>0</v>
      </c>
    </row>
    <row r="100" spans="3:6">
      <c r="C100" s="128">
        <v>78113839.072423413</v>
      </c>
      <c r="D100" s="128">
        <v>624476.75150606723</v>
      </c>
      <c r="E100" s="128">
        <v>13622716.417737365</v>
      </c>
      <c r="F100" s="128">
        <v>0</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BC2B-F34F-41A5-A99E-01F68630B535}">
  <sheetPr>
    <tabColor theme="7" tint="0.39997558519241921"/>
  </sheetPr>
  <dimension ref="A1:O33"/>
  <sheetViews>
    <sheetView zoomScale="80" zoomScaleNormal="80" workbookViewId="0">
      <selection activeCell="E2" sqref="E2"/>
    </sheetView>
  </sheetViews>
  <sheetFormatPr baseColWidth="10" defaultColWidth="8.83203125" defaultRowHeight="15"/>
  <cols>
    <col min="1" max="1" width="9.1640625" style="157"/>
    <col min="3" max="3" width="13.5" bestFit="1" customWidth="1"/>
    <col min="8" max="8" width="30.1640625" bestFit="1" customWidth="1"/>
    <col min="9" max="9" width="17.5" bestFit="1" customWidth="1"/>
    <col min="10" max="13" width="12" bestFit="1" customWidth="1"/>
    <col min="14" max="14" width="9.33203125" bestFit="1" customWidth="1"/>
  </cols>
  <sheetData>
    <row r="1" spans="1:15">
      <c r="A1" s="157" t="s">
        <v>316</v>
      </c>
    </row>
    <row r="2" spans="1:15">
      <c r="E2" s="133" t="s">
        <v>432</v>
      </c>
      <c r="F2" s="133"/>
      <c r="G2" s="133"/>
      <c r="H2" s="133"/>
    </row>
    <row r="3" spans="1:15">
      <c r="A3" s="157" t="s">
        <v>317</v>
      </c>
    </row>
    <row r="4" spans="1:15">
      <c r="A4" s="157" t="s">
        <v>318</v>
      </c>
      <c r="E4" t="s">
        <v>382</v>
      </c>
    </row>
    <row r="5" spans="1:15">
      <c r="E5" s="136" t="s">
        <v>383</v>
      </c>
    </row>
    <row r="6" spans="1:15">
      <c r="A6" s="157" t="s">
        <v>345</v>
      </c>
      <c r="B6" s="157" t="s">
        <v>346</v>
      </c>
      <c r="C6" s="35" t="s">
        <v>319</v>
      </c>
    </row>
    <row r="7" spans="1:15">
      <c r="A7" s="157" t="s">
        <v>320</v>
      </c>
      <c r="B7" s="157" t="s">
        <v>356</v>
      </c>
      <c r="C7" s="35">
        <f>I9</f>
        <v>1392606169.8196173</v>
      </c>
      <c r="E7" t="s">
        <v>384</v>
      </c>
      <c r="G7" s="5" t="s">
        <v>7</v>
      </c>
      <c r="H7" t="s">
        <v>117</v>
      </c>
      <c r="I7" t="s">
        <v>355</v>
      </c>
    </row>
    <row r="8" spans="1:15">
      <c r="A8" s="157" t="s">
        <v>321</v>
      </c>
      <c r="B8" s="157" t="s">
        <v>357</v>
      </c>
      <c r="C8" s="35">
        <f t="shared" ref="C8:C11" si="0">I10</f>
        <v>116402636.05739883</v>
      </c>
      <c r="E8" t="s">
        <v>385</v>
      </c>
      <c r="H8" s="160"/>
      <c r="I8" s="10">
        <v>1</v>
      </c>
      <c r="J8" s="10">
        <v>2</v>
      </c>
      <c r="K8" s="10">
        <v>3</v>
      </c>
      <c r="L8" s="10">
        <v>4</v>
      </c>
      <c r="M8" s="10">
        <v>5</v>
      </c>
    </row>
    <row r="9" spans="1:15">
      <c r="A9" s="157" t="s">
        <v>322</v>
      </c>
      <c r="B9" s="157" t="s">
        <v>358</v>
      </c>
      <c r="C9" s="35">
        <f t="shared" si="0"/>
        <v>72809582.872850969</v>
      </c>
      <c r="E9" t="s">
        <v>396</v>
      </c>
      <c r="G9" t="s">
        <v>388</v>
      </c>
      <c r="H9" s="161" t="s">
        <v>395</v>
      </c>
      <c r="I9">
        <v>1392606169.8196173</v>
      </c>
      <c r="J9">
        <v>116309193.53207105</v>
      </c>
      <c r="K9">
        <v>73467582.596980572</v>
      </c>
      <c r="L9">
        <v>24546807.494215794</v>
      </c>
      <c r="M9">
        <v>2246686.8257350628</v>
      </c>
    </row>
    <row r="10" spans="1:15">
      <c r="A10" s="157" t="s">
        <v>323</v>
      </c>
      <c r="B10" s="157" t="s">
        <v>359</v>
      </c>
      <c r="C10" s="35">
        <f>I12</f>
        <v>23399013.33447884</v>
      </c>
      <c r="E10" t="s">
        <v>387</v>
      </c>
      <c r="H10" s="161" t="s">
        <v>350</v>
      </c>
      <c r="I10">
        <v>116402636.05739883</v>
      </c>
      <c r="J10">
        <v>448276515.37859505</v>
      </c>
      <c r="K10">
        <v>30372152.230705194</v>
      </c>
      <c r="L10">
        <v>21419224.458996046</v>
      </c>
      <c r="M10">
        <v>5993106.9497542381</v>
      </c>
    </row>
    <row r="11" spans="1:15">
      <c r="A11" s="157" t="s">
        <v>324</v>
      </c>
      <c r="B11" s="158" t="s">
        <v>360</v>
      </c>
      <c r="C11" s="162">
        <f t="shared" si="0"/>
        <v>2372727.1202219944</v>
      </c>
      <c r="E11" t="s">
        <v>386</v>
      </c>
      <c r="H11" s="161" t="s">
        <v>351</v>
      </c>
      <c r="I11">
        <v>72809582.872850969</v>
      </c>
      <c r="J11">
        <v>29798701.66461537</v>
      </c>
      <c r="K11">
        <v>319835252.08812517</v>
      </c>
      <c r="L11">
        <v>9484393.2499766704</v>
      </c>
      <c r="M11">
        <v>389852.29845335661</v>
      </c>
    </row>
    <row r="12" spans="1:15">
      <c r="A12" s="157" t="s">
        <v>325</v>
      </c>
      <c r="B12" s="157" t="s">
        <v>361</v>
      </c>
      <c r="C12" s="35">
        <f>J9</f>
        <v>116309193.53207105</v>
      </c>
      <c r="H12" s="161" t="s">
        <v>352</v>
      </c>
      <c r="I12">
        <v>23399013.33447884</v>
      </c>
      <c r="J12">
        <v>20763493.98586411</v>
      </c>
      <c r="K12">
        <v>9580160.3949390464</v>
      </c>
      <c r="L12">
        <v>175919274.32870871</v>
      </c>
      <c r="M12">
        <v>1570261.7583485921</v>
      </c>
    </row>
    <row r="13" spans="1:15">
      <c r="A13" s="157" t="s">
        <v>326</v>
      </c>
      <c r="B13" s="157" t="s">
        <v>362</v>
      </c>
      <c r="C13" s="35">
        <f t="shared" ref="C13:C16" si="1">J10</f>
        <v>448276515.37859505</v>
      </c>
      <c r="H13" s="161" t="s">
        <v>353</v>
      </c>
      <c r="I13">
        <v>2372727.1202219944</v>
      </c>
      <c r="J13">
        <v>5682466.1929561896</v>
      </c>
      <c r="K13">
        <v>328241.4000171576</v>
      </c>
      <c r="L13">
        <v>1366272.3719879836</v>
      </c>
      <c r="M13">
        <v>19144344.221695419</v>
      </c>
    </row>
    <row r="14" spans="1:15">
      <c r="A14" s="157" t="s">
        <v>327</v>
      </c>
      <c r="B14" s="157" t="s">
        <v>363</v>
      </c>
      <c r="C14" s="35">
        <f t="shared" si="1"/>
        <v>29798701.66461537</v>
      </c>
    </row>
    <row r="15" spans="1:15" ht="15.75" customHeight="1">
      <c r="A15" s="157" t="s">
        <v>328</v>
      </c>
      <c r="B15" s="157" t="s">
        <v>364</v>
      </c>
      <c r="C15" s="35">
        <f t="shared" si="1"/>
        <v>20763493.98586411</v>
      </c>
      <c r="G15" t="s">
        <v>159</v>
      </c>
      <c r="I15" t="s">
        <v>348</v>
      </c>
      <c r="O15" s="159"/>
    </row>
    <row r="16" spans="1:15">
      <c r="A16" s="157" t="s">
        <v>329</v>
      </c>
      <c r="B16" s="158" t="s">
        <v>365</v>
      </c>
      <c r="C16" s="162">
        <f t="shared" si="1"/>
        <v>5682466.1929561896</v>
      </c>
      <c r="H16" s="161"/>
      <c r="I16" t="s">
        <v>349</v>
      </c>
      <c r="J16" t="s">
        <v>350</v>
      </c>
      <c r="K16" t="s">
        <v>351</v>
      </c>
      <c r="L16" t="s">
        <v>352</v>
      </c>
      <c r="M16" t="s">
        <v>353</v>
      </c>
      <c r="O16" s="159"/>
    </row>
    <row r="17" spans="1:15">
      <c r="A17" s="157" t="s">
        <v>330</v>
      </c>
      <c r="B17" s="157" t="s">
        <v>366</v>
      </c>
      <c r="C17" s="35">
        <f>K9</f>
        <v>73467582.596980572</v>
      </c>
      <c r="G17" s="10"/>
      <c r="H17" s="160"/>
      <c r="I17" s="10" t="s">
        <v>171</v>
      </c>
      <c r="J17" s="10" t="s">
        <v>171</v>
      </c>
      <c r="K17" s="10" t="s">
        <v>171</v>
      </c>
      <c r="L17" s="10" t="s">
        <v>171</v>
      </c>
      <c r="M17" s="10" t="s">
        <v>171</v>
      </c>
      <c r="O17" s="159"/>
    </row>
    <row r="18" spans="1:15">
      <c r="A18" s="157" t="s">
        <v>331</v>
      </c>
      <c r="B18" s="157" t="s">
        <v>367</v>
      </c>
      <c r="C18" s="35">
        <f t="shared" ref="C18:C21" si="2">K10</f>
        <v>30372152.230705194</v>
      </c>
      <c r="G18" t="s">
        <v>354</v>
      </c>
      <c r="H18" s="161" t="s">
        <v>349</v>
      </c>
      <c r="I18">
        <v>1392606169.8196173</v>
      </c>
      <c r="J18">
        <v>116309193.53207105</v>
      </c>
      <c r="K18">
        <v>73467582.596980572</v>
      </c>
      <c r="L18">
        <v>24546807.494215794</v>
      </c>
      <c r="M18">
        <v>2246686.8257350628</v>
      </c>
      <c r="O18" s="159"/>
    </row>
    <row r="19" spans="1:15">
      <c r="A19" s="157" t="s">
        <v>332</v>
      </c>
      <c r="B19" s="157" t="s">
        <v>368</v>
      </c>
      <c r="C19" s="35">
        <f t="shared" si="2"/>
        <v>319835252.08812517</v>
      </c>
      <c r="H19" s="161" t="s">
        <v>350</v>
      </c>
      <c r="I19">
        <v>116402636.05739883</v>
      </c>
      <c r="J19">
        <v>448276515.37859505</v>
      </c>
      <c r="K19">
        <v>30372152.230705194</v>
      </c>
      <c r="L19">
        <v>21419224.458996046</v>
      </c>
      <c r="M19">
        <v>5993106.9497542381</v>
      </c>
      <c r="O19" s="159"/>
    </row>
    <row r="20" spans="1:15">
      <c r="A20" s="157" t="s">
        <v>333</v>
      </c>
      <c r="B20" s="157" t="s">
        <v>369</v>
      </c>
      <c r="C20" s="35">
        <f t="shared" si="2"/>
        <v>9580160.3949390464</v>
      </c>
      <c r="H20" s="161" t="s">
        <v>351</v>
      </c>
      <c r="I20">
        <v>72809582.872850969</v>
      </c>
      <c r="J20">
        <v>29798701.66461537</v>
      </c>
      <c r="K20">
        <v>319835252.08812517</v>
      </c>
      <c r="L20">
        <v>9484393.2499766704</v>
      </c>
      <c r="M20">
        <v>389852.29845335661</v>
      </c>
      <c r="O20" s="159"/>
    </row>
    <row r="21" spans="1:15">
      <c r="A21" s="157" t="s">
        <v>334</v>
      </c>
      <c r="B21" s="158" t="s">
        <v>370</v>
      </c>
      <c r="C21" s="162">
        <f t="shared" si="2"/>
        <v>328241.4000171576</v>
      </c>
      <c r="H21" s="161" t="s">
        <v>352</v>
      </c>
      <c r="I21">
        <v>23399013.33447884</v>
      </c>
      <c r="J21">
        <v>20763493.98586411</v>
      </c>
      <c r="K21">
        <v>9580160.3949390464</v>
      </c>
      <c r="L21">
        <v>175919274.32870871</v>
      </c>
      <c r="M21">
        <v>1570261.7583485921</v>
      </c>
      <c r="O21" s="159"/>
    </row>
    <row r="22" spans="1:15">
      <c r="A22" s="157" t="s">
        <v>335</v>
      </c>
      <c r="B22" s="157" t="s">
        <v>371</v>
      </c>
      <c r="C22" s="35">
        <f>L9</f>
        <v>24546807.494215794</v>
      </c>
      <c r="H22" s="161" t="s">
        <v>353</v>
      </c>
      <c r="I22">
        <v>2372727.1202219944</v>
      </c>
      <c r="J22">
        <v>5682466.1929561896</v>
      </c>
      <c r="K22">
        <v>328241.4000171576</v>
      </c>
      <c r="L22">
        <v>1366272.3719879836</v>
      </c>
      <c r="M22">
        <v>19144344.221695419</v>
      </c>
      <c r="O22" s="159"/>
    </row>
    <row r="23" spans="1:15">
      <c r="A23" s="157" t="s">
        <v>336</v>
      </c>
      <c r="B23" s="157" t="s">
        <v>372</v>
      </c>
      <c r="C23" s="35">
        <f t="shared" ref="C23:C26" si="3">L10</f>
        <v>21419224.458996046</v>
      </c>
    </row>
    <row r="24" spans="1:15">
      <c r="A24" s="157" t="s">
        <v>337</v>
      </c>
      <c r="B24" s="157" t="s">
        <v>373</v>
      </c>
      <c r="C24" s="35">
        <f t="shared" si="3"/>
        <v>9484393.2499766704</v>
      </c>
    </row>
    <row r="25" spans="1:15">
      <c r="A25" s="157" t="s">
        <v>338</v>
      </c>
      <c r="B25" s="157" t="s">
        <v>374</v>
      </c>
      <c r="C25" s="35">
        <f t="shared" si="3"/>
        <v>175919274.32870871</v>
      </c>
    </row>
    <row r="26" spans="1:15">
      <c r="A26" s="157" t="s">
        <v>339</v>
      </c>
      <c r="B26" s="158" t="s">
        <v>375</v>
      </c>
      <c r="C26" s="162">
        <f t="shared" si="3"/>
        <v>1366272.3719879836</v>
      </c>
      <c r="G26" t="s">
        <v>381</v>
      </c>
    </row>
    <row r="27" spans="1:15">
      <c r="A27" s="157" t="s">
        <v>340</v>
      </c>
      <c r="B27" s="157" t="s">
        <v>376</v>
      </c>
      <c r="C27" s="35">
        <f>M9</f>
        <v>2246686.8257350628</v>
      </c>
    </row>
    <row r="28" spans="1:15">
      <c r="A28" s="157" t="s">
        <v>341</v>
      </c>
      <c r="B28" s="157" t="s">
        <v>377</v>
      </c>
      <c r="C28" s="35">
        <f t="shared" ref="C28:C31" si="4">M10</f>
        <v>5993106.9497542381</v>
      </c>
    </row>
    <row r="29" spans="1:15">
      <c r="A29" s="157" t="s">
        <v>342</v>
      </c>
      <c r="B29" s="157" t="s">
        <v>378</v>
      </c>
      <c r="C29" s="35">
        <f t="shared" si="4"/>
        <v>389852.29845335661</v>
      </c>
    </row>
    <row r="30" spans="1:15">
      <c r="A30" s="157" t="s">
        <v>343</v>
      </c>
      <c r="B30" s="157" t="s">
        <v>379</v>
      </c>
      <c r="C30" s="35">
        <f t="shared" si="4"/>
        <v>1570261.7583485921</v>
      </c>
    </row>
    <row r="31" spans="1:15">
      <c r="A31" s="157" t="s">
        <v>344</v>
      </c>
      <c r="B31" s="157" t="s">
        <v>380</v>
      </c>
      <c r="C31" s="35">
        <f t="shared" si="4"/>
        <v>19144344.221695419</v>
      </c>
    </row>
    <row r="33" spans="1:1">
      <c r="A33" s="157" t="s">
        <v>347</v>
      </c>
    </row>
  </sheetData>
  <phoneticPr fontId="18"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0902-A438-4517-A1B9-390D9375BD48}">
  <dimension ref="A1:G26"/>
  <sheetViews>
    <sheetView workbookViewId="0">
      <selection activeCell="C14" sqref="C14"/>
    </sheetView>
  </sheetViews>
  <sheetFormatPr baseColWidth="10" defaultColWidth="8.83203125" defaultRowHeight="15"/>
  <cols>
    <col min="1" max="1" width="23.5" bestFit="1" customWidth="1"/>
    <col min="2" max="2" width="10.6640625" customWidth="1"/>
    <col min="3" max="3" width="13.5" bestFit="1" customWidth="1"/>
    <col min="4" max="4" width="12" bestFit="1" customWidth="1"/>
  </cols>
  <sheetData>
    <row r="1" spans="1:7">
      <c r="A1" s="157" t="s">
        <v>49</v>
      </c>
      <c r="B1">
        <v>2019</v>
      </c>
      <c r="E1" t="s">
        <v>394</v>
      </c>
      <c r="G1" s="163" t="s">
        <v>397</v>
      </c>
    </row>
    <row r="2" spans="1:7">
      <c r="A2" s="157" t="s">
        <v>391</v>
      </c>
      <c r="B2">
        <v>1392606169.8196173</v>
      </c>
      <c r="E2">
        <f>C2/1000000</f>
        <v>0</v>
      </c>
    </row>
    <row r="3" spans="1:7">
      <c r="A3" s="157" t="s">
        <v>392</v>
      </c>
      <c r="B3">
        <v>116402636.05739883</v>
      </c>
      <c r="E3">
        <f t="shared" ref="E3:E26" si="0">C3/1000000</f>
        <v>0</v>
      </c>
    </row>
    <row r="4" spans="1:7">
      <c r="A4" s="157" t="s">
        <v>393</v>
      </c>
      <c r="B4">
        <v>72809582.872850969</v>
      </c>
      <c r="E4">
        <f t="shared" si="0"/>
        <v>0</v>
      </c>
    </row>
    <row r="5" spans="1:7">
      <c r="A5" s="157" t="s">
        <v>389</v>
      </c>
      <c r="B5">
        <v>23399013.33447884</v>
      </c>
      <c r="E5">
        <f t="shared" si="0"/>
        <v>0</v>
      </c>
    </row>
    <row r="6" spans="1:7">
      <c r="A6" s="157" t="s">
        <v>390</v>
      </c>
      <c r="B6">
        <v>2372727.1202219944</v>
      </c>
      <c r="E6">
        <f t="shared" si="0"/>
        <v>0</v>
      </c>
    </row>
    <row r="7" spans="1:7">
      <c r="A7" s="157" t="s">
        <v>361</v>
      </c>
      <c r="B7">
        <v>116309193.53207105</v>
      </c>
      <c r="E7">
        <f t="shared" si="0"/>
        <v>0</v>
      </c>
    </row>
    <row r="8" spans="1:7">
      <c r="A8" s="157" t="s">
        <v>362</v>
      </c>
      <c r="B8">
        <v>448276515.37859505</v>
      </c>
      <c r="E8">
        <f t="shared" si="0"/>
        <v>0</v>
      </c>
    </row>
    <row r="9" spans="1:7">
      <c r="A9" s="157" t="s">
        <v>363</v>
      </c>
      <c r="B9">
        <v>29798701.66461537</v>
      </c>
      <c r="E9">
        <f t="shared" si="0"/>
        <v>0</v>
      </c>
    </row>
    <row r="10" spans="1:7">
      <c r="A10" s="157" t="s">
        <v>364</v>
      </c>
      <c r="B10">
        <v>20763493.98586411</v>
      </c>
      <c r="E10">
        <f t="shared" si="0"/>
        <v>0</v>
      </c>
    </row>
    <row r="11" spans="1:7">
      <c r="A11" s="157" t="s">
        <v>365</v>
      </c>
      <c r="B11">
        <v>5682466.1929561896</v>
      </c>
      <c r="E11">
        <f t="shared" si="0"/>
        <v>0</v>
      </c>
    </row>
    <row r="12" spans="1:7">
      <c r="A12" s="157" t="s">
        <v>366</v>
      </c>
      <c r="B12">
        <v>73467582.596980572</v>
      </c>
      <c r="E12">
        <f t="shared" si="0"/>
        <v>0</v>
      </c>
    </row>
    <row r="13" spans="1:7">
      <c r="A13" s="157" t="s">
        <v>367</v>
      </c>
      <c r="B13">
        <v>30372152.230705194</v>
      </c>
      <c r="E13">
        <f t="shared" si="0"/>
        <v>0</v>
      </c>
    </row>
    <row r="14" spans="1:7">
      <c r="A14" s="157" t="s">
        <v>368</v>
      </c>
      <c r="B14">
        <v>319835252.08812517</v>
      </c>
      <c r="E14">
        <f t="shared" si="0"/>
        <v>0</v>
      </c>
    </row>
    <row r="15" spans="1:7">
      <c r="A15" s="157" t="s">
        <v>369</v>
      </c>
      <c r="B15">
        <v>9580160.3949390464</v>
      </c>
      <c r="E15">
        <f t="shared" si="0"/>
        <v>0</v>
      </c>
    </row>
    <row r="16" spans="1:7">
      <c r="A16" s="157" t="s">
        <v>370</v>
      </c>
      <c r="B16">
        <v>328241.4000171576</v>
      </c>
      <c r="E16">
        <f t="shared" si="0"/>
        <v>0</v>
      </c>
    </row>
    <row r="17" spans="1:5">
      <c r="A17" s="157" t="s">
        <v>371</v>
      </c>
      <c r="B17">
        <v>24546807.494215794</v>
      </c>
      <c r="E17">
        <f t="shared" si="0"/>
        <v>0</v>
      </c>
    </row>
    <row r="18" spans="1:5">
      <c r="A18" s="157" t="s">
        <v>372</v>
      </c>
      <c r="B18">
        <v>21419224.458996046</v>
      </c>
      <c r="E18">
        <f t="shared" si="0"/>
        <v>0</v>
      </c>
    </row>
    <row r="19" spans="1:5">
      <c r="A19" s="157" t="s">
        <v>373</v>
      </c>
      <c r="B19">
        <v>9484393.2499766704</v>
      </c>
      <c r="E19">
        <f t="shared" si="0"/>
        <v>0</v>
      </c>
    </row>
    <row r="20" spans="1:5">
      <c r="A20" s="157" t="s">
        <v>374</v>
      </c>
      <c r="B20">
        <v>175919274.32870871</v>
      </c>
      <c r="E20">
        <f t="shared" si="0"/>
        <v>0</v>
      </c>
    </row>
    <row r="21" spans="1:5">
      <c r="A21" s="157" t="s">
        <v>375</v>
      </c>
      <c r="B21">
        <v>1366272.3719879836</v>
      </c>
      <c r="E21">
        <f t="shared" si="0"/>
        <v>0</v>
      </c>
    </row>
    <row r="22" spans="1:5">
      <c r="A22" s="157" t="s">
        <v>376</v>
      </c>
      <c r="B22">
        <v>2246686.8257350628</v>
      </c>
      <c r="E22">
        <f t="shared" si="0"/>
        <v>0</v>
      </c>
    </row>
    <row r="23" spans="1:5">
      <c r="A23" s="157" t="s">
        <v>377</v>
      </c>
      <c r="B23">
        <v>5993106.9497542381</v>
      </c>
      <c r="E23">
        <f t="shared" si="0"/>
        <v>0</v>
      </c>
    </row>
    <row r="24" spans="1:5">
      <c r="A24" s="157" t="s">
        <v>378</v>
      </c>
      <c r="B24">
        <v>389852.29845335661</v>
      </c>
      <c r="E24">
        <f t="shared" si="0"/>
        <v>0</v>
      </c>
    </row>
    <row r="25" spans="1:5">
      <c r="A25" s="157" t="s">
        <v>379</v>
      </c>
      <c r="B25">
        <v>1570261.7583485921</v>
      </c>
      <c r="E25">
        <f t="shared" si="0"/>
        <v>0</v>
      </c>
    </row>
    <row r="26" spans="1:5">
      <c r="A26" s="157" t="s">
        <v>380</v>
      </c>
      <c r="B26">
        <v>19144344.221695419</v>
      </c>
      <c r="E26">
        <f t="shared" si="0"/>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25840-1414-4C4E-89EC-F24CD4D01AE6}">
  <dimension ref="A2:B26"/>
  <sheetViews>
    <sheetView workbookViewId="0">
      <selection activeCell="B2" sqref="B2"/>
    </sheetView>
  </sheetViews>
  <sheetFormatPr baseColWidth="10" defaultColWidth="8.83203125" defaultRowHeight="15"/>
  <cols>
    <col min="1" max="1" width="23.5" bestFit="1" customWidth="1"/>
    <col min="2" max="3" width="12.5" bestFit="1" customWidth="1"/>
  </cols>
  <sheetData>
    <row r="2" spans="1:2">
      <c r="A2" s="157" t="s">
        <v>398</v>
      </c>
      <c r="B2">
        <v>1392606169.8196173</v>
      </c>
    </row>
    <row r="3" spans="1:2">
      <c r="A3" s="157" t="s">
        <v>392</v>
      </c>
      <c r="B3">
        <v>116402636.05739883</v>
      </c>
    </row>
    <row r="4" spans="1:2">
      <c r="A4" s="157" t="s">
        <v>393</v>
      </c>
      <c r="B4">
        <v>72809582.872850969</v>
      </c>
    </row>
    <row r="5" spans="1:2">
      <c r="A5" s="157" t="s">
        <v>389</v>
      </c>
      <c r="B5">
        <v>23399013.33447884</v>
      </c>
    </row>
    <row r="6" spans="1:2">
      <c r="A6" s="157" t="s">
        <v>390</v>
      </c>
      <c r="B6">
        <v>2372727.1202219944</v>
      </c>
    </row>
    <row r="7" spans="1:2">
      <c r="A7" s="157" t="s">
        <v>361</v>
      </c>
      <c r="B7">
        <v>116309193.53207105</v>
      </c>
    </row>
    <row r="8" spans="1:2">
      <c r="A8" s="157" t="s">
        <v>362</v>
      </c>
      <c r="B8">
        <v>448276515.37859505</v>
      </c>
    </row>
    <row r="9" spans="1:2">
      <c r="A9" s="157" t="s">
        <v>363</v>
      </c>
      <c r="B9">
        <v>29798701.66461537</v>
      </c>
    </row>
    <row r="10" spans="1:2">
      <c r="A10" s="157" t="s">
        <v>364</v>
      </c>
      <c r="B10">
        <v>20763493.98586411</v>
      </c>
    </row>
    <row r="11" spans="1:2">
      <c r="A11" s="157" t="s">
        <v>365</v>
      </c>
      <c r="B11">
        <v>5682466.1929561896</v>
      </c>
    </row>
    <row r="12" spans="1:2">
      <c r="A12" s="157" t="s">
        <v>366</v>
      </c>
      <c r="B12">
        <v>73467582.596980572</v>
      </c>
    </row>
    <row r="13" spans="1:2">
      <c r="A13" s="157" t="s">
        <v>367</v>
      </c>
      <c r="B13">
        <v>30372152.230705194</v>
      </c>
    </row>
    <row r="14" spans="1:2">
      <c r="A14" s="157" t="s">
        <v>368</v>
      </c>
      <c r="B14">
        <v>319835252.08812517</v>
      </c>
    </row>
    <row r="15" spans="1:2">
      <c r="A15" s="157" t="s">
        <v>369</v>
      </c>
      <c r="B15">
        <v>9580160.3949390464</v>
      </c>
    </row>
    <row r="16" spans="1:2">
      <c r="A16" s="157" t="s">
        <v>370</v>
      </c>
      <c r="B16">
        <v>328241.4000171576</v>
      </c>
    </row>
    <row r="17" spans="1:2">
      <c r="A17" s="157" t="s">
        <v>371</v>
      </c>
      <c r="B17">
        <v>24546807.494215794</v>
      </c>
    </row>
    <row r="18" spans="1:2">
      <c r="A18" s="157" t="s">
        <v>372</v>
      </c>
      <c r="B18">
        <v>21419224.458996046</v>
      </c>
    </row>
    <row r="19" spans="1:2">
      <c r="A19" s="157" t="s">
        <v>373</v>
      </c>
      <c r="B19">
        <v>9484393.2499766704</v>
      </c>
    </row>
    <row r="20" spans="1:2">
      <c r="A20" s="157" t="s">
        <v>374</v>
      </c>
      <c r="B20">
        <v>175919274.32870871</v>
      </c>
    </row>
    <row r="21" spans="1:2">
      <c r="A21" s="157" t="s">
        <v>375</v>
      </c>
      <c r="B21">
        <v>1366272.3719879836</v>
      </c>
    </row>
    <row r="22" spans="1:2">
      <c r="A22" s="157" t="s">
        <v>376</v>
      </c>
      <c r="B22">
        <v>2246686.8257350628</v>
      </c>
    </row>
    <row r="23" spans="1:2">
      <c r="A23" s="157" t="s">
        <v>377</v>
      </c>
      <c r="B23">
        <v>5993106.9497542381</v>
      </c>
    </row>
    <row r="24" spans="1:2">
      <c r="A24" s="157" t="s">
        <v>378</v>
      </c>
      <c r="B24">
        <v>389852.29845335661</v>
      </c>
    </row>
    <row r="25" spans="1:2">
      <c r="A25" s="157" t="s">
        <v>379</v>
      </c>
      <c r="B25">
        <v>1570261.7583485921</v>
      </c>
    </row>
    <row r="26" spans="1:2">
      <c r="A26" s="157" t="s">
        <v>380</v>
      </c>
      <c r="B26">
        <v>19144344.221695419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82913-0B99-42AB-B83D-D814EF2F9642}">
  <dimension ref="A1:J53"/>
  <sheetViews>
    <sheetView topLeftCell="A16" zoomScale="140" zoomScaleNormal="140" workbookViewId="0">
      <selection activeCell="H28" sqref="H28"/>
    </sheetView>
  </sheetViews>
  <sheetFormatPr baseColWidth="10" defaultColWidth="8.83203125" defaultRowHeight="15"/>
  <cols>
    <col min="1" max="1" width="31.6640625" bestFit="1" customWidth="1"/>
    <col min="2" max="2" width="17" bestFit="1" customWidth="1"/>
    <col min="3" max="3" width="22.33203125" bestFit="1" customWidth="1"/>
    <col min="4" max="4" width="12" bestFit="1" customWidth="1"/>
    <col min="5" max="5" width="15.6640625" customWidth="1"/>
    <col min="6" max="6" width="16" bestFit="1" customWidth="1"/>
    <col min="7" max="7" width="11.6640625" customWidth="1"/>
    <col min="8" max="8" width="11.5" customWidth="1"/>
  </cols>
  <sheetData>
    <row r="1" spans="1:3">
      <c r="B1" t="s">
        <v>458</v>
      </c>
    </row>
    <row r="2" spans="1:3">
      <c r="A2" t="s">
        <v>453</v>
      </c>
    </row>
    <row r="3" spans="1:3">
      <c r="A3" t="s">
        <v>454</v>
      </c>
    </row>
    <row r="4" spans="1:3">
      <c r="A4" t="s">
        <v>455</v>
      </c>
    </row>
    <row r="5" spans="1:3">
      <c r="A5" t="s">
        <v>456</v>
      </c>
    </row>
    <row r="6" spans="1:3">
      <c r="A6" t="s">
        <v>457</v>
      </c>
    </row>
    <row r="13" spans="1:3">
      <c r="A13" s="5" t="s">
        <v>630</v>
      </c>
    </row>
    <row r="14" spans="1:3">
      <c r="A14" s="238" t="s">
        <v>631</v>
      </c>
      <c r="B14" s="238" t="s">
        <v>632</v>
      </c>
      <c r="C14" s="239" t="s">
        <v>633</v>
      </c>
    </row>
    <row r="15" spans="1:3">
      <c r="A15" s="240" t="s">
        <v>349</v>
      </c>
      <c r="B15" s="239">
        <v>4492194</v>
      </c>
      <c r="C15" s="241">
        <v>0.2571</v>
      </c>
    </row>
    <row r="16" spans="1:3">
      <c r="A16" s="242" t="s">
        <v>350</v>
      </c>
      <c r="B16" s="239">
        <v>5301251</v>
      </c>
      <c r="C16" s="241">
        <v>0.3034</v>
      </c>
    </row>
    <row r="17" spans="1:8">
      <c r="A17" s="243" t="s">
        <v>351</v>
      </c>
      <c r="B17" s="239">
        <v>2603689</v>
      </c>
      <c r="C17" s="241">
        <v>0.14899999999999999</v>
      </c>
    </row>
    <row r="18" spans="1:8">
      <c r="A18" s="243" t="s">
        <v>352</v>
      </c>
      <c r="B18" s="239">
        <v>3795546</v>
      </c>
      <c r="C18" s="241">
        <v>0.2172</v>
      </c>
    </row>
    <row r="19" spans="1:8">
      <c r="A19" s="243" t="s">
        <v>353</v>
      </c>
      <c r="B19" s="239">
        <v>1282735</v>
      </c>
      <c r="C19" s="241">
        <v>7.3400000000000007E-2</v>
      </c>
    </row>
    <row r="20" spans="1:8">
      <c r="A20" s="244"/>
      <c r="B20" s="244"/>
      <c r="C20" s="241">
        <f>SUM(C15:C19)</f>
        <v>1.0001</v>
      </c>
    </row>
    <row r="21" spans="1:8">
      <c r="A21" s="244"/>
      <c r="B21" s="244"/>
      <c r="C21" s="244"/>
    </row>
    <row r="22" spans="1:8">
      <c r="A22" s="238" t="s">
        <v>634</v>
      </c>
      <c r="B22" s="244">
        <v>17475415</v>
      </c>
      <c r="C22" s="244"/>
    </row>
    <row r="23" spans="1:8">
      <c r="A23" s="238" t="s">
        <v>635</v>
      </c>
    </row>
    <row r="24" spans="1:8">
      <c r="A24" s="238" t="s">
        <v>641</v>
      </c>
    </row>
    <row r="26" spans="1:8">
      <c r="A26" t="s">
        <v>640</v>
      </c>
    </row>
    <row r="27" spans="1:8">
      <c r="A27" s="244"/>
      <c r="B27" s="238" t="s">
        <v>636</v>
      </c>
      <c r="C27" s="238" t="s">
        <v>637</v>
      </c>
      <c r="D27" s="238" t="s">
        <v>638</v>
      </c>
      <c r="E27" s="238"/>
      <c r="F27" s="238" t="s">
        <v>639</v>
      </c>
      <c r="H27" s="238" t="s">
        <v>671</v>
      </c>
    </row>
    <row r="28" spans="1:8">
      <c r="A28" s="244">
        <v>1</v>
      </c>
      <c r="B28" s="245" t="s">
        <v>349</v>
      </c>
      <c r="C28" s="244">
        <v>0.83636363599999997</v>
      </c>
      <c r="D28" s="238">
        <v>714.63599999999997</v>
      </c>
      <c r="E28" s="238"/>
      <c r="F28" s="238">
        <v>15722</v>
      </c>
      <c r="H28">
        <f>C28*$F$53</f>
        <v>0.15868336474898584</v>
      </c>
    </row>
    <row r="29" spans="1:8">
      <c r="A29" s="244">
        <v>2</v>
      </c>
      <c r="B29" s="245" t="s">
        <v>350</v>
      </c>
      <c r="C29" s="244">
        <v>0.89324324300000002</v>
      </c>
      <c r="D29" s="244">
        <v>281.18900000000002</v>
      </c>
      <c r="E29" s="244"/>
      <c r="F29" s="244">
        <v>20808</v>
      </c>
      <c r="H29">
        <f t="shared" ref="H29:H33" si="0">C29*$F$53</f>
        <v>0.16947513884802137</v>
      </c>
    </row>
    <row r="30" spans="1:8">
      <c r="A30" s="244">
        <v>3</v>
      </c>
      <c r="B30" s="245" t="s">
        <v>351</v>
      </c>
      <c r="C30" s="244">
        <v>0.81486486499999999</v>
      </c>
      <c r="D30" s="244">
        <v>128.703</v>
      </c>
      <c r="E30" s="244"/>
      <c r="F30" s="244">
        <v>9524</v>
      </c>
      <c r="H30">
        <f t="shared" si="0"/>
        <v>0.15460440055995944</v>
      </c>
    </row>
    <row r="31" spans="1:8">
      <c r="A31" s="244">
        <v>4</v>
      </c>
      <c r="B31" s="245" t="s">
        <v>352</v>
      </c>
      <c r="C31" s="244">
        <v>0.89224806199999995</v>
      </c>
      <c r="D31" s="244">
        <v>130.535</v>
      </c>
      <c r="E31" s="244"/>
      <c r="F31" s="244">
        <v>16839</v>
      </c>
      <c r="H31">
        <f t="shared" si="0"/>
        <v>0.16928632304731353</v>
      </c>
    </row>
    <row r="32" spans="1:8">
      <c r="A32" s="244">
        <v>5</v>
      </c>
      <c r="B32" s="245" t="s">
        <v>353</v>
      </c>
      <c r="C32" s="244">
        <v>0.85283018899999996</v>
      </c>
      <c r="D32" s="244">
        <v>108.30200000000001</v>
      </c>
      <c r="E32" s="244"/>
      <c r="F32" s="244">
        <v>5740</v>
      </c>
      <c r="H32">
        <f t="shared" si="0"/>
        <v>0.16180756566278251</v>
      </c>
    </row>
    <row r="33" spans="1:10">
      <c r="B33" s="245" t="s">
        <v>672</v>
      </c>
      <c r="C33">
        <f>AVERAGE(C28:C32)</f>
        <v>0.85790999899999998</v>
      </c>
      <c r="H33">
        <f t="shared" si="0"/>
        <v>0.16277135857341254</v>
      </c>
    </row>
    <row r="34" spans="1:10">
      <c r="A34" s="192" t="s">
        <v>642</v>
      </c>
    </row>
    <row r="35" spans="1:10">
      <c r="A35" t="s">
        <v>641</v>
      </c>
    </row>
    <row r="39" spans="1:10">
      <c r="A39" t="s">
        <v>660</v>
      </c>
    </row>
    <row r="40" spans="1:10">
      <c r="A40" s="192" t="s">
        <v>663</v>
      </c>
    </row>
    <row r="41" spans="1:10">
      <c r="C41" s="10" t="s">
        <v>661</v>
      </c>
      <c r="D41" s="10" t="s">
        <v>643</v>
      </c>
      <c r="E41" s="10" t="s">
        <v>662</v>
      </c>
      <c r="F41" s="10" t="s">
        <v>644</v>
      </c>
      <c r="G41" s="10" t="s">
        <v>664</v>
      </c>
      <c r="H41" s="10" t="s">
        <v>665</v>
      </c>
      <c r="I41" s="10" t="s">
        <v>666</v>
      </c>
      <c r="J41" s="10" t="s">
        <v>667</v>
      </c>
    </row>
    <row r="42" spans="1:10">
      <c r="A42">
        <v>2019</v>
      </c>
      <c r="C42" t="s">
        <v>645</v>
      </c>
      <c r="D42" t="s">
        <v>646</v>
      </c>
      <c r="E42" t="s">
        <v>647</v>
      </c>
      <c r="F42" t="s">
        <v>648</v>
      </c>
      <c r="G42" t="s">
        <v>649</v>
      </c>
      <c r="H42">
        <v>686</v>
      </c>
      <c r="I42" t="s">
        <v>650</v>
      </c>
      <c r="J42" t="s">
        <v>651</v>
      </c>
    </row>
    <row r="43" spans="1:10">
      <c r="A43">
        <v>2020</v>
      </c>
      <c r="C43" t="s">
        <v>651</v>
      </c>
      <c r="D43" t="s">
        <v>652</v>
      </c>
      <c r="E43" t="s">
        <v>653</v>
      </c>
      <c r="F43" t="s">
        <v>654</v>
      </c>
      <c r="G43" t="s">
        <v>655</v>
      </c>
      <c r="H43">
        <v>234</v>
      </c>
      <c r="I43" t="s">
        <v>656</v>
      </c>
      <c r="J43" t="s">
        <v>657</v>
      </c>
    </row>
    <row r="44" spans="1:10">
      <c r="A44">
        <v>2021</v>
      </c>
      <c r="C44" t="s">
        <v>657</v>
      </c>
      <c r="D44">
        <v>71221</v>
      </c>
      <c r="E44">
        <v>25411</v>
      </c>
      <c r="F44">
        <v>9925</v>
      </c>
      <c r="G44">
        <v>8409</v>
      </c>
      <c r="H44">
        <v>952</v>
      </c>
      <c r="I44" t="s">
        <v>658</v>
      </c>
      <c r="J44" t="s">
        <v>659</v>
      </c>
    </row>
    <row r="47" spans="1:10">
      <c r="D47" t="s">
        <v>668</v>
      </c>
      <c r="F47" t="s">
        <v>669</v>
      </c>
    </row>
    <row r="48" spans="1:10">
      <c r="D48">
        <f>D44+E44</f>
        <v>96632</v>
      </c>
      <c r="F48">
        <f>F44+G44</f>
        <v>18334</v>
      </c>
    </row>
    <row r="51" spans="6:6">
      <c r="F51" t="s">
        <v>670</v>
      </c>
    </row>
    <row r="52" spans="6:6">
      <c r="F52">
        <f>D48/F48</f>
        <v>5.2706447038289514</v>
      </c>
    </row>
    <row r="53" spans="6:6">
      <c r="F53">
        <f>F48/D48</f>
        <v>0.1897301101084527</v>
      </c>
    </row>
  </sheetData>
  <hyperlinks>
    <hyperlink ref="A34" r:id="rId1" display="https://www.cbs.nl/nl-nl/nieuws/2022/04/bijna-69-duizend-nieuwbouwwoningen-in-2021" xr:uid="{1BB4E60F-C842-4622-A301-C5C08FCC9DDE}"/>
    <hyperlink ref="A40" r:id="rId2" location="/CBS/nl/dataset/82235NED/table" xr:uid="{C9E14CC3-1704-478A-BC38-7215963C19D1}"/>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77EE4-94A2-4094-A6E2-BD07507E9569}">
  <sheetPr>
    <tabColor theme="7" tint="0.59999389629810485"/>
  </sheetPr>
  <dimension ref="A1:AA149"/>
  <sheetViews>
    <sheetView zoomScale="70" zoomScaleNormal="70" workbookViewId="0">
      <selection activeCell="C45" sqref="C45:C64"/>
    </sheetView>
  </sheetViews>
  <sheetFormatPr baseColWidth="10" defaultColWidth="9.1640625" defaultRowHeight="15"/>
  <cols>
    <col min="1" max="5" width="18.83203125" customWidth="1"/>
    <col min="6" max="6" width="26" customWidth="1"/>
    <col min="7" max="7" width="17.5" customWidth="1"/>
    <col min="8" max="8" width="14.5" customWidth="1"/>
    <col min="9" max="9" width="17.5" customWidth="1"/>
    <col min="10" max="10" width="15.83203125" customWidth="1"/>
    <col min="11" max="11" width="14.5" customWidth="1"/>
    <col min="12" max="12" width="14.5" style="136" customWidth="1"/>
    <col min="14" max="14" width="11" bestFit="1" customWidth="1"/>
    <col min="15" max="15" width="14.83203125" bestFit="1" customWidth="1"/>
    <col min="16" max="16" width="13.1640625" bestFit="1" customWidth="1"/>
    <col min="19" max="19" width="18" bestFit="1" customWidth="1"/>
    <col min="21" max="21" width="26.1640625" bestFit="1" customWidth="1"/>
  </cols>
  <sheetData>
    <row r="1" spans="1:27" ht="25" customHeight="1">
      <c r="A1" s="361" t="s">
        <v>229</v>
      </c>
      <c r="B1" s="362"/>
      <c r="C1" s="362"/>
      <c r="D1" s="362"/>
      <c r="E1" s="362"/>
      <c r="F1" s="362"/>
      <c r="G1" s="362"/>
      <c r="H1" s="362"/>
      <c r="I1" s="362"/>
      <c r="J1" s="362"/>
      <c r="K1" s="362"/>
      <c r="L1" s="363"/>
    </row>
    <row r="2" spans="1:27" ht="19" customHeight="1">
      <c r="A2" s="364" t="s">
        <v>159</v>
      </c>
      <c r="B2" s="365"/>
      <c r="C2" s="365"/>
      <c r="D2" s="365"/>
      <c r="E2" s="365"/>
      <c r="F2" s="366"/>
      <c r="G2" s="373"/>
      <c r="H2" s="374"/>
      <c r="I2" s="374"/>
      <c r="J2" s="374"/>
      <c r="K2" s="374"/>
      <c r="L2" s="375"/>
    </row>
    <row r="3" spans="1:27" ht="36" customHeight="1">
      <c r="A3" s="367"/>
      <c r="B3" s="368"/>
      <c r="C3" s="368"/>
      <c r="D3" s="368"/>
      <c r="E3" s="368"/>
      <c r="F3" s="369"/>
      <c r="G3" s="114" t="s">
        <v>161</v>
      </c>
      <c r="H3" t="s">
        <v>6</v>
      </c>
      <c r="I3" s="115"/>
      <c r="J3" s="115" t="s">
        <v>164</v>
      </c>
      <c r="K3" s="115" t="s">
        <v>165</v>
      </c>
      <c r="L3" s="152" t="s">
        <v>166</v>
      </c>
      <c r="N3" s="151" t="s">
        <v>6</v>
      </c>
      <c r="O3" t="s">
        <v>6</v>
      </c>
      <c r="P3" t="s">
        <v>309</v>
      </c>
      <c r="R3" t="s">
        <v>244</v>
      </c>
    </row>
    <row r="4" spans="1:27" ht="19" customHeight="1">
      <c r="A4" s="370"/>
      <c r="B4" s="371"/>
      <c r="C4" s="371"/>
      <c r="D4" s="371"/>
      <c r="E4" s="371"/>
      <c r="F4" s="372"/>
      <c r="G4" s="116"/>
      <c r="I4" s="117"/>
      <c r="J4" s="117" t="s">
        <v>171</v>
      </c>
      <c r="K4" s="117" t="s">
        <v>171</v>
      </c>
      <c r="L4" s="153" t="s">
        <v>171</v>
      </c>
      <c r="R4" s="35" t="s">
        <v>243</v>
      </c>
      <c r="S4" s="35"/>
      <c r="T4" s="35" t="s">
        <v>198</v>
      </c>
      <c r="U4" s="35" t="s">
        <v>199</v>
      </c>
      <c r="V4" s="61" t="s">
        <v>28</v>
      </c>
      <c r="W4" s="61" t="s">
        <v>6</v>
      </c>
      <c r="X4" s="61"/>
      <c r="Y4" s="61" t="s">
        <v>5</v>
      </c>
      <c r="Z4" s="61" t="s">
        <v>188</v>
      </c>
      <c r="AA4" s="61"/>
    </row>
    <row r="5" spans="1:27" ht="17">
      <c r="A5" s="376" t="s">
        <v>230</v>
      </c>
      <c r="B5" s="378" t="s">
        <v>231</v>
      </c>
      <c r="C5" s="378" t="s">
        <v>172</v>
      </c>
      <c r="D5" s="378" t="s">
        <v>173</v>
      </c>
      <c r="E5" s="378" t="s">
        <v>174</v>
      </c>
      <c r="F5" s="118" t="s">
        <v>175</v>
      </c>
      <c r="G5" s="119">
        <v>73567095.729271814</v>
      </c>
      <c r="H5">
        <v>35435505.359549142</v>
      </c>
      <c r="I5" s="120"/>
      <c r="J5" s="120">
        <v>213582323.03326428</v>
      </c>
      <c r="K5" s="120">
        <v>46049775.817981116</v>
      </c>
      <c r="L5" s="154">
        <v>24817875.527446263</v>
      </c>
      <c r="N5" s="47">
        <f>H5+I5</f>
        <v>35435505.359549142</v>
      </c>
      <c r="O5">
        <v>35435505.359549142</v>
      </c>
      <c r="P5" s="47">
        <f>SUM(G5:K5)</f>
        <v>368634699.94006634</v>
      </c>
      <c r="R5">
        <v>5</v>
      </c>
      <c r="S5" t="s">
        <v>111</v>
      </c>
      <c r="T5" s="64">
        <v>1</v>
      </c>
      <c r="U5" s="3" t="s">
        <v>175</v>
      </c>
      <c r="V5" s="128">
        <f>G5/SUM(G$5:G$9)</f>
        <v>0.12640141334018581</v>
      </c>
      <c r="W5" s="128">
        <f>H5/SUM(H$5:H$9)</f>
        <v>0.27501856085199339</v>
      </c>
      <c r="X5" s="128"/>
      <c r="Y5" s="128">
        <f t="shared" ref="V5:Z9" si="0">J5/SUM(J$5:J$9)</f>
        <v>0.19969514739498365</v>
      </c>
      <c r="Z5" s="128">
        <f t="shared" si="0"/>
        <v>6.2997433176537276E-2</v>
      </c>
      <c r="AA5" s="128"/>
    </row>
    <row r="6" spans="1:27" ht="17">
      <c r="A6" s="377"/>
      <c r="B6" s="360"/>
      <c r="C6" s="360"/>
      <c r="D6" s="360"/>
      <c r="E6" s="360"/>
      <c r="F6" s="121" t="s">
        <v>176</v>
      </c>
      <c r="G6" s="122">
        <v>25989630.524386797</v>
      </c>
      <c r="H6">
        <v>18844771.917778999</v>
      </c>
      <c r="I6" s="123"/>
      <c r="J6" s="123">
        <v>157257939.75334853</v>
      </c>
      <c r="K6" s="123">
        <v>53607002.322335161</v>
      </c>
      <c r="L6" s="155">
        <v>6387278.6806344185</v>
      </c>
      <c r="N6" s="47">
        <f t="shared" ref="N6:N69" si="1">H6+I6</f>
        <v>18844771.917778999</v>
      </c>
      <c r="O6">
        <v>18844771.917778999</v>
      </c>
      <c r="P6" s="47">
        <f t="shared" ref="P6:P69" si="2">SUM(G6:K6)</f>
        <v>255699344.51784948</v>
      </c>
      <c r="R6">
        <v>5</v>
      </c>
      <c r="S6" t="s">
        <v>111</v>
      </c>
      <c r="T6" s="64">
        <v>1</v>
      </c>
      <c r="U6" s="3" t="s">
        <v>176</v>
      </c>
      <c r="V6" s="128">
        <f t="shared" si="0"/>
        <v>4.4654828329244459E-2</v>
      </c>
      <c r="W6" s="128">
        <f t="shared" si="0"/>
        <v>0.14625619134891266</v>
      </c>
      <c r="X6" s="128"/>
      <c r="Y6" s="128">
        <f t="shared" si="0"/>
        <v>0.14703298949129534</v>
      </c>
      <c r="Z6" s="128">
        <f t="shared" si="0"/>
        <v>7.3335938918450194E-2</v>
      </c>
      <c r="AA6" s="128"/>
    </row>
    <row r="7" spans="1:27" ht="17">
      <c r="A7" s="377"/>
      <c r="B7" s="360"/>
      <c r="C7" s="360"/>
      <c r="D7" s="360"/>
      <c r="E7" s="360"/>
      <c r="F7" s="121" t="s">
        <v>177</v>
      </c>
      <c r="G7" s="122">
        <v>170514425.61360657</v>
      </c>
      <c r="H7">
        <v>32948876.988484442</v>
      </c>
      <c r="I7" s="123"/>
      <c r="J7" s="123">
        <v>327280812.36392599</v>
      </c>
      <c r="K7" s="123">
        <v>308787687.52345288</v>
      </c>
      <c r="L7" s="155">
        <v>21792785.721123602</v>
      </c>
      <c r="N7" s="47">
        <f t="shared" si="1"/>
        <v>32948876.988484442</v>
      </c>
      <c r="O7">
        <v>32948876.988484442</v>
      </c>
      <c r="P7" s="47">
        <f t="shared" si="2"/>
        <v>839531802.48946989</v>
      </c>
      <c r="R7">
        <v>5</v>
      </c>
      <c r="S7" t="s">
        <v>111</v>
      </c>
      <c r="T7" s="64">
        <v>1</v>
      </c>
      <c r="U7" s="3" t="s">
        <v>177</v>
      </c>
      <c r="V7" s="128">
        <f t="shared" si="0"/>
        <v>0.29297424587435444</v>
      </c>
      <c r="W7" s="128">
        <f t="shared" si="0"/>
        <v>0.2557195851764662</v>
      </c>
      <c r="X7" s="128"/>
      <c r="Y7" s="128">
        <f t="shared" si="0"/>
        <v>0.30600093273817086</v>
      </c>
      <c r="Z7" s="128">
        <f t="shared" si="0"/>
        <v>0.42243054097345734</v>
      </c>
      <c r="AA7" s="128"/>
    </row>
    <row r="8" spans="1:27" ht="17">
      <c r="A8" s="377"/>
      <c r="B8" s="360"/>
      <c r="C8" s="360"/>
      <c r="D8" s="360"/>
      <c r="E8" s="360"/>
      <c r="F8" s="121" t="s">
        <v>178</v>
      </c>
      <c r="G8" s="122">
        <v>210877162.29446441</v>
      </c>
      <c r="H8">
        <v>34202856.034986816</v>
      </c>
      <c r="I8" s="123"/>
      <c r="J8" s="123">
        <v>276488324.03376031</v>
      </c>
      <c r="K8" s="123">
        <v>255814495.17264292</v>
      </c>
      <c r="L8" s="155">
        <v>18190804.717303127</v>
      </c>
      <c r="N8" s="47">
        <f t="shared" si="1"/>
        <v>34202856.034986816</v>
      </c>
      <c r="O8">
        <v>34202856.034986816</v>
      </c>
      <c r="P8" s="47">
        <f t="shared" si="2"/>
        <v>777382837.53585446</v>
      </c>
      <c r="R8">
        <v>5</v>
      </c>
      <c r="S8" t="s">
        <v>111</v>
      </c>
      <c r="T8" s="64">
        <v>1</v>
      </c>
      <c r="U8" s="3" t="s">
        <v>200</v>
      </c>
      <c r="V8" s="128">
        <f t="shared" si="0"/>
        <v>0.36232463835842499</v>
      </c>
      <c r="W8" s="128">
        <f t="shared" si="0"/>
        <v>0.26545184408482414</v>
      </c>
      <c r="X8" s="128"/>
      <c r="Y8" s="128">
        <f t="shared" si="0"/>
        <v>0.25851098460201027</v>
      </c>
      <c r="Z8" s="128">
        <f t="shared" si="0"/>
        <v>0.34996167253729582</v>
      </c>
      <c r="AA8" s="128"/>
    </row>
    <row r="9" spans="1:27" ht="17">
      <c r="A9" s="377"/>
      <c r="B9" s="360"/>
      <c r="C9" s="360"/>
      <c r="D9" s="360"/>
      <c r="E9" s="360"/>
      <c r="F9" s="121" t="s">
        <v>179</v>
      </c>
      <c r="G9" s="122">
        <v>101063340.49659064</v>
      </c>
      <c r="H9">
        <v>7415676.3781351801</v>
      </c>
      <c r="I9" s="123"/>
      <c r="J9" s="123">
        <v>94932479.120899439</v>
      </c>
      <c r="K9" s="123">
        <v>66719644.10033413</v>
      </c>
      <c r="L9" s="155">
        <v>4400219.4824271481</v>
      </c>
      <c r="N9" s="47">
        <f t="shared" si="1"/>
        <v>7415676.3781351801</v>
      </c>
      <c r="O9">
        <v>7415676.3781351801</v>
      </c>
      <c r="P9" s="47">
        <f t="shared" si="2"/>
        <v>270131140.09595937</v>
      </c>
      <c r="R9">
        <v>5</v>
      </c>
      <c r="S9" t="s">
        <v>111</v>
      </c>
      <c r="T9" s="66">
        <v>1</v>
      </c>
      <c r="U9" s="3" t="s">
        <v>179</v>
      </c>
      <c r="V9" s="128">
        <f t="shared" si="0"/>
        <v>0.17364487409779034</v>
      </c>
      <c r="W9" s="128">
        <f t="shared" si="0"/>
        <v>5.7553818537803642E-2</v>
      </c>
      <c r="X9" s="128"/>
      <c r="Y9" s="128">
        <f t="shared" si="0"/>
        <v>8.8759945773539906E-2</v>
      </c>
      <c r="Z9" s="128">
        <f t="shared" si="0"/>
        <v>9.127441439425929E-2</v>
      </c>
      <c r="AA9" s="128"/>
    </row>
    <row r="10" spans="1:27" ht="17">
      <c r="A10" s="377"/>
      <c r="B10" s="360"/>
      <c r="C10" s="360"/>
      <c r="D10" s="360" t="s">
        <v>180</v>
      </c>
      <c r="E10" s="360" t="s">
        <v>174</v>
      </c>
      <c r="F10" s="121" t="s">
        <v>175</v>
      </c>
      <c r="G10" s="122">
        <v>62103711.097454183</v>
      </c>
      <c r="H10">
        <v>30726979.807901975</v>
      </c>
      <c r="I10" s="123"/>
      <c r="J10" s="123">
        <v>30435318.392497189</v>
      </c>
      <c r="K10" s="123">
        <v>497944.3083565681</v>
      </c>
      <c r="L10" s="155">
        <v>8976104.1821786724</v>
      </c>
      <c r="N10" s="47">
        <f t="shared" si="1"/>
        <v>30726979.807901975</v>
      </c>
      <c r="O10">
        <v>30726979.807901975</v>
      </c>
      <c r="P10" s="47">
        <f t="shared" si="2"/>
        <v>123763953.60620992</v>
      </c>
      <c r="R10">
        <v>5</v>
      </c>
      <c r="S10" t="s">
        <v>111</v>
      </c>
      <c r="T10" s="64">
        <v>2</v>
      </c>
      <c r="U10" s="3" t="s">
        <v>175</v>
      </c>
      <c r="V10" s="128">
        <f t="shared" ref="V10:Z14" si="3">G10/SUM(G$10:G$14)</f>
        <v>0.31349374847391132</v>
      </c>
      <c r="W10" s="128">
        <f t="shared" si="3"/>
        <v>0.42113149806557276</v>
      </c>
      <c r="X10" s="128"/>
      <c r="Y10" s="128">
        <f t="shared" si="3"/>
        <v>0.39127601107859378</v>
      </c>
      <c r="Z10" s="128">
        <f t="shared" si="3"/>
        <v>2.5892661274630135E-2</v>
      </c>
      <c r="AA10" s="128"/>
    </row>
    <row r="11" spans="1:27" ht="17">
      <c r="A11" s="377"/>
      <c r="B11" s="360"/>
      <c r="C11" s="360"/>
      <c r="D11" s="360"/>
      <c r="E11" s="360"/>
      <c r="F11" s="121" t="s">
        <v>176</v>
      </c>
      <c r="G11" s="122">
        <v>6819512.380345067</v>
      </c>
      <c r="H11">
        <v>9149414.4536255822</v>
      </c>
      <c r="I11" s="123"/>
      <c r="J11" s="123">
        <v>7469916.7193171866</v>
      </c>
      <c r="K11" s="123">
        <v>120592.72401192375</v>
      </c>
      <c r="L11" s="155">
        <v>1840199.6178909056</v>
      </c>
      <c r="N11" s="47">
        <f t="shared" si="1"/>
        <v>9149414.4536255822</v>
      </c>
      <c r="O11">
        <v>9149414.4536255822</v>
      </c>
      <c r="P11" s="47">
        <f t="shared" si="2"/>
        <v>23559436.277299758</v>
      </c>
      <c r="R11">
        <v>5</v>
      </c>
      <c r="S11" t="s">
        <v>111</v>
      </c>
      <c r="T11" s="64">
        <v>2</v>
      </c>
      <c r="U11" s="3" t="s">
        <v>176</v>
      </c>
      <c r="V11" s="128">
        <f t="shared" si="3"/>
        <v>3.4424263238050819E-2</v>
      </c>
      <c r="W11" s="128">
        <f t="shared" si="3"/>
        <v>0.12539815625768896</v>
      </c>
      <c r="X11" s="128"/>
      <c r="Y11" s="128">
        <f t="shared" si="3"/>
        <v>9.6033140817880933E-2</v>
      </c>
      <c r="Z11" s="128">
        <f t="shared" si="3"/>
        <v>6.2707144205166035E-3</v>
      </c>
      <c r="AA11" s="128"/>
    </row>
    <row r="12" spans="1:27" ht="17">
      <c r="A12" s="377"/>
      <c r="B12" s="360"/>
      <c r="C12" s="360"/>
      <c r="D12" s="360"/>
      <c r="E12" s="360"/>
      <c r="F12" s="121" t="s">
        <v>177</v>
      </c>
      <c r="G12" s="122">
        <v>68308805.781324551</v>
      </c>
      <c r="H12">
        <v>15676999.826750832</v>
      </c>
      <c r="I12" s="123"/>
      <c r="J12" s="123">
        <v>29230838.197081987</v>
      </c>
      <c r="K12" s="123">
        <v>17602611.740222216</v>
      </c>
      <c r="L12" s="155">
        <v>2981877.1995467679</v>
      </c>
      <c r="N12" s="47">
        <f t="shared" si="1"/>
        <v>15676999.826750832</v>
      </c>
      <c r="O12">
        <v>15676999.826750832</v>
      </c>
      <c r="P12" s="47">
        <f t="shared" si="2"/>
        <v>130819255.54537958</v>
      </c>
      <c r="R12">
        <v>5</v>
      </c>
      <c r="S12" t="s">
        <v>111</v>
      </c>
      <c r="T12" s="64">
        <v>2</v>
      </c>
      <c r="U12" s="3" t="s">
        <v>177</v>
      </c>
      <c r="V12" s="128">
        <f t="shared" si="3"/>
        <v>0.34481648841500001</v>
      </c>
      <c r="W12" s="128">
        <f t="shared" si="3"/>
        <v>0.21486258862693247</v>
      </c>
      <c r="X12" s="128"/>
      <c r="Y12" s="128">
        <f t="shared" si="3"/>
        <v>0.37579123118546126</v>
      </c>
      <c r="Z12" s="128">
        <f t="shared" si="3"/>
        <v>0.9153201586793267</v>
      </c>
      <c r="AA12" s="128"/>
    </row>
    <row r="13" spans="1:27" ht="17">
      <c r="A13" s="377"/>
      <c r="B13" s="360"/>
      <c r="C13" s="360"/>
      <c r="D13" s="360"/>
      <c r="E13" s="360"/>
      <c r="F13" s="121" t="s">
        <v>178</v>
      </c>
      <c r="G13" s="122">
        <v>36714795.921058685</v>
      </c>
      <c r="H13">
        <v>13615681.054002317</v>
      </c>
      <c r="I13" s="123"/>
      <c r="J13" s="123">
        <v>5816267.5259198975</v>
      </c>
      <c r="K13" s="123">
        <v>914399.51785471581</v>
      </c>
      <c r="L13" s="155">
        <v>2951072.7492662636</v>
      </c>
      <c r="N13" s="47">
        <f t="shared" si="1"/>
        <v>13615681.054002317</v>
      </c>
      <c r="O13">
        <v>13615681.054002317</v>
      </c>
      <c r="P13" s="47">
        <f t="shared" si="2"/>
        <v>57061144.018835612</v>
      </c>
      <c r="R13">
        <v>5</v>
      </c>
      <c r="S13" t="s">
        <v>111</v>
      </c>
      <c r="T13" s="64">
        <v>2</v>
      </c>
      <c r="U13" s="3" t="s">
        <v>200</v>
      </c>
      <c r="V13" s="128">
        <f t="shared" si="3"/>
        <v>0.1853328697166888</v>
      </c>
      <c r="W13" s="128">
        <f t="shared" si="3"/>
        <v>0.18661099122994304</v>
      </c>
      <c r="X13" s="128"/>
      <c r="Y13" s="128">
        <f t="shared" si="3"/>
        <v>7.4773850812380957E-2</v>
      </c>
      <c r="Z13" s="128">
        <f t="shared" si="3"/>
        <v>4.7547961866737876E-2</v>
      </c>
      <c r="AA13" s="128"/>
    </row>
    <row r="14" spans="1:27" ht="17">
      <c r="A14" s="377"/>
      <c r="B14" s="360"/>
      <c r="C14" s="360"/>
      <c r="D14" s="360"/>
      <c r="E14" s="360"/>
      <c r="F14" s="121" t="s">
        <v>179</v>
      </c>
      <c r="G14" s="122">
        <v>24155087.217673175</v>
      </c>
      <c r="H14">
        <v>3793835.3715218082</v>
      </c>
      <c r="I14" s="123"/>
      <c r="J14" s="123">
        <v>4832439.0411567343</v>
      </c>
      <c r="K14" s="123">
        <v>95549.783063861294</v>
      </c>
      <c r="L14" s="155">
        <v>771583.40185894619</v>
      </c>
      <c r="N14" s="47">
        <f t="shared" si="1"/>
        <v>3793835.3715218082</v>
      </c>
      <c r="O14">
        <v>3793835.3715218082</v>
      </c>
      <c r="P14" s="47">
        <f t="shared" si="2"/>
        <v>32876911.413415581</v>
      </c>
      <c r="R14">
        <v>5</v>
      </c>
      <c r="S14" t="s">
        <v>111</v>
      </c>
      <c r="T14" s="66">
        <v>2</v>
      </c>
      <c r="U14" s="3" t="s">
        <v>179</v>
      </c>
      <c r="V14" s="128">
        <f t="shared" si="3"/>
        <v>0.12193263015634895</v>
      </c>
      <c r="W14" s="128">
        <f t="shared" si="3"/>
        <v>5.1996765819862997E-2</v>
      </c>
      <c r="X14" s="128"/>
      <c r="Y14" s="128">
        <f t="shared" si="3"/>
        <v>6.2125766105682968E-2</v>
      </c>
      <c r="Z14" s="128">
        <f t="shared" si="3"/>
        <v>4.968503758788506E-3</v>
      </c>
      <c r="AA14" s="128"/>
    </row>
    <row r="15" spans="1:27" ht="17">
      <c r="A15" s="377"/>
      <c r="B15" s="360"/>
      <c r="C15" s="360"/>
      <c r="D15" s="360" t="s">
        <v>181</v>
      </c>
      <c r="E15" s="360" t="s">
        <v>174</v>
      </c>
      <c r="F15" s="121" t="s">
        <v>175</v>
      </c>
      <c r="G15" s="122">
        <v>108315905.32616259</v>
      </c>
      <c r="H15">
        <v>58054384.827431135</v>
      </c>
      <c r="I15" s="123"/>
      <c r="J15" s="123">
        <v>3628104.7063428373</v>
      </c>
      <c r="K15" s="123">
        <v>148629.8204247432</v>
      </c>
      <c r="L15" s="155">
        <v>13596335.327399625</v>
      </c>
      <c r="N15" s="47">
        <f t="shared" si="1"/>
        <v>58054384.827431135</v>
      </c>
      <c r="O15">
        <v>58054384.827431135</v>
      </c>
      <c r="P15" s="47">
        <f t="shared" si="2"/>
        <v>170147024.6803613</v>
      </c>
      <c r="R15">
        <v>5</v>
      </c>
      <c r="S15" t="s">
        <v>111</v>
      </c>
      <c r="T15" s="64">
        <v>3</v>
      </c>
      <c r="U15" s="3" t="s">
        <v>175</v>
      </c>
      <c r="V15" s="128">
        <f t="shared" ref="V15:Z19" si="4">G15/SUM(G$15:G$19)</f>
        <v>0.40440762849788298</v>
      </c>
      <c r="W15" s="128">
        <f>H15/SUM(H$15:H$19)</f>
        <v>0.51582877489639933</v>
      </c>
      <c r="X15" s="128"/>
      <c r="Y15" s="128">
        <f t="shared" si="4"/>
        <v>0.15941860390364967</v>
      </c>
      <c r="Z15" s="128">
        <f t="shared" si="4"/>
        <v>3.2728069892283093E-2</v>
      </c>
      <c r="AA15" s="128"/>
    </row>
    <row r="16" spans="1:27" ht="17">
      <c r="A16" s="377"/>
      <c r="B16" s="360"/>
      <c r="C16" s="360"/>
      <c r="D16" s="360"/>
      <c r="E16" s="360"/>
      <c r="F16" s="121" t="s">
        <v>176</v>
      </c>
      <c r="G16" s="122">
        <v>3421998.9043716257</v>
      </c>
      <c r="H16">
        <v>18881071.612601202</v>
      </c>
      <c r="I16" s="123"/>
      <c r="J16" s="123">
        <v>269745.05823390884</v>
      </c>
      <c r="K16" s="123">
        <v>0</v>
      </c>
      <c r="L16" s="155">
        <v>1228155.4783236384</v>
      </c>
      <c r="N16" s="47">
        <f t="shared" si="1"/>
        <v>18881071.612601202</v>
      </c>
      <c r="O16">
        <v>18881071.612601202</v>
      </c>
      <c r="P16" s="47">
        <f t="shared" si="2"/>
        <v>22572815.575206738</v>
      </c>
      <c r="R16">
        <v>5</v>
      </c>
      <c r="S16" t="s">
        <v>111</v>
      </c>
      <c r="T16" s="64">
        <v>3</v>
      </c>
      <c r="U16" s="3" t="s">
        <v>176</v>
      </c>
      <c r="V16" s="128">
        <f t="shared" si="4"/>
        <v>1.2776355028119961E-2</v>
      </c>
      <c r="W16" s="128">
        <f t="shared" si="4"/>
        <v>0.16776338372389954</v>
      </c>
      <c r="X16" s="128"/>
      <c r="Y16" s="128">
        <f t="shared" si="4"/>
        <v>1.1852574298194725E-2</v>
      </c>
      <c r="Z16" s="128">
        <f t="shared" si="4"/>
        <v>0</v>
      </c>
      <c r="AA16" s="128"/>
    </row>
    <row r="17" spans="1:27" ht="17">
      <c r="A17" s="377"/>
      <c r="B17" s="360"/>
      <c r="C17" s="360"/>
      <c r="D17" s="360"/>
      <c r="E17" s="360"/>
      <c r="F17" s="121" t="s">
        <v>177</v>
      </c>
      <c r="G17" s="122">
        <v>92657193.078676522</v>
      </c>
      <c r="H17">
        <v>23210206.549527071</v>
      </c>
      <c r="I17" s="123"/>
      <c r="J17" s="123">
        <v>17722085.159343217</v>
      </c>
      <c r="K17" s="123">
        <v>4315738.4502219697</v>
      </c>
      <c r="L17" s="155">
        <v>3669160.9721570294</v>
      </c>
      <c r="N17" s="47">
        <f t="shared" si="1"/>
        <v>23210206.549527071</v>
      </c>
      <c r="O17">
        <v>23210206.549527071</v>
      </c>
      <c r="P17" s="47">
        <f t="shared" si="2"/>
        <v>137905223.23776877</v>
      </c>
      <c r="R17">
        <v>5</v>
      </c>
      <c r="S17" t="s">
        <v>111</v>
      </c>
      <c r="T17" s="64">
        <v>3</v>
      </c>
      <c r="U17" s="3" t="s">
        <v>177</v>
      </c>
      <c r="V17" s="128">
        <f t="shared" si="4"/>
        <v>0.34594435234035043</v>
      </c>
      <c r="W17" s="128">
        <f t="shared" si="4"/>
        <v>0.20622890837830118</v>
      </c>
      <c r="X17" s="128"/>
      <c r="Y17" s="128">
        <f t="shared" si="4"/>
        <v>0.77870687398433502</v>
      </c>
      <c r="Z17" s="128">
        <f t="shared" si="4"/>
        <v>0.95031931837121575</v>
      </c>
      <c r="AA17" s="128"/>
    </row>
    <row r="18" spans="1:27" ht="17">
      <c r="A18" s="377"/>
      <c r="B18" s="360"/>
      <c r="C18" s="360"/>
      <c r="D18" s="360"/>
      <c r="E18" s="360"/>
      <c r="F18" s="121" t="s">
        <v>178</v>
      </c>
      <c r="G18" s="122">
        <v>33266448.009455897</v>
      </c>
      <c r="H18">
        <v>9647478.683310926</v>
      </c>
      <c r="I18" s="123"/>
      <c r="J18" s="123">
        <v>331494.9799234012</v>
      </c>
      <c r="K18" s="123">
        <v>76987.847019988389</v>
      </c>
      <c r="L18" s="155">
        <v>929720.3544558225</v>
      </c>
      <c r="N18" s="47">
        <f t="shared" si="1"/>
        <v>9647478.683310926</v>
      </c>
      <c r="O18">
        <v>9647478.683310926</v>
      </c>
      <c r="P18" s="47">
        <f t="shared" si="2"/>
        <v>43322409.519710213</v>
      </c>
      <c r="R18">
        <v>5</v>
      </c>
      <c r="S18" t="s">
        <v>111</v>
      </c>
      <c r="T18" s="64">
        <v>3</v>
      </c>
      <c r="U18" s="3" t="s">
        <v>200</v>
      </c>
      <c r="V18" s="128">
        <f t="shared" si="4"/>
        <v>0.12420341507132929</v>
      </c>
      <c r="W18" s="128">
        <f t="shared" si="4"/>
        <v>8.5720434810291776E-2</v>
      </c>
      <c r="X18" s="128"/>
      <c r="Y18" s="128">
        <f t="shared" si="4"/>
        <v>1.456586046374795E-2</v>
      </c>
      <c r="Z18" s="128">
        <f t="shared" si="4"/>
        <v>1.6952611736501276E-2</v>
      </c>
      <c r="AA18" s="128"/>
    </row>
    <row r="19" spans="1:27" ht="17">
      <c r="A19" s="377"/>
      <c r="B19" s="360"/>
      <c r="C19" s="360"/>
      <c r="D19" s="360"/>
      <c r="E19" s="360"/>
      <c r="F19" s="121" t="s">
        <v>179</v>
      </c>
      <c r="G19" s="122">
        <v>30176887.226454414</v>
      </c>
      <c r="H19">
        <v>2752702.3217593916</v>
      </c>
      <c r="I19" s="123"/>
      <c r="J19" s="123">
        <v>806922.11720188276</v>
      </c>
      <c r="K19" s="123">
        <v>0</v>
      </c>
      <c r="L19" s="155">
        <v>2649144.7103032498</v>
      </c>
      <c r="N19" s="47">
        <f t="shared" si="1"/>
        <v>2752702.3217593916</v>
      </c>
      <c r="O19">
        <v>2752702.3217593916</v>
      </c>
      <c r="P19" s="47">
        <f t="shared" si="2"/>
        <v>33736511.665415689</v>
      </c>
      <c r="R19">
        <v>5</v>
      </c>
      <c r="S19" t="s">
        <v>111</v>
      </c>
      <c r="T19" s="66">
        <v>3</v>
      </c>
      <c r="U19" s="3" t="s">
        <v>179</v>
      </c>
      <c r="V19" s="128">
        <f t="shared" si="4"/>
        <v>0.11266824906231748</v>
      </c>
      <c r="W19" s="128">
        <f t="shared" si="4"/>
        <v>2.4458498191108152E-2</v>
      </c>
      <c r="X19" s="128"/>
      <c r="Y19" s="128">
        <f t="shared" si="4"/>
        <v>3.5456087350072656E-2</v>
      </c>
      <c r="Z19" s="128">
        <f t="shared" si="4"/>
        <v>0</v>
      </c>
      <c r="AA19" s="128"/>
    </row>
    <row r="20" spans="1:27" ht="17">
      <c r="A20" s="377"/>
      <c r="B20" s="360"/>
      <c r="C20" s="360"/>
      <c r="D20" s="360" t="s">
        <v>182</v>
      </c>
      <c r="E20" s="360" t="s">
        <v>174</v>
      </c>
      <c r="F20" s="121" t="s">
        <v>175</v>
      </c>
      <c r="G20" s="122">
        <v>69996608.582936689</v>
      </c>
      <c r="H20">
        <v>43073057.542174369</v>
      </c>
      <c r="I20" s="123"/>
      <c r="J20" s="123">
        <v>0</v>
      </c>
      <c r="K20" s="123">
        <v>0</v>
      </c>
      <c r="L20" s="155">
        <v>8470821.6328253541</v>
      </c>
      <c r="N20" s="47">
        <f t="shared" si="1"/>
        <v>43073057.542174369</v>
      </c>
      <c r="O20">
        <v>43073057.542174369</v>
      </c>
      <c r="P20" s="47">
        <f t="shared" si="2"/>
        <v>113069666.12511106</v>
      </c>
      <c r="R20">
        <v>5</v>
      </c>
      <c r="S20" t="s">
        <v>111</v>
      </c>
      <c r="T20" s="64">
        <v>4</v>
      </c>
      <c r="U20" s="3" t="s">
        <v>175</v>
      </c>
      <c r="V20" s="128">
        <f>G20/SUM(G$20:G$24)</f>
        <v>0.38240589248190016</v>
      </c>
      <c r="W20" s="128">
        <f t="shared" ref="W20:Z20" si="5">H20/SUM(H$20:H$24)</f>
        <v>0.41127890718222238</v>
      </c>
      <c r="X20" s="128"/>
      <c r="Y20" s="128">
        <f t="shared" si="5"/>
        <v>0</v>
      </c>
      <c r="Z20" s="128">
        <f t="shared" si="5"/>
        <v>0</v>
      </c>
      <c r="AA20" s="128"/>
    </row>
    <row r="21" spans="1:27" ht="17">
      <c r="A21" s="377"/>
      <c r="B21" s="360"/>
      <c r="C21" s="360"/>
      <c r="D21" s="360"/>
      <c r="E21" s="360"/>
      <c r="F21" s="121" t="s">
        <v>176</v>
      </c>
      <c r="G21" s="122">
        <v>3677658.8981213383</v>
      </c>
      <c r="H21">
        <v>11088700.487714434</v>
      </c>
      <c r="I21" s="123"/>
      <c r="J21" s="123">
        <v>0</v>
      </c>
      <c r="K21" s="123">
        <v>190107.37757854562</v>
      </c>
      <c r="L21" s="155">
        <v>258643.59606225201</v>
      </c>
      <c r="N21" s="47">
        <f t="shared" si="1"/>
        <v>11088700.487714434</v>
      </c>
      <c r="O21">
        <v>11088700.487714434</v>
      </c>
      <c r="P21" s="47">
        <f t="shared" si="2"/>
        <v>14956466.763414318</v>
      </c>
      <c r="R21">
        <v>5</v>
      </c>
      <c r="S21" t="s">
        <v>111</v>
      </c>
      <c r="T21" s="64">
        <v>4</v>
      </c>
      <c r="U21" s="3" t="s">
        <v>176</v>
      </c>
      <c r="V21" s="128">
        <f t="shared" ref="V21:V24" si="6">G21/SUM(G$20:G$24)</f>
        <v>2.0091808184017144E-2</v>
      </c>
      <c r="W21" s="128">
        <f t="shared" ref="W21:W24" si="7">H21/SUM(H$20:H$24)</f>
        <v>0.10587937980007044</v>
      </c>
      <c r="X21" s="128"/>
      <c r="Y21" s="128">
        <f t="shared" ref="Y21:Y24" si="8">J21/SUM(J$20:J$24)</f>
        <v>0</v>
      </c>
      <c r="Z21" s="128">
        <f t="shared" ref="Z21:Z24" si="9">K21/SUM(K$20:K$24)</f>
        <v>0.91042382139156286</v>
      </c>
      <c r="AA21" s="128"/>
    </row>
    <row r="22" spans="1:27" ht="17">
      <c r="A22" s="377"/>
      <c r="B22" s="360"/>
      <c r="C22" s="360"/>
      <c r="D22" s="360"/>
      <c r="E22" s="360"/>
      <c r="F22" s="121" t="s">
        <v>177</v>
      </c>
      <c r="G22" s="122">
        <v>81509249.776201814</v>
      </c>
      <c r="H22">
        <v>38971380.932125866</v>
      </c>
      <c r="I22" s="123"/>
      <c r="J22" s="123">
        <v>3335385.8426924986</v>
      </c>
      <c r="K22" s="123">
        <v>18704.57693289352</v>
      </c>
      <c r="L22" s="155">
        <v>3835807.9057434201</v>
      </c>
      <c r="N22" s="47">
        <f t="shared" si="1"/>
        <v>38971380.932125866</v>
      </c>
      <c r="O22">
        <v>38971380.932125866</v>
      </c>
      <c r="P22" s="47">
        <f t="shared" si="2"/>
        <v>123834721.12795307</v>
      </c>
      <c r="R22">
        <v>5</v>
      </c>
      <c r="S22" t="s">
        <v>111</v>
      </c>
      <c r="T22" s="64">
        <v>4</v>
      </c>
      <c r="U22" s="3" t="s">
        <v>177</v>
      </c>
      <c r="V22" s="128">
        <f t="shared" si="6"/>
        <v>0.44530182300570631</v>
      </c>
      <c r="W22" s="128">
        <f t="shared" si="7"/>
        <v>0.37211444637876318</v>
      </c>
      <c r="X22" s="128"/>
      <c r="Y22" s="128">
        <f>J22/SUM(J$20:J$24)</f>
        <v>1</v>
      </c>
      <c r="Z22" s="128">
        <f t="shared" si="9"/>
        <v>8.9576178608437126E-2</v>
      </c>
      <c r="AA22" s="128"/>
    </row>
    <row r="23" spans="1:27" ht="17">
      <c r="A23" s="377"/>
      <c r="B23" s="360"/>
      <c r="C23" s="360"/>
      <c r="D23" s="360"/>
      <c r="E23" s="360"/>
      <c r="F23" s="121" t="s">
        <v>178</v>
      </c>
      <c r="G23" s="122">
        <v>11409446.706559137</v>
      </c>
      <c r="H23">
        <v>3632091.4705579854</v>
      </c>
      <c r="I23" s="123"/>
      <c r="J23" s="123">
        <v>0</v>
      </c>
      <c r="K23" s="123">
        <v>0</v>
      </c>
      <c r="L23" s="155">
        <v>142804.58665249762</v>
      </c>
      <c r="N23" s="47">
        <f t="shared" si="1"/>
        <v>3632091.4705579854</v>
      </c>
      <c r="O23">
        <v>3632091.4705579854</v>
      </c>
      <c r="P23" s="47">
        <f t="shared" si="2"/>
        <v>15041538.177117122</v>
      </c>
      <c r="R23">
        <v>5</v>
      </c>
      <c r="S23" t="s">
        <v>111</v>
      </c>
      <c r="T23" s="64">
        <v>4</v>
      </c>
      <c r="U23" s="3" t="s">
        <v>200</v>
      </c>
      <c r="V23" s="128">
        <f t="shared" si="6"/>
        <v>6.2332157784141792E-2</v>
      </c>
      <c r="W23" s="128">
        <f t="shared" si="7"/>
        <v>3.4680672699734016E-2</v>
      </c>
      <c r="X23" s="128"/>
      <c r="Y23" s="128">
        <f t="shared" si="8"/>
        <v>0</v>
      </c>
      <c r="Z23" s="128">
        <f t="shared" si="9"/>
        <v>0</v>
      </c>
      <c r="AA23" s="128"/>
    </row>
    <row r="24" spans="1:27" ht="17">
      <c r="A24" s="377"/>
      <c r="B24" s="360"/>
      <c r="C24" s="360"/>
      <c r="D24" s="360"/>
      <c r="E24" s="360"/>
      <c r="F24" s="121" t="s">
        <v>179</v>
      </c>
      <c r="G24" s="122">
        <v>16449740.029686393</v>
      </c>
      <c r="H24">
        <v>7964326.0556970015</v>
      </c>
      <c r="I24" s="123"/>
      <c r="J24" s="123">
        <v>0</v>
      </c>
      <c r="K24" s="123">
        <v>0</v>
      </c>
      <c r="L24" s="155">
        <v>1703793.0347263764</v>
      </c>
      <c r="N24" s="47">
        <f t="shared" si="1"/>
        <v>7964326.0556970015</v>
      </c>
      <c r="O24">
        <v>7964326.0556970015</v>
      </c>
      <c r="P24" s="47">
        <f t="shared" si="2"/>
        <v>24414066.085383393</v>
      </c>
      <c r="R24" s="10">
        <v>5</v>
      </c>
      <c r="S24" s="10" t="s">
        <v>111</v>
      </c>
      <c r="T24" s="90">
        <v>4</v>
      </c>
      <c r="U24" s="89" t="s">
        <v>179</v>
      </c>
      <c r="V24" s="129">
        <f t="shared" si="6"/>
        <v>8.986831854423466E-2</v>
      </c>
      <c r="W24" s="129">
        <f t="shared" si="7"/>
        <v>7.6046593939210025E-2</v>
      </c>
      <c r="X24" s="129"/>
      <c r="Y24" s="129">
        <f t="shared" si="8"/>
        <v>0</v>
      </c>
      <c r="Z24" s="129">
        <f t="shared" si="9"/>
        <v>0</v>
      </c>
      <c r="AA24" s="129"/>
    </row>
    <row r="25" spans="1:27" ht="17">
      <c r="A25" s="377"/>
      <c r="B25" s="360" t="s">
        <v>232</v>
      </c>
      <c r="C25" s="360" t="s">
        <v>172</v>
      </c>
      <c r="D25" s="360" t="s">
        <v>173</v>
      </c>
      <c r="E25" s="360" t="s">
        <v>174</v>
      </c>
      <c r="F25" s="121" t="s">
        <v>175</v>
      </c>
      <c r="G25" s="122">
        <v>143150556.33846951</v>
      </c>
      <c r="H25">
        <v>6595983.5438170535</v>
      </c>
      <c r="I25" s="123"/>
      <c r="J25" s="123">
        <v>224242161.20972186</v>
      </c>
      <c r="K25" s="123">
        <v>42838906.310514309</v>
      </c>
      <c r="L25" s="155">
        <v>45158822.619163454</v>
      </c>
      <c r="N25" s="47">
        <f t="shared" si="1"/>
        <v>6595983.5438170535</v>
      </c>
      <c r="O25">
        <v>6595983.5438170535</v>
      </c>
      <c r="P25" s="47">
        <f t="shared" si="2"/>
        <v>416827607.40252274</v>
      </c>
      <c r="R25" s="6">
        <v>4</v>
      </c>
      <c r="S25" s="6" t="s">
        <v>112</v>
      </c>
      <c r="T25" s="126">
        <v>1</v>
      </c>
      <c r="U25" s="127" t="s">
        <v>175</v>
      </c>
      <c r="V25" s="130">
        <f>G25/SUM(G$25:G$29)</f>
        <v>0.12319886272451634</v>
      </c>
      <c r="W25" s="130">
        <f t="shared" ref="W25:Z25" si="10">H25/SUM(H$25:H$29)</f>
        <v>0.17054327780445533</v>
      </c>
      <c r="X25" s="130"/>
      <c r="Y25" s="130">
        <f t="shared" si="10"/>
        <v>0.17993901460378414</v>
      </c>
      <c r="Z25" s="130">
        <f t="shared" si="10"/>
        <v>5.8738291498172265E-2</v>
      </c>
      <c r="AA25" s="130"/>
    </row>
    <row r="26" spans="1:27" ht="17">
      <c r="A26" s="377"/>
      <c r="B26" s="360"/>
      <c r="C26" s="360"/>
      <c r="D26" s="360"/>
      <c r="E26" s="360"/>
      <c r="F26" s="121" t="s">
        <v>176</v>
      </c>
      <c r="G26" s="122">
        <v>46949659.71617499</v>
      </c>
      <c r="H26">
        <v>7777276.1558707403</v>
      </c>
      <c r="I26" s="123"/>
      <c r="J26" s="123">
        <v>198665758.76320118</v>
      </c>
      <c r="K26" s="123">
        <v>54722417.12557631</v>
      </c>
      <c r="L26" s="155">
        <v>7236558.4822851429</v>
      </c>
      <c r="N26" s="47">
        <f t="shared" si="1"/>
        <v>7777276.1558707403</v>
      </c>
      <c r="O26">
        <v>7777276.1558707403</v>
      </c>
      <c r="P26" s="47">
        <f t="shared" si="2"/>
        <v>308115111.76082319</v>
      </c>
      <c r="R26">
        <v>4</v>
      </c>
      <c r="S26" t="s">
        <v>112</v>
      </c>
      <c r="T26" s="64">
        <v>1</v>
      </c>
      <c r="U26" s="3" t="s">
        <v>176</v>
      </c>
      <c r="V26" s="128">
        <f t="shared" ref="V26:V29" si="11">G26/SUM(G$25:G$29)</f>
        <v>4.0406023073075531E-2</v>
      </c>
      <c r="W26" s="128">
        <f t="shared" ref="W26:W29" si="12">H26/SUM(H$25:H$29)</f>
        <v>0.20108633673835286</v>
      </c>
      <c r="X26" s="128"/>
      <c r="Y26" s="128">
        <f t="shared" ref="Y26:Y29" si="13">J26/SUM(J$25:J$29)</f>
        <v>0.1594156989680926</v>
      </c>
      <c r="Z26" s="128">
        <f t="shared" ref="Z26:Z29" si="14">K26/SUM(K$25:K$29)</f>
        <v>7.503229109791168E-2</v>
      </c>
      <c r="AA26" s="128"/>
    </row>
    <row r="27" spans="1:27" ht="17">
      <c r="A27" s="377"/>
      <c r="B27" s="360"/>
      <c r="C27" s="360"/>
      <c r="D27" s="360"/>
      <c r="E27" s="360"/>
      <c r="F27" s="121" t="s">
        <v>177</v>
      </c>
      <c r="G27" s="122">
        <v>352808892.02783644</v>
      </c>
      <c r="H27">
        <v>10516467.380774844</v>
      </c>
      <c r="I27" s="123"/>
      <c r="J27" s="123">
        <v>366721538.81897926</v>
      </c>
      <c r="K27" s="123">
        <v>366382535.46080923</v>
      </c>
      <c r="L27" s="155">
        <v>24574986.618968897</v>
      </c>
      <c r="N27" s="47">
        <f t="shared" si="1"/>
        <v>10516467.380774844</v>
      </c>
      <c r="O27">
        <v>10516467.380774844</v>
      </c>
      <c r="P27" s="47">
        <f>SUM(G27:K27)</f>
        <v>1096429433.6883998</v>
      </c>
      <c r="R27">
        <v>4</v>
      </c>
      <c r="S27" t="s">
        <v>112</v>
      </c>
      <c r="T27" s="64">
        <v>1</v>
      </c>
      <c r="U27" s="3" t="s">
        <v>177</v>
      </c>
      <c r="V27" s="128">
        <f t="shared" si="11"/>
        <v>0.30363594364352048</v>
      </c>
      <c r="W27" s="128">
        <f t="shared" si="12"/>
        <v>0.27190983818056685</v>
      </c>
      <c r="X27" s="128"/>
      <c r="Y27" s="128">
        <f t="shared" si="13"/>
        <v>0.29426898123478157</v>
      </c>
      <c r="Z27" s="128">
        <f t="shared" si="14"/>
        <v>0.50236306248683216</v>
      </c>
      <c r="AA27" s="128"/>
    </row>
    <row r="28" spans="1:27" ht="17">
      <c r="A28" s="377"/>
      <c r="B28" s="360"/>
      <c r="C28" s="360"/>
      <c r="D28" s="360"/>
      <c r="E28" s="360"/>
      <c r="F28" s="121" t="s">
        <v>178</v>
      </c>
      <c r="G28" s="122">
        <v>403169489.63768768</v>
      </c>
      <c r="H28">
        <v>11023359.406599861</v>
      </c>
      <c r="I28" s="123"/>
      <c r="J28" s="123">
        <v>345112148.70103472</v>
      </c>
      <c r="K28" s="123">
        <v>199206446.71564555</v>
      </c>
      <c r="L28" s="155">
        <v>23146409.563176006</v>
      </c>
      <c r="N28" s="47">
        <f t="shared" si="1"/>
        <v>11023359.406599861</v>
      </c>
      <c r="O28">
        <v>11023359.406599861</v>
      </c>
      <c r="P28" s="47">
        <f t="shared" si="2"/>
        <v>958511444.46096778</v>
      </c>
      <c r="R28">
        <v>4</v>
      </c>
      <c r="S28" t="s">
        <v>112</v>
      </c>
      <c r="T28" s="64">
        <v>1</v>
      </c>
      <c r="U28" s="3" t="s">
        <v>200</v>
      </c>
      <c r="V28" s="128">
        <f t="shared" si="11"/>
        <v>0.34697750312017994</v>
      </c>
      <c r="W28" s="128">
        <f t="shared" si="12"/>
        <v>0.28501584837644928</v>
      </c>
      <c r="X28" s="128"/>
      <c r="Y28" s="128">
        <f t="shared" si="13"/>
        <v>0.27692892197458246</v>
      </c>
      <c r="Z28" s="128">
        <f t="shared" si="14"/>
        <v>0.27314064114253134</v>
      </c>
      <c r="AA28" s="128"/>
    </row>
    <row r="29" spans="1:27" ht="17">
      <c r="A29" s="377"/>
      <c r="B29" s="360"/>
      <c r="C29" s="360"/>
      <c r="D29" s="360"/>
      <c r="E29" s="360"/>
      <c r="F29" s="121" t="s">
        <v>179</v>
      </c>
      <c r="G29" s="122">
        <v>215868462.28286833</v>
      </c>
      <c r="H29">
        <v>2763216.8462180905</v>
      </c>
      <c r="I29" s="123"/>
      <c r="J29" s="123">
        <v>111470403.30133593</v>
      </c>
      <c r="K29" s="123">
        <v>66167916.246994205</v>
      </c>
      <c r="L29" s="155">
        <v>10388824.007190874</v>
      </c>
      <c r="N29" s="47">
        <f t="shared" si="1"/>
        <v>2763216.8462180905</v>
      </c>
      <c r="O29">
        <v>2763216.8462180905</v>
      </c>
      <c r="P29" s="47">
        <f t="shared" si="2"/>
        <v>396269998.6774165</v>
      </c>
      <c r="R29">
        <v>4</v>
      </c>
      <c r="S29" t="s">
        <v>112</v>
      </c>
      <c r="T29" s="66">
        <v>1</v>
      </c>
      <c r="U29" s="3" t="s">
        <v>179</v>
      </c>
      <c r="V29" s="128">
        <f t="shared" si="11"/>
        <v>0.18578166743870766</v>
      </c>
      <c r="W29" s="128">
        <f t="shared" si="12"/>
        <v>7.1444698900175616E-2</v>
      </c>
      <c r="X29" s="128"/>
      <c r="Y29" s="128">
        <f t="shared" si="13"/>
        <v>8.9447383218759308E-2</v>
      </c>
      <c r="Z29" s="128">
        <f t="shared" si="14"/>
        <v>9.0725713774552547E-2</v>
      </c>
      <c r="AA29" s="128"/>
    </row>
    <row r="30" spans="1:27" ht="17">
      <c r="A30" s="377"/>
      <c r="B30" s="360"/>
      <c r="C30" s="360"/>
      <c r="D30" s="360" t="s">
        <v>180</v>
      </c>
      <c r="E30" s="360" t="s">
        <v>174</v>
      </c>
      <c r="F30" s="121" t="s">
        <v>175</v>
      </c>
      <c r="G30" s="122">
        <v>93808525.980722234</v>
      </c>
      <c r="H30">
        <v>16419048.725812387</v>
      </c>
      <c r="I30" s="123"/>
      <c r="J30" s="123">
        <v>33602115.512977101</v>
      </c>
      <c r="K30" s="123">
        <v>376756.97031777585</v>
      </c>
      <c r="L30" s="155">
        <v>16565918.196682813</v>
      </c>
      <c r="N30" s="47">
        <f t="shared" si="1"/>
        <v>16419048.725812387</v>
      </c>
      <c r="O30">
        <v>16419048.725812387</v>
      </c>
      <c r="P30" s="47">
        <f t="shared" si="2"/>
        <v>144206447.1898295</v>
      </c>
      <c r="R30">
        <v>4</v>
      </c>
      <c r="S30" t="s">
        <v>112</v>
      </c>
      <c r="T30" s="64">
        <v>2</v>
      </c>
      <c r="U30" s="3" t="s">
        <v>175</v>
      </c>
      <c r="V30" s="128">
        <f>G30/SUM(G$30:G$34)</f>
        <v>0.27092136967969638</v>
      </c>
      <c r="W30" s="128">
        <f t="shared" ref="W30:Z30" si="15">H30/SUM(H$30:H$34)</f>
        <v>0.37762006889216071</v>
      </c>
      <c r="X30" s="128"/>
      <c r="Y30" s="128">
        <f t="shared" si="15"/>
        <v>0.39185682683254563</v>
      </c>
      <c r="Z30" s="128">
        <f t="shared" si="15"/>
        <v>1.8419381658371207E-2</v>
      </c>
      <c r="AA30" s="128"/>
    </row>
    <row r="31" spans="1:27" ht="17">
      <c r="A31" s="377"/>
      <c r="B31" s="360"/>
      <c r="C31" s="360"/>
      <c r="D31" s="360"/>
      <c r="E31" s="360"/>
      <c r="F31" s="121" t="s">
        <v>176</v>
      </c>
      <c r="G31" s="122">
        <v>6049865.2952725589</v>
      </c>
      <c r="H31">
        <v>8458050.2186138872</v>
      </c>
      <c r="I31" s="123"/>
      <c r="J31" s="123">
        <v>9526514.5561398305</v>
      </c>
      <c r="K31" s="123">
        <v>64938.170048379543</v>
      </c>
      <c r="L31" s="155">
        <v>2484520.1444201078</v>
      </c>
      <c r="N31" s="47">
        <f t="shared" si="1"/>
        <v>8458050.2186138872</v>
      </c>
      <c r="O31">
        <v>8458050.2186138872</v>
      </c>
      <c r="P31" s="47">
        <f t="shared" si="2"/>
        <v>24099368.240074657</v>
      </c>
      <c r="R31">
        <v>4</v>
      </c>
      <c r="S31" t="s">
        <v>112</v>
      </c>
      <c r="T31" s="64">
        <v>2</v>
      </c>
      <c r="U31" s="3" t="s">
        <v>176</v>
      </c>
      <c r="V31" s="128">
        <f t="shared" ref="V31:V34" si="16">G31/SUM(G$30:G$34)</f>
        <v>1.7472162311874793E-2</v>
      </c>
      <c r="W31" s="128">
        <f t="shared" ref="W31:W34" si="17">H31/SUM(H$30:H$34)</f>
        <v>0.19452585588744581</v>
      </c>
      <c r="X31" s="128"/>
      <c r="Y31" s="128">
        <f t="shared" ref="Y31:Y34" si="18">J31/SUM(J$30:J$34)</f>
        <v>0.11109508159691073</v>
      </c>
      <c r="Z31" s="128">
        <f t="shared" ref="Z31:Z34" si="19">K31/SUM(K$30:K$34)</f>
        <v>3.1747811787223045E-3</v>
      </c>
      <c r="AA31" s="128"/>
    </row>
    <row r="32" spans="1:27" ht="17">
      <c r="A32" s="377"/>
      <c r="B32" s="360"/>
      <c r="C32" s="360"/>
      <c r="D32" s="360"/>
      <c r="E32" s="360"/>
      <c r="F32" s="121" t="s">
        <v>177</v>
      </c>
      <c r="G32" s="122">
        <v>126401380.6929134</v>
      </c>
      <c r="H32">
        <v>7892849.7825569557</v>
      </c>
      <c r="I32" s="123"/>
      <c r="J32" s="123">
        <v>31286771.223309457</v>
      </c>
      <c r="K32" s="123">
        <v>19434959.704308219</v>
      </c>
      <c r="L32" s="155">
        <v>4859565.6971002547</v>
      </c>
      <c r="N32" s="47">
        <f t="shared" si="1"/>
        <v>7892849.7825569557</v>
      </c>
      <c r="O32">
        <v>7892849.7825569557</v>
      </c>
      <c r="P32" s="47">
        <f t="shared" si="2"/>
        <v>185015961.40308803</v>
      </c>
      <c r="R32">
        <v>4</v>
      </c>
      <c r="S32" t="s">
        <v>112</v>
      </c>
      <c r="T32" s="64">
        <v>2</v>
      </c>
      <c r="U32" s="3" t="s">
        <v>177</v>
      </c>
      <c r="V32" s="128">
        <f t="shared" si="16"/>
        <v>0.36505034940817838</v>
      </c>
      <c r="W32" s="128">
        <f t="shared" si="17"/>
        <v>0.18152686726357001</v>
      </c>
      <c r="X32" s="128"/>
      <c r="Y32" s="128">
        <f t="shared" si="18"/>
        <v>0.36485604272942496</v>
      </c>
      <c r="Z32" s="128">
        <f t="shared" si="19"/>
        <v>0.95016142636134904</v>
      </c>
      <c r="AA32" s="128"/>
    </row>
    <row r="33" spans="1:27" ht="17">
      <c r="A33" s="377"/>
      <c r="B33" s="360"/>
      <c r="C33" s="360"/>
      <c r="D33" s="360"/>
      <c r="E33" s="360"/>
      <c r="F33" s="121" t="s">
        <v>178</v>
      </c>
      <c r="G33" s="122">
        <v>68608221.585215956</v>
      </c>
      <c r="H33">
        <v>8496896.4194489084</v>
      </c>
      <c r="I33" s="123"/>
      <c r="J33" s="123">
        <v>8212373.3749902472</v>
      </c>
      <c r="K33" s="123">
        <v>294917.60853430047</v>
      </c>
      <c r="L33" s="155">
        <v>1537277.7764166596</v>
      </c>
      <c r="N33" s="47">
        <f t="shared" si="1"/>
        <v>8496896.4194489084</v>
      </c>
      <c r="O33">
        <v>8496896.4194489084</v>
      </c>
      <c r="P33" s="47">
        <f t="shared" si="2"/>
        <v>85612408.988189429</v>
      </c>
      <c r="R33">
        <v>4</v>
      </c>
      <c r="S33" t="s">
        <v>112</v>
      </c>
      <c r="T33" s="64">
        <v>2</v>
      </c>
      <c r="U33" s="3" t="s">
        <v>200</v>
      </c>
      <c r="V33" s="128">
        <f t="shared" si="16"/>
        <v>0.1981422601925816</v>
      </c>
      <c r="W33" s="128">
        <f t="shared" si="17"/>
        <v>0.19541927579748347</v>
      </c>
      <c r="X33" s="128"/>
      <c r="Y33" s="128">
        <f t="shared" si="18"/>
        <v>9.5769999071782991E-2</v>
      </c>
      <c r="Z33" s="128">
        <f t="shared" si="19"/>
        <v>1.4418313176224988E-2</v>
      </c>
      <c r="AA33" s="128"/>
    </row>
    <row r="34" spans="1:27" ht="17">
      <c r="A34" s="377"/>
      <c r="B34" s="360"/>
      <c r="C34" s="360"/>
      <c r="D34" s="360"/>
      <c r="E34" s="360"/>
      <c r="F34" s="121" t="s">
        <v>179</v>
      </c>
      <c r="G34" s="122">
        <v>51389395.04401315</v>
      </c>
      <c r="H34">
        <v>2213494.163874154</v>
      </c>
      <c r="I34" s="123"/>
      <c r="J34" s="123">
        <v>3123227.2599696708</v>
      </c>
      <c r="K34" s="123">
        <v>282804.20859137084</v>
      </c>
      <c r="L34" s="155">
        <v>2209957.0787814972</v>
      </c>
      <c r="N34" s="47">
        <f t="shared" si="1"/>
        <v>2213494.163874154</v>
      </c>
      <c r="O34">
        <v>2213494.163874154</v>
      </c>
      <c r="P34" s="47">
        <f t="shared" si="2"/>
        <v>57008920.676448353</v>
      </c>
      <c r="R34">
        <v>4</v>
      </c>
      <c r="S34" t="s">
        <v>112</v>
      </c>
      <c r="T34" s="66">
        <v>2</v>
      </c>
      <c r="U34" s="3" t="s">
        <v>179</v>
      </c>
      <c r="V34" s="128">
        <f t="shared" si="16"/>
        <v>0.14841385840766896</v>
      </c>
      <c r="W34" s="128">
        <f t="shared" si="17"/>
        <v>5.0907932159339926E-2</v>
      </c>
      <c r="X34" s="128"/>
      <c r="Y34" s="128">
        <f t="shared" si="18"/>
        <v>3.6422049769335767E-2</v>
      </c>
      <c r="Z34" s="128">
        <f t="shared" si="19"/>
        <v>1.3826097625332535E-2</v>
      </c>
      <c r="AA34" s="128"/>
    </row>
    <row r="35" spans="1:27" ht="17">
      <c r="A35" s="377"/>
      <c r="B35" s="360"/>
      <c r="C35" s="360"/>
      <c r="D35" s="360" t="s">
        <v>181</v>
      </c>
      <c r="E35" s="360" t="s">
        <v>174</v>
      </c>
      <c r="F35" s="121" t="s">
        <v>175</v>
      </c>
      <c r="G35" s="122">
        <v>201964352.48621926</v>
      </c>
      <c r="H35">
        <v>44218138.589446634</v>
      </c>
      <c r="I35" s="123"/>
      <c r="J35" s="123">
        <v>5886922.9007782154</v>
      </c>
      <c r="K35" s="123">
        <v>292707.36421851494</v>
      </c>
      <c r="L35" s="155">
        <v>24598762.472789034</v>
      </c>
      <c r="N35" s="47">
        <f t="shared" si="1"/>
        <v>44218138.589446634</v>
      </c>
      <c r="O35">
        <v>44218138.589446634</v>
      </c>
      <c r="P35" s="47">
        <f t="shared" si="2"/>
        <v>252362121.3406626</v>
      </c>
      <c r="R35">
        <v>4</v>
      </c>
      <c r="S35" t="s">
        <v>112</v>
      </c>
      <c r="T35" s="64">
        <v>3</v>
      </c>
      <c r="U35" s="3" t="s">
        <v>175</v>
      </c>
      <c r="V35" s="128">
        <f>G35/SUM(G$35:G$39)</f>
        <v>0.43820190421124661</v>
      </c>
      <c r="W35" s="128">
        <f t="shared" ref="W35:Z35" si="20">H35/SUM(H$35:H$39)</f>
        <v>0.51806328462314422</v>
      </c>
      <c r="X35" s="128"/>
      <c r="Y35" s="128">
        <f t="shared" si="20"/>
        <v>0.16832933638196421</v>
      </c>
      <c r="Z35" s="128">
        <f t="shared" si="20"/>
        <v>6.0858606395821087E-2</v>
      </c>
      <c r="AA35" s="128"/>
    </row>
    <row r="36" spans="1:27" ht="17">
      <c r="A36" s="377"/>
      <c r="B36" s="360"/>
      <c r="C36" s="360"/>
      <c r="D36" s="360"/>
      <c r="E36" s="360"/>
      <c r="F36" s="121" t="s">
        <v>176</v>
      </c>
      <c r="G36" s="122">
        <v>14792306.792019628</v>
      </c>
      <c r="H36">
        <v>17204635.447309799</v>
      </c>
      <c r="I36" s="123"/>
      <c r="J36" s="123">
        <v>1670717.9570541126</v>
      </c>
      <c r="K36" s="123">
        <v>0</v>
      </c>
      <c r="L36" s="155">
        <v>549125.08921735256</v>
      </c>
      <c r="N36" s="47">
        <f t="shared" si="1"/>
        <v>17204635.447309799</v>
      </c>
      <c r="O36">
        <v>17204635.447309799</v>
      </c>
      <c r="P36" s="47">
        <f t="shared" si="2"/>
        <v>33667660.196383543</v>
      </c>
      <c r="R36">
        <v>4</v>
      </c>
      <c r="S36" t="s">
        <v>112</v>
      </c>
      <c r="T36" s="64">
        <v>3</v>
      </c>
      <c r="U36" s="3" t="s">
        <v>176</v>
      </c>
      <c r="V36" s="128">
        <f t="shared" ref="V36:V39" si="21">G36/SUM(G$35:G$39)</f>
        <v>3.2094856959384695E-2</v>
      </c>
      <c r="W36" s="128">
        <f t="shared" ref="W36:W39" si="22">H36/SUM(H$35:H$39)</f>
        <v>0.20157089906774919</v>
      </c>
      <c r="X36" s="128"/>
      <c r="Y36" s="128">
        <f t="shared" ref="Y36:Y39" si="23">J36/SUM(J$35:J$39)</f>
        <v>4.7772129809135554E-2</v>
      </c>
      <c r="Z36" s="128">
        <f t="shared" ref="Z36:Z39" si="24">K36/SUM(K$35:K$39)</f>
        <v>0</v>
      </c>
      <c r="AA36" s="128"/>
    </row>
    <row r="37" spans="1:27" ht="17">
      <c r="A37" s="377"/>
      <c r="B37" s="360"/>
      <c r="C37" s="360"/>
      <c r="D37" s="360"/>
      <c r="E37" s="360"/>
      <c r="F37" s="121" t="s">
        <v>177</v>
      </c>
      <c r="G37" s="122">
        <v>147670513.99375638</v>
      </c>
      <c r="H37">
        <v>16358911.315888152</v>
      </c>
      <c r="I37" s="123"/>
      <c r="J37" s="123">
        <v>25236845.406816985</v>
      </c>
      <c r="K37" s="123">
        <v>4501619.4343592944</v>
      </c>
      <c r="L37" s="155">
        <v>4894979.3449215293</v>
      </c>
      <c r="N37" s="47">
        <f t="shared" si="1"/>
        <v>16358911.315888152</v>
      </c>
      <c r="O37">
        <v>16358911.315888152</v>
      </c>
      <c r="P37" s="47">
        <f t="shared" si="2"/>
        <v>193767890.15082079</v>
      </c>
      <c r="R37">
        <v>4</v>
      </c>
      <c r="S37" t="s">
        <v>112</v>
      </c>
      <c r="T37" s="64">
        <v>3</v>
      </c>
      <c r="U37" s="3" t="s">
        <v>177</v>
      </c>
      <c r="V37" s="128">
        <f t="shared" si="21"/>
        <v>0.32040060352894673</v>
      </c>
      <c r="W37" s="128">
        <f t="shared" si="22"/>
        <v>0.1916623268079046</v>
      </c>
      <c r="X37" s="128"/>
      <c r="Y37" s="128">
        <f t="shared" si="23"/>
        <v>0.7216166257489377</v>
      </c>
      <c r="Z37" s="128">
        <f t="shared" si="24"/>
        <v>0.93595966070375292</v>
      </c>
      <c r="AA37" s="128"/>
    </row>
    <row r="38" spans="1:27" ht="17">
      <c r="A38" s="377"/>
      <c r="B38" s="360"/>
      <c r="C38" s="360"/>
      <c r="D38" s="360"/>
      <c r="E38" s="360"/>
      <c r="F38" s="121" t="s">
        <v>178</v>
      </c>
      <c r="G38" s="122">
        <v>56455113.785599694</v>
      </c>
      <c r="H38">
        <v>5229249.1496687951</v>
      </c>
      <c r="I38" s="123"/>
      <c r="J38" s="123">
        <v>1674320.5532049558</v>
      </c>
      <c r="K38" s="123">
        <v>15302.957232930888</v>
      </c>
      <c r="L38" s="155">
        <v>3522047.0404581646</v>
      </c>
      <c r="N38" s="47">
        <f t="shared" si="1"/>
        <v>5229249.1496687951</v>
      </c>
      <c r="O38">
        <v>5229249.1496687951</v>
      </c>
      <c r="P38" s="47">
        <f t="shared" si="2"/>
        <v>63373986.445706375</v>
      </c>
      <c r="R38">
        <v>4</v>
      </c>
      <c r="S38" t="s">
        <v>112</v>
      </c>
      <c r="T38" s="64">
        <v>3</v>
      </c>
      <c r="U38" s="3" t="s">
        <v>200</v>
      </c>
      <c r="V38" s="128">
        <f t="shared" si="21"/>
        <v>0.12249061806588069</v>
      </c>
      <c r="W38" s="128">
        <f t="shared" si="22"/>
        <v>6.1266305570736208E-2</v>
      </c>
      <c r="X38" s="128"/>
      <c r="Y38" s="128">
        <f t="shared" si="23"/>
        <v>4.7875141625248092E-2</v>
      </c>
      <c r="Z38" s="128">
        <f t="shared" si="24"/>
        <v>3.1817329004259973E-3</v>
      </c>
      <c r="AA38" s="128"/>
    </row>
    <row r="39" spans="1:27" ht="17">
      <c r="A39" s="377"/>
      <c r="B39" s="360"/>
      <c r="C39" s="360"/>
      <c r="D39" s="360"/>
      <c r="E39" s="360"/>
      <c r="F39" s="121" t="s">
        <v>179</v>
      </c>
      <c r="G39" s="122">
        <v>40011083.202286579</v>
      </c>
      <c r="H39">
        <v>2341839.7665914553</v>
      </c>
      <c r="I39" s="123"/>
      <c r="J39" s="123">
        <v>503842.79456928757</v>
      </c>
      <c r="K39" s="123">
        <v>0</v>
      </c>
      <c r="L39" s="155">
        <v>2437885.344191975</v>
      </c>
      <c r="N39" s="47">
        <f t="shared" si="1"/>
        <v>2341839.7665914553</v>
      </c>
      <c r="O39">
        <v>2341839.7665914553</v>
      </c>
      <c r="P39" s="47">
        <f t="shared" si="2"/>
        <v>42856765.763447322</v>
      </c>
      <c r="R39">
        <v>4</v>
      </c>
      <c r="S39" t="s">
        <v>112</v>
      </c>
      <c r="T39" s="66">
        <v>3</v>
      </c>
      <c r="U39" s="3" t="s">
        <v>179</v>
      </c>
      <c r="V39" s="128">
        <f t="shared" si="21"/>
        <v>8.6812017234541114E-2</v>
      </c>
      <c r="W39" s="128">
        <f t="shared" si="22"/>
        <v>2.7437183930465618E-2</v>
      </c>
      <c r="X39" s="128"/>
      <c r="Y39" s="128">
        <f t="shared" si="23"/>
        <v>1.4406766434714292E-2</v>
      </c>
      <c r="Z39" s="128">
        <f t="shared" si="24"/>
        <v>0</v>
      </c>
      <c r="AA39" s="128"/>
    </row>
    <row r="40" spans="1:27" ht="17">
      <c r="A40" s="377"/>
      <c r="B40" s="360"/>
      <c r="C40" s="360"/>
      <c r="D40" s="360" t="s">
        <v>182</v>
      </c>
      <c r="E40" s="360" t="s">
        <v>174</v>
      </c>
      <c r="F40" s="121" t="s">
        <v>175</v>
      </c>
      <c r="G40" s="122">
        <v>124589843.63906081</v>
      </c>
      <c r="H40">
        <v>35031116.476991601</v>
      </c>
      <c r="I40" s="123"/>
      <c r="J40" s="123">
        <v>389743.17004601145</v>
      </c>
      <c r="K40" s="123">
        <v>134138.7363931158</v>
      </c>
      <c r="L40" s="155">
        <v>13933250.476958826</v>
      </c>
      <c r="N40" s="47">
        <f t="shared" si="1"/>
        <v>35031116.476991601</v>
      </c>
      <c r="O40">
        <v>35031116.476991601</v>
      </c>
      <c r="P40" s="47">
        <f t="shared" si="2"/>
        <v>160144842.02249154</v>
      </c>
      <c r="R40">
        <v>4</v>
      </c>
      <c r="S40" t="s">
        <v>112</v>
      </c>
      <c r="T40" s="64">
        <v>4</v>
      </c>
      <c r="U40" s="3" t="s">
        <v>175</v>
      </c>
      <c r="V40" s="128">
        <f>G40/SUM(G$40:G$44)</f>
        <v>0.39000029850954643</v>
      </c>
      <c r="W40" s="128">
        <f t="shared" ref="W40:Z40" si="25">H40/SUM(H$40:H$44)</f>
        <v>0.40868220250136494</v>
      </c>
      <c r="X40" s="128"/>
      <c r="Y40" s="128">
        <f t="shared" si="25"/>
        <v>4.8605344831177164E-2</v>
      </c>
      <c r="Z40" s="128">
        <f t="shared" si="25"/>
        <v>1</v>
      </c>
      <c r="AA40" s="128"/>
    </row>
    <row r="41" spans="1:27" ht="17">
      <c r="A41" s="377"/>
      <c r="B41" s="360"/>
      <c r="C41" s="360"/>
      <c r="D41" s="360"/>
      <c r="E41" s="360"/>
      <c r="F41" s="121" t="s">
        <v>176</v>
      </c>
      <c r="G41" s="122">
        <v>6892280.8763933927</v>
      </c>
      <c r="H41">
        <v>16910418.695996836</v>
      </c>
      <c r="I41" s="123"/>
      <c r="J41" s="123">
        <v>0</v>
      </c>
      <c r="K41" s="123">
        <v>0</v>
      </c>
      <c r="L41" s="155">
        <v>787618.37032463867</v>
      </c>
      <c r="N41" s="47">
        <f t="shared" si="1"/>
        <v>16910418.695996836</v>
      </c>
      <c r="O41">
        <v>16910418.695996836</v>
      </c>
      <c r="P41" s="47">
        <f t="shared" si="2"/>
        <v>23802699.572390229</v>
      </c>
      <c r="R41">
        <v>4</v>
      </c>
      <c r="S41" t="s">
        <v>112</v>
      </c>
      <c r="T41" s="64">
        <v>4</v>
      </c>
      <c r="U41" s="3" t="s">
        <v>176</v>
      </c>
      <c r="V41" s="128">
        <f t="shared" ref="V41:V44" si="26">G41/SUM(G$40:G$44)</f>
        <v>2.1574724878796903E-2</v>
      </c>
      <c r="W41" s="128">
        <f t="shared" ref="W41:W44" si="27">H41/SUM(H$40:H$44)</f>
        <v>0.19728138446399149</v>
      </c>
      <c r="X41" s="128"/>
      <c r="Y41" s="128">
        <f t="shared" ref="Y41:Y44" si="28">J41/SUM(J$40:J$44)</f>
        <v>0</v>
      </c>
      <c r="Z41" s="128">
        <f t="shared" ref="Z41:Z44" si="29">K41/SUM(K$40:K$44)</f>
        <v>0</v>
      </c>
      <c r="AA41" s="128"/>
    </row>
    <row r="42" spans="1:27" ht="17">
      <c r="A42" s="377"/>
      <c r="B42" s="360"/>
      <c r="C42" s="360"/>
      <c r="D42" s="360"/>
      <c r="E42" s="360"/>
      <c r="F42" s="121" t="s">
        <v>177</v>
      </c>
      <c r="G42" s="122">
        <v>140848188.65088058</v>
      </c>
      <c r="H42">
        <v>24191465.293708097</v>
      </c>
      <c r="I42" s="123"/>
      <c r="J42" s="123">
        <v>7248267.0838227738</v>
      </c>
      <c r="K42" s="123">
        <v>0</v>
      </c>
      <c r="L42" s="155">
        <v>6695940.3491763817</v>
      </c>
      <c r="N42" s="47">
        <f t="shared" si="1"/>
        <v>24191465.293708097</v>
      </c>
      <c r="O42">
        <v>24191465.293708097</v>
      </c>
      <c r="P42" s="47">
        <f t="shared" si="2"/>
        <v>172287921.02841145</v>
      </c>
      <c r="R42">
        <v>4</v>
      </c>
      <c r="S42" t="s">
        <v>112</v>
      </c>
      <c r="T42" s="64">
        <v>4</v>
      </c>
      <c r="U42" s="3" t="s">
        <v>177</v>
      </c>
      <c r="V42" s="128">
        <f t="shared" si="26"/>
        <v>0.44089336669775453</v>
      </c>
      <c r="W42" s="128">
        <f t="shared" si="27"/>
        <v>0.28222398576595403</v>
      </c>
      <c r="X42" s="128"/>
      <c r="Y42" s="128">
        <f t="shared" si="28"/>
        <v>0.90394020502292638</v>
      </c>
      <c r="Z42" s="128">
        <f t="shared" si="29"/>
        <v>0</v>
      </c>
      <c r="AA42" s="128"/>
    </row>
    <row r="43" spans="1:27" ht="17">
      <c r="A43" s="377"/>
      <c r="B43" s="360"/>
      <c r="C43" s="360"/>
      <c r="D43" s="360"/>
      <c r="E43" s="360"/>
      <c r="F43" s="121" t="s">
        <v>178</v>
      </c>
      <c r="G43" s="122">
        <v>22327786.231300637</v>
      </c>
      <c r="H43">
        <v>5949641.958997665</v>
      </c>
      <c r="I43" s="123"/>
      <c r="J43" s="123">
        <v>0</v>
      </c>
      <c r="K43" s="123">
        <v>0</v>
      </c>
      <c r="L43" s="155">
        <v>289361.38868303254</v>
      </c>
      <c r="N43" s="47">
        <f t="shared" si="1"/>
        <v>5949641.958997665</v>
      </c>
      <c r="O43">
        <v>5949641.958997665</v>
      </c>
      <c r="P43" s="47">
        <f t="shared" si="2"/>
        <v>28277428.190298304</v>
      </c>
      <c r="R43">
        <v>4</v>
      </c>
      <c r="S43" t="s">
        <v>112</v>
      </c>
      <c r="T43" s="64">
        <v>4</v>
      </c>
      <c r="U43" s="3" t="s">
        <v>200</v>
      </c>
      <c r="V43" s="128">
        <f t="shared" si="26"/>
        <v>6.9892079811026811E-2</v>
      </c>
      <c r="W43" s="128">
        <f t="shared" si="27"/>
        <v>6.9410085216516468E-2</v>
      </c>
      <c r="X43" s="128"/>
      <c r="Y43" s="128">
        <f t="shared" si="28"/>
        <v>0</v>
      </c>
      <c r="Z43" s="128">
        <f t="shared" si="29"/>
        <v>0</v>
      </c>
      <c r="AA43" s="128"/>
    </row>
    <row r="44" spans="1:27" ht="17">
      <c r="A44" s="377"/>
      <c r="B44" s="360"/>
      <c r="C44" s="360"/>
      <c r="D44" s="360"/>
      <c r="E44" s="360"/>
      <c r="F44" s="121" t="s">
        <v>179</v>
      </c>
      <c r="G44" s="122">
        <v>24802793.620145433</v>
      </c>
      <c r="H44">
        <v>3634612.3570721303</v>
      </c>
      <c r="I44" s="123"/>
      <c r="J44" s="123">
        <v>380514.69230167364</v>
      </c>
      <c r="K44" s="123">
        <v>0</v>
      </c>
      <c r="L44" s="155">
        <v>1151239.8726164876</v>
      </c>
      <c r="N44" s="47">
        <f t="shared" si="1"/>
        <v>3634612.3570721303</v>
      </c>
      <c r="O44">
        <v>3634612.3570721303</v>
      </c>
      <c r="P44" s="47">
        <f t="shared" si="2"/>
        <v>28817920.669519234</v>
      </c>
      <c r="R44">
        <v>4</v>
      </c>
      <c r="S44" s="10" t="s">
        <v>112</v>
      </c>
      <c r="T44" s="90">
        <v>4</v>
      </c>
      <c r="U44" s="89" t="s">
        <v>179</v>
      </c>
      <c r="V44" s="129">
        <f t="shared" si="26"/>
        <v>7.7639530102875332E-2</v>
      </c>
      <c r="W44" s="129">
        <f t="shared" si="27"/>
        <v>4.2402342052173123E-2</v>
      </c>
      <c r="X44" s="129"/>
      <c r="Y44" s="129">
        <f t="shared" si="28"/>
        <v>4.7454450145896526E-2</v>
      </c>
      <c r="Z44" s="129">
        <f t="shared" si="29"/>
        <v>0</v>
      </c>
      <c r="AA44" s="129"/>
    </row>
    <row r="45" spans="1:27" ht="17">
      <c r="A45" s="377"/>
      <c r="B45" s="360" t="s">
        <v>233</v>
      </c>
      <c r="C45" s="360" t="s">
        <v>172</v>
      </c>
      <c r="D45" s="360" t="s">
        <v>173</v>
      </c>
      <c r="E45" s="360" t="s">
        <v>174</v>
      </c>
      <c r="F45" s="121" t="s">
        <v>175</v>
      </c>
      <c r="G45" s="122">
        <v>81473629.872409165</v>
      </c>
      <c r="H45">
        <v>1543015.456262093</v>
      </c>
      <c r="I45" s="123"/>
      <c r="J45" s="123">
        <v>109067014.22781603</v>
      </c>
      <c r="K45" s="123">
        <v>17636474.739204232</v>
      </c>
      <c r="L45" s="155">
        <v>14716379.600147331</v>
      </c>
      <c r="N45" s="47">
        <f t="shared" si="1"/>
        <v>1543015.456262093</v>
      </c>
      <c r="O45">
        <v>1543015.456262093</v>
      </c>
      <c r="P45" s="47">
        <f t="shared" si="2"/>
        <v>209720134.29569152</v>
      </c>
      <c r="R45">
        <v>3</v>
      </c>
      <c r="S45" t="s">
        <v>113</v>
      </c>
      <c r="T45" s="126">
        <v>1</v>
      </c>
      <c r="U45" s="127" t="s">
        <v>175</v>
      </c>
      <c r="V45" s="128">
        <f>G45/SUM(G$45:G$49)</f>
        <v>0.12965349929801848</v>
      </c>
      <c r="W45" s="128">
        <f t="shared" ref="W45:Z45" si="30">H45/SUM(H$45:H$49)</f>
        <v>0.17207621136073706</v>
      </c>
      <c r="X45" s="128"/>
      <c r="Y45" s="128">
        <f t="shared" si="30"/>
        <v>0.17089669123667564</v>
      </c>
      <c r="Z45" s="128">
        <f t="shared" si="30"/>
        <v>4.8925063063846197E-2</v>
      </c>
      <c r="AA45" s="128"/>
    </row>
    <row r="46" spans="1:27" ht="17">
      <c r="A46" s="377"/>
      <c r="B46" s="360"/>
      <c r="C46" s="360"/>
      <c r="D46" s="360"/>
      <c r="E46" s="360"/>
      <c r="F46" s="121" t="s">
        <v>176</v>
      </c>
      <c r="G46" s="122">
        <v>21134043.305389691</v>
      </c>
      <c r="H46">
        <v>2538744.9738407135</v>
      </c>
      <c r="I46" s="123"/>
      <c r="J46" s="123">
        <v>98706250.711840943</v>
      </c>
      <c r="K46" s="123">
        <v>25707911.329698507</v>
      </c>
      <c r="L46" s="155">
        <v>3016199.2439179053</v>
      </c>
      <c r="N46" s="47">
        <f t="shared" si="1"/>
        <v>2538744.9738407135</v>
      </c>
      <c r="O46">
        <v>2538744.9738407135</v>
      </c>
      <c r="P46" s="47">
        <f t="shared" si="2"/>
        <v>148086950.32076985</v>
      </c>
      <c r="R46">
        <v>3</v>
      </c>
      <c r="S46" t="s">
        <v>113</v>
      </c>
      <c r="T46" s="64">
        <v>1</v>
      </c>
      <c r="U46" s="3" t="s">
        <v>176</v>
      </c>
      <c r="V46" s="128">
        <f t="shared" ref="V46:V49" si="31">G46/SUM(G$45:G$49)</f>
        <v>3.363177353397339E-2</v>
      </c>
      <c r="W46" s="128">
        <f t="shared" ref="W46:W49" si="32">H46/SUM(H$45:H$49)</f>
        <v>0.28311940423973297</v>
      </c>
      <c r="X46" s="128"/>
      <c r="Y46" s="128">
        <f t="shared" ref="Y46:Y49" si="33">J46/SUM(J$45:J$49)</f>
        <v>0.15466245015011407</v>
      </c>
      <c r="Z46" s="128">
        <f t="shared" ref="Z46:Z49" si="34">K46/SUM(K$45:K$49)</f>
        <v>7.1315906474743521E-2</v>
      </c>
      <c r="AA46" s="128"/>
    </row>
    <row r="47" spans="1:27" ht="17">
      <c r="A47" s="377"/>
      <c r="B47" s="360"/>
      <c r="C47" s="360"/>
      <c r="D47" s="360"/>
      <c r="E47" s="360"/>
      <c r="F47" s="121" t="s">
        <v>177</v>
      </c>
      <c r="G47" s="122">
        <v>195754518.9823589</v>
      </c>
      <c r="H47">
        <v>1737569.1094984952</v>
      </c>
      <c r="I47" s="123"/>
      <c r="J47" s="123">
        <v>197969794.33701986</v>
      </c>
      <c r="K47" s="123">
        <v>205417321.95317626</v>
      </c>
      <c r="L47" s="155">
        <v>15936033.705516867</v>
      </c>
      <c r="N47" s="47">
        <f t="shared" si="1"/>
        <v>1737569.1094984952</v>
      </c>
      <c r="O47">
        <v>1737569.1094984952</v>
      </c>
      <c r="P47" s="47">
        <f t="shared" si="2"/>
        <v>600879204.38205349</v>
      </c>
      <c r="R47">
        <v>3</v>
      </c>
      <c r="S47" t="s">
        <v>113</v>
      </c>
      <c r="T47" s="64">
        <v>1</v>
      </c>
      <c r="U47" s="3" t="s">
        <v>177</v>
      </c>
      <c r="V47" s="128">
        <f t="shared" si="31"/>
        <v>0.31151500711591806</v>
      </c>
      <c r="W47" s="128">
        <f t="shared" si="32"/>
        <v>0.19377272478154897</v>
      </c>
      <c r="X47" s="128"/>
      <c r="Y47" s="128">
        <f t="shared" si="33"/>
        <v>0.3101981204540335</v>
      </c>
      <c r="Z47" s="128">
        <f t="shared" si="34"/>
        <v>0.56984491399662851</v>
      </c>
      <c r="AA47" s="128"/>
    </row>
    <row r="48" spans="1:27" ht="17">
      <c r="A48" s="377"/>
      <c r="B48" s="360"/>
      <c r="C48" s="360"/>
      <c r="D48" s="360"/>
      <c r="E48" s="360"/>
      <c r="F48" s="121" t="s">
        <v>178</v>
      </c>
      <c r="G48" s="122">
        <v>217434915.53243527</v>
      </c>
      <c r="H48">
        <v>3067690.9732198166</v>
      </c>
      <c r="I48" s="123"/>
      <c r="J48" s="123">
        <v>172698981.50980812</v>
      </c>
      <c r="K48" s="123">
        <v>80816674.473011494</v>
      </c>
      <c r="L48" s="155">
        <v>8952585.1384454556</v>
      </c>
      <c r="N48" s="47">
        <f t="shared" si="1"/>
        <v>3067690.9732198166</v>
      </c>
      <c r="O48">
        <v>3067690.9732198166</v>
      </c>
      <c r="P48" s="47">
        <f t="shared" si="2"/>
        <v>474018262.48847473</v>
      </c>
      <c r="R48">
        <v>3</v>
      </c>
      <c r="S48" t="s">
        <v>113</v>
      </c>
      <c r="T48" s="64">
        <v>1</v>
      </c>
      <c r="U48" s="3" t="s">
        <v>200</v>
      </c>
      <c r="V48" s="128">
        <f t="shared" si="31"/>
        <v>0.34601622282568978</v>
      </c>
      <c r="W48" s="128">
        <f t="shared" si="32"/>
        <v>0.34210716305847194</v>
      </c>
      <c r="X48" s="128"/>
      <c r="Y48" s="128">
        <f t="shared" si="33"/>
        <v>0.27060137960981223</v>
      </c>
      <c r="Z48" s="128">
        <f t="shared" si="34"/>
        <v>0.22419224667462209</v>
      </c>
      <c r="AA48" s="128"/>
    </row>
    <row r="49" spans="1:27" ht="17">
      <c r="A49" s="377"/>
      <c r="B49" s="360"/>
      <c r="C49" s="360"/>
      <c r="D49" s="360"/>
      <c r="E49" s="360"/>
      <c r="F49" s="121" t="s">
        <v>179</v>
      </c>
      <c r="G49" s="122">
        <v>112598040.24811779</v>
      </c>
      <c r="H49">
        <v>80026.379136229662</v>
      </c>
      <c r="I49" s="123"/>
      <c r="J49" s="123">
        <v>59762323.724988244</v>
      </c>
      <c r="K49" s="123">
        <v>30900963.565005478</v>
      </c>
      <c r="L49" s="155">
        <v>3454941.7103904118</v>
      </c>
      <c r="N49" s="47">
        <f t="shared" si="1"/>
        <v>80026.379136229662</v>
      </c>
      <c r="O49">
        <v>80026.379136229662</v>
      </c>
      <c r="P49" s="47">
        <f t="shared" si="2"/>
        <v>203341353.91724774</v>
      </c>
      <c r="R49">
        <v>3</v>
      </c>
      <c r="S49" t="s">
        <v>113</v>
      </c>
      <c r="T49" s="66">
        <v>1</v>
      </c>
      <c r="U49" s="3" t="s">
        <v>179</v>
      </c>
      <c r="V49" s="128">
        <f t="shared" si="31"/>
        <v>0.17918349722640034</v>
      </c>
      <c r="W49" s="128">
        <f t="shared" si="32"/>
        <v>8.924496559509049E-3</v>
      </c>
      <c r="X49" s="128"/>
      <c r="Y49" s="128">
        <f t="shared" si="33"/>
        <v>9.3641358549364603E-2</v>
      </c>
      <c r="Z49" s="128">
        <f t="shared" si="34"/>
        <v>8.5721869790159735E-2</v>
      </c>
      <c r="AA49" s="128"/>
    </row>
    <row r="50" spans="1:27" ht="17">
      <c r="A50" s="377"/>
      <c r="B50" s="360"/>
      <c r="C50" s="360"/>
      <c r="D50" s="360" t="s">
        <v>180</v>
      </c>
      <c r="E50" s="360" t="s">
        <v>174</v>
      </c>
      <c r="F50" s="121" t="s">
        <v>175</v>
      </c>
      <c r="G50" s="122">
        <v>64405375.914436787</v>
      </c>
      <c r="H50">
        <v>5540978.3476145966</v>
      </c>
      <c r="I50" s="123"/>
      <c r="J50" s="123">
        <v>16504584.464850808</v>
      </c>
      <c r="K50" s="123">
        <v>221280.47188515964</v>
      </c>
      <c r="L50" s="155">
        <v>12453888.685215002</v>
      </c>
      <c r="N50" s="47">
        <f t="shared" si="1"/>
        <v>5540978.3476145966</v>
      </c>
      <c r="O50">
        <v>5540978.3476145966</v>
      </c>
      <c r="P50" s="47">
        <f t="shared" si="2"/>
        <v>86672219.198787361</v>
      </c>
      <c r="R50">
        <v>3</v>
      </c>
      <c r="S50" t="s">
        <v>113</v>
      </c>
      <c r="T50" s="64">
        <v>2</v>
      </c>
      <c r="U50" s="3" t="s">
        <v>175</v>
      </c>
      <c r="V50" s="128">
        <f>G50/SUM(G$50:G$54)</f>
        <v>0.31126776138716183</v>
      </c>
      <c r="W50" s="128">
        <f t="shared" ref="W50:Z50" si="35">H50/SUM(H$50:H$54)</f>
        <v>0.32398246150456234</v>
      </c>
      <c r="X50" s="128"/>
      <c r="Y50" s="128">
        <f t="shared" si="35"/>
        <v>0.31557709975001269</v>
      </c>
      <c r="Z50" s="128">
        <f t="shared" si="35"/>
        <v>2.0991830252439603E-2</v>
      </c>
      <c r="AA50" s="128"/>
    </row>
    <row r="51" spans="1:27" ht="17">
      <c r="A51" s="377"/>
      <c r="B51" s="360"/>
      <c r="C51" s="360"/>
      <c r="D51" s="360"/>
      <c r="E51" s="360"/>
      <c r="F51" s="121" t="s">
        <v>176</v>
      </c>
      <c r="G51" s="122">
        <v>8093006.1001928095</v>
      </c>
      <c r="H51">
        <v>3752009.2852966329</v>
      </c>
      <c r="I51" s="123"/>
      <c r="J51" s="123">
        <v>11451144.898287579</v>
      </c>
      <c r="K51" s="123">
        <v>0</v>
      </c>
      <c r="L51" s="155">
        <v>951556.4421859209</v>
      </c>
      <c r="N51" s="47">
        <f t="shared" si="1"/>
        <v>3752009.2852966329</v>
      </c>
      <c r="O51">
        <v>3752009.2852966329</v>
      </c>
      <c r="P51" s="47">
        <f t="shared" si="2"/>
        <v>23296160.283777021</v>
      </c>
      <c r="R51">
        <v>3</v>
      </c>
      <c r="S51" t="s">
        <v>113</v>
      </c>
      <c r="T51" s="64">
        <v>2</v>
      </c>
      <c r="U51" s="3" t="s">
        <v>176</v>
      </c>
      <c r="V51" s="128">
        <f t="shared" ref="V51:V54" si="36">G51/SUM(G$50:G$54)</f>
        <v>3.9113068683059936E-2</v>
      </c>
      <c r="W51" s="128">
        <f t="shared" ref="W51:W54" si="37">H51/SUM(H$50:H$54)</f>
        <v>0.21938096985376038</v>
      </c>
      <c r="X51" s="128"/>
      <c r="Y51" s="128">
        <f t="shared" ref="Y51:Y54" si="38">J51/SUM(J$50:J$54)</f>
        <v>0.21895244339624242</v>
      </c>
      <c r="Z51" s="128">
        <f t="shared" ref="Z51:Z54" si="39">K51/SUM(K$50:K$54)</f>
        <v>0</v>
      </c>
      <c r="AA51" s="128"/>
    </row>
    <row r="52" spans="1:27" ht="17">
      <c r="A52" s="377"/>
      <c r="B52" s="360"/>
      <c r="C52" s="360"/>
      <c r="D52" s="360"/>
      <c r="E52" s="360"/>
      <c r="F52" s="121" t="s">
        <v>177</v>
      </c>
      <c r="G52" s="122">
        <v>69213913.584064662</v>
      </c>
      <c r="H52">
        <v>3918628.2191704465</v>
      </c>
      <c r="I52" s="123"/>
      <c r="J52" s="123">
        <v>17567405.999074034</v>
      </c>
      <c r="K52" s="123">
        <v>10021555.797855699</v>
      </c>
      <c r="L52" s="155">
        <v>2135510.011082367</v>
      </c>
      <c r="N52" s="47">
        <f t="shared" si="1"/>
        <v>3918628.2191704465</v>
      </c>
      <c r="O52">
        <v>3918628.2191704465</v>
      </c>
      <c r="P52" s="47">
        <f t="shared" si="2"/>
        <v>100721503.60016486</v>
      </c>
      <c r="R52">
        <v>3</v>
      </c>
      <c r="S52" t="s">
        <v>113</v>
      </c>
      <c r="T52" s="64">
        <v>2</v>
      </c>
      <c r="U52" s="3" t="s">
        <v>177</v>
      </c>
      <c r="V52" s="128">
        <f t="shared" si="36"/>
        <v>0.3345071685751479</v>
      </c>
      <c r="W52" s="128">
        <f t="shared" si="37"/>
        <v>0.22912322274542585</v>
      </c>
      <c r="X52" s="128"/>
      <c r="Y52" s="128">
        <f t="shared" si="38"/>
        <v>0.3358988556861478</v>
      </c>
      <c r="Z52" s="128">
        <f t="shared" si="39"/>
        <v>0.95069753052188544</v>
      </c>
      <c r="AA52" s="128"/>
    </row>
    <row r="53" spans="1:27" ht="17">
      <c r="A53" s="377"/>
      <c r="B53" s="360"/>
      <c r="C53" s="360"/>
      <c r="D53" s="360"/>
      <c r="E53" s="360"/>
      <c r="F53" s="121" t="s">
        <v>178</v>
      </c>
      <c r="G53" s="122">
        <v>36632396.416932628</v>
      </c>
      <c r="H53">
        <v>3081118.4261475853</v>
      </c>
      <c r="I53" s="123"/>
      <c r="J53" s="123">
        <v>5556460.4864016781</v>
      </c>
      <c r="K53" s="123">
        <v>165336.48692017715</v>
      </c>
      <c r="L53" s="155">
        <v>1416227.7601798403</v>
      </c>
      <c r="N53" s="47">
        <f t="shared" si="1"/>
        <v>3081118.4261475853</v>
      </c>
      <c r="O53">
        <v>3081118.4261475853</v>
      </c>
      <c r="P53" s="47">
        <f t="shared" si="2"/>
        <v>45435311.81640207</v>
      </c>
      <c r="R53">
        <v>3</v>
      </c>
      <c r="S53" t="s">
        <v>113</v>
      </c>
      <c r="T53" s="64">
        <v>2</v>
      </c>
      <c r="U53" s="3" t="s">
        <v>200</v>
      </c>
      <c r="V53" s="128">
        <f t="shared" si="36"/>
        <v>0.17704242642871965</v>
      </c>
      <c r="W53" s="128">
        <f t="shared" si="37"/>
        <v>0.18015380484569068</v>
      </c>
      <c r="X53" s="128"/>
      <c r="Y53" s="128">
        <f t="shared" si="38"/>
        <v>0.10624270419582703</v>
      </c>
      <c r="Z53" s="128">
        <f t="shared" si="39"/>
        <v>1.5684689382641479E-2</v>
      </c>
      <c r="AA53" s="128"/>
    </row>
    <row r="54" spans="1:27" ht="17">
      <c r="A54" s="377"/>
      <c r="B54" s="360"/>
      <c r="C54" s="360"/>
      <c r="D54" s="360"/>
      <c r="E54" s="360"/>
      <c r="F54" s="121" t="s">
        <v>179</v>
      </c>
      <c r="G54" s="122">
        <v>28568403.087492175</v>
      </c>
      <c r="H54">
        <v>809976.53482679871</v>
      </c>
      <c r="I54" s="123"/>
      <c r="J54" s="123">
        <v>1220094.077952391</v>
      </c>
      <c r="K54" s="123">
        <v>133093.4990263689</v>
      </c>
      <c r="L54" s="155">
        <v>1910020.27229296</v>
      </c>
      <c r="N54" s="47">
        <f t="shared" si="1"/>
        <v>809976.53482679871</v>
      </c>
      <c r="O54">
        <v>809976.53482679871</v>
      </c>
      <c r="P54" s="47">
        <f t="shared" si="2"/>
        <v>30731567.199297737</v>
      </c>
      <c r="R54">
        <v>3</v>
      </c>
      <c r="S54" t="s">
        <v>113</v>
      </c>
      <c r="T54" s="66">
        <v>2</v>
      </c>
      <c r="U54" s="3" t="s">
        <v>179</v>
      </c>
      <c r="V54" s="128">
        <f t="shared" si="36"/>
        <v>0.13806957492591065</v>
      </c>
      <c r="W54" s="128">
        <f t="shared" si="37"/>
        <v>4.7359541050560811E-2</v>
      </c>
      <c r="X54" s="128"/>
      <c r="Y54" s="128">
        <f t="shared" si="38"/>
        <v>2.3328896971770079E-2</v>
      </c>
      <c r="Z54" s="128">
        <f t="shared" si="39"/>
        <v>1.2625949843033325E-2</v>
      </c>
      <c r="AA54" s="128"/>
    </row>
    <row r="55" spans="1:27" ht="17">
      <c r="A55" s="377"/>
      <c r="B55" s="360"/>
      <c r="C55" s="360"/>
      <c r="D55" s="360" t="s">
        <v>181</v>
      </c>
      <c r="E55" s="360" t="s">
        <v>174</v>
      </c>
      <c r="F55" s="121" t="s">
        <v>175</v>
      </c>
      <c r="G55" s="122">
        <v>116710284.60466304</v>
      </c>
      <c r="H55">
        <v>19709525.881380558</v>
      </c>
      <c r="I55" s="123"/>
      <c r="J55" s="123">
        <v>6962254.0383947622</v>
      </c>
      <c r="K55" s="123">
        <v>0</v>
      </c>
      <c r="L55" s="155">
        <v>12258974.122486863</v>
      </c>
      <c r="N55" s="47">
        <f t="shared" si="1"/>
        <v>19709525.881380558</v>
      </c>
      <c r="O55">
        <v>19709525.881380558</v>
      </c>
      <c r="P55" s="47">
        <f t="shared" si="2"/>
        <v>143382064.52443835</v>
      </c>
      <c r="R55">
        <v>3</v>
      </c>
      <c r="S55" t="s">
        <v>113</v>
      </c>
      <c r="T55" s="64">
        <v>3</v>
      </c>
      <c r="U55" s="3" t="s">
        <v>175</v>
      </c>
      <c r="V55" s="128">
        <f>G55/SUM(G$55:G$59)</f>
        <v>0.43878540550897488</v>
      </c>
      <c r="W55" s="128">
        <f t="shared" ref="W55:Z55" si="40">H55/SUM(H$55:H$59)</f>
        <v>0.44627064693645857</v>
      </c>
      <c r="X55" s="128"/>
      <c r="Y55" s="128">
        <f t="shared" si="40"/>
        <v>0.2573403840013947</v>
      </c>
      <c r="Z55" s="128">
        <f t="shared" si="40"/>
        <v>0</v>
      </c>
      <c r="AA55" s="128"/>
    </row>
    <row r="56" spans="1:27" ht="17">
      <c r="A56" s="377"/>
      <c r="B56" s="360"/>
      <c r="C56" s="360"/>
      <c r="D56" s="360"/>
      <c r="E56" s="360"/>
      <c r="F56" s="121" t="s">
        <v>176</v>
      </c>
      <c r="G56" s="122">
        <v>4926758.7732418776</v>
      </c>
      <c r="H56">
        <v>11694862.915211042</v>
      </c>
      <c r="I56" s="123"/>
      <c r="J56" s="123">
        <v>1836086.7427130355</v>
      </c>
      <c r="K56" s="123">
        <v>0</v>
      </c>
      <c r="L56" s="155">
        <v>1683146.3159352764</v>
      </c>
      <c r="N56" s="47">
        <f t="shared" si="1"/>
        <v>11694862.915211042</v>
      </c>
      <c r="O56">
        <v>11694862.915211042</v>
      </c>
      <c r="P56" s="47">
        <f t="shared" si="2"/>
        <v>18457708.431165956</v>
      </c>
      <c r="R56">
        <v>3</v>
      </c>
      <c r="S56" t="s">
        <v>113</v>
      </c>
      <c r="T56" s="64">
        <v>3</v>
      </c>
      <c r="U56" s="3" t="s">
        <v>176</v>
      </c>
      <c r="V56" s="128">
        <f t="shared" ref="V56:V59" si="41">G56/SUM(G$55:G$59)</f>
        <v>1.8522702206446889E-2</v>
      </c>
      <c r="W56" s="128">
        <f t="shared" ref="W56:W59" si="42">H56/SUM(H$55:H$59)</f>
        <v>0.26479957308028651</v>
      </c>
      <c r="X56" s="128"/>
      <c r="Y56" s="128">
        <f t="shared" ref="Y56:Y59" si="43">J56/SUM(J$55:J$59)</f>
        <v>6.786584701218161E-2</v>
      </c>
      <c r="Z56" s="128">
        <f t="shared" ref="Z56:Z59" si="44">K56/SUM(K$55:K$59)</f>
        <v>0</v>
      </c>
      <c r="AA56" s="128"/>
    </row>
    <row r="57" spans="1:27" ht="17">
      <c r="A57" s="377"/>
      <c r="B57" s="360"/>
      <c r="C57" s="360"/>
      <c r="D57" s="360"/>
      <c r="E57" s="360"/>
      <c r="F57" s="121" t="s">
        <v>177</v>
      </c>
      <c r="G57" s="122">
        <v>74784688.967899621</v>
      </c>
      <c r="H57">
        <v>7120313.9405709673</v>
      </c>
      <c r="I57" s="123"/>
      <c r="J57" s="123">
        <v>17601384.490011223</v>
      </c>
      <c r="K57" s="123">
        <v>2254690.4956976352</v>
      </c>
      <c r="L57" s="155">
        <v>2936361.5558326459</v>
      </c>
      <c r="N57" s="47">
        <f t="shared" si="1"/>
        <v>7120313.9405709673</v>
      </c>
      <c r="O57">
        <v>7120313.9405709673</v>
      </c>
      <c r="P57" s="47">
        <f t="shared" si="2"/>
        <v>101761077.89417945</v>
      </c>
      <c r="R57">
        <v>3</v>
      </c>
      <c r="S57" t="s">
        <v>113</v>
      </c>
      <c r="T57" s="64">
        <v>3</v>
      </c>
      <c r="U57" s="3" t="s">
        <v>177</v>
      </c>
      <c r="V57" s="128">
        <f t="shared" si="41"/>
        <v>0.28116142622559698</v>
      </c>
      <c r="W57" s="128">
        <f t="shared" si="42"/>
        <v>0.16122088008474789</v>
      </c>
      <c r="X57" s="128"/>
      <c r="Y57" s="128">
        <f t="shared" si="43"/>
        <v>0.65058629269150114</v>
      </c>
      <c r="Z57" s="128">
        <f t="shared" si="44"/>
        <v>1</v>
      </c>
      <c r="AA57" s="128"/>
    </row>
    <row r="58" spans="1:27" ht="17">
      <c r="A58" s="377"/>
      <c r="B58" s="360"/>
      <c r="C58" s="360"/>
      <c r="D58" s="360"/>
      <c r="E58" s="360"/>
      <c r="F58" s="121" t="s">
        <v>178</v>
      </c>
      <c r="G58" s="122">
        <v>43523482.301416323</v>
      </c>
      <c r="H58">
        <v>4408651.1881563412</v>
      </c>
      <c r="I58" s="123"/>
      <c r="J58" s="123">
        <v>41328.95264157089</v>
      </c>
      <c r="K58" s="123">
        <v>0</v>
      </c>
      <c r="L58" s="155">
        <v>1508796.9364824884</v>
      </c>
      <c r="N58" s="47">
        <f t="shared" si="1"/>
        <v>4408651.1881563412</v>
      </c>
      <c r="O58">
        <v>4408651.1881563412</v>
      </c>
      <c r="P58" s="47">
        <f t="shared" si="2"/>
        <v>47973462.442214236</v>
      </c>
      <c r="R58">
        <v>3</v>
      </c>
      <c r="S58" t="s">
        <v>113</v>
      </c>
      <c r="T58" s="64">
        <v>3</v>
      </c>
      <c r="U58" s="3" t="s">
        <v>200</v>
      </c>
      <c r="V58" s="128">
        <f t="shared" si="41"/>
        <v>0.16363141342238344</v>
      </c>
      <c r="W58" s="128">
        <f t="shared" si="42"/>
        <v>9.9822371664168436E-2</v>
      </c>
      <c r="X58" s="128"/>
      <c r="Y58" s="128">
        <f t="shared" si="43"/>
        <v>1.5276099499537202E-3</v>
      </c>
      <c r="Z58" s="128">
        <f t="shared" si="44"/>
        <v>0</v>
      </c>
      <c r="AA58" s="128"/>
    </row>
    <row r="59" spans="1:27" ht="17">
      <c r="A59" s="377"/>
      <c r="B59" s="360"/>
      <c r="C59" s="360"/>
      <c r="D59" s="360"/>
      <c r="E59" s="360"/>
      <c r="F59" s="121" t="s">
        <v>179</v>
      </c>
      <c r="G59" s="122">
        <v>26039668.029730137</v>
      </c>
      <c r="H59">
        <v>1231607.4421421743</v>
      </c>
      <c r="I59" s="123"/>
      <c r="J59" s="123">
        <v>613595.84762901766</v>
      </c>
      <c r="K59" s="123">
        <v>0</v>
      </c>
      <c r="L59" s="155">
        <v>1566224.5780481494</v>
      </c>
      <c r="N59" s="47">
        <f t="shared" si="1"/>
        <v>1231607.4421421743</v>
      </c>
      <c r="O59">
        <v>1231607.4421421743</v>
      </c>
      <c r="P59" s="47">
        <f t="shared" si="2"/>
        <v>27884871.319501329</v>
      </c>
      <c r="R59">
        <v>3</v>
      </c>
      <c r="S59" t="s">
        <v>113</v>
      </c>
      <c r="T59" s="66">
        <v>3</v>
      </c>
      <c r="U59" s="3" t="s">
        <v>179</v>
      </c>
      <c r="V59" s="128">
        <f t="shared" si="41"/>
        <v>9.7899052636597886E-2</v>
      </c>
      <c r="W59" s="128">
        <f t="shared" si="42"/>
        <v>2.7886528234338539E-2</v>
      </c>
      <c r="X59" s="128"/>
      <c r="Y59" s="128">
        <f t="shared" si="43"/>
        <v>2.2679866344968828E-2</v>
      </c>
      <c r="Z59" s="128">
        <f t="shared" si="44"/>
        <v>0</v>
      </c>
      <c r="AA59" s="128"/>
    </row>
    <row r="60" spans="1:27" ht="17">
      <c r="A60" s="377"/>
      <c r="B60" s="360"/>
      <c r="C60" s="360"/>
      <c r="D60" s="360" t="s">
        <v>182</v>
      </c>
      <c r="E60" s="360" t="s">
        <v>174</v>
      </c>
      <c r="F60" s="121" t="s">
        <v>175</v>
      </c>
      <c r="G60" s="122">
        <v>74179042.120196506</v>
      </c>
      <c r="H60">
        <v>10962559.123539984</v>
      </c>
      <c r="I60" s="123"/>
      <c r="J60" s="123">
        <v>0</v>
      </c>
      <c r="K60" s="123">
        <v>0</v>
      </c>
      <c r="L60" s="155">
        <v>12060840.143201208</v>
      </c>
      <c r="N60" s="47">
        <f t="shared" si="1"/>
        <v>10962559.123539984</v>
      </c>
      <c r="O60">
        <v>10962559.123539984</v>
      </c>
      <c r="P60" s="47">
        <f t="shared" si="2"/>
        <v>85141601.243736491</v>
      </c>
      <c r="R60">
        <v>3</v>
      </c>
      <c r="S60" t="s">
        <v>113</v>
      </c>
      <c r="T60" s="64">
        <v>4</v>
      </c>
      <c r="U60" s="3" t="s">
        <v>175</v>
      </c>
      <c r="V60" s="128">
        <f>G60/SUM(G$60:G$64)</f>
        <v>0.42352351678081296</v>
      </c>
      <c r="W60" s="128">
        <f t="shared" ref="W60:Y60" si="45">H60/SUM(H$60:H$64)</f>
        <v>0.36086894506922901</v>
      </c>
      <c r="X60" s="128"/>
      <c r="Y60" s="128">
        <f t="shared" si="45"/>
        <v>0</v>
      </c>
      <c r="Z60" s="128">
        <v>0</v>
      </c>
      <c r="AA60" s="128"/>
    </row>
    <row r="61" spans="1:27" ht="17">
      <c r="A61" s="377"/>
      <c r="B61" s="360"/>
      <c r="C61" s="360"/>
      <c r="D61" s="360"/>
      <c r="E61" s="360"/>
      <c r="F61" s="121" t="s">
        <v>176</v>
      </c>
      <c r="G61" s="122">
        <v>3180471.1033630664</v>
      </c>
      <c r="H61">
        <v>8235833.2737576906</v>
      </c>
      <c r="I61" s="123"/>
      <c r="J61" s="123">
        <v>0</v>
      </c>
      <c r="K61" s="123">
        <v>0</v>
      </c>
      <c r="L61" s="155">
        <v>153056.67178644892</v>
      </c>
      <c r="N61" s="47">
        <f t="shared" si="1"/>
        <v>8235833.2737576906</v>
      </c>
      <c r="O61">
        <v>8235833.2737576906</v>
      </c>
      <c r="P61" s="47">
        <f t="shared" si="2"/>
        <v>11416304.377120757</v>
      </c>
      <c r="R61">
        <v>3</v>
      </c>
      <c r="S61" t="s">
        <v>113</v>
      </c>
      <c r="T61" s="64">
        <v>4</v>
      </c>
      <c r="U61" s="3" t="s">
        <v>176</v>
      </c>
      <c r="V61" s="128">
        <f t="shared" ref="V61:V64" si="46">G61/SUM(G$60:G$64)</f>
        <v>1.8158825838347319E-2</v>
      </c>
      <c r="W61" s="128">
        <f t="shared" ref="W61:W64" si="47">H61/SUM(H$60:H$64)</f>
        <v>0.27110973193157734</v>
      </c>
      <c r="X61" s="128"/>
      <c r="Y61" s="128">
        <f t="shared" ref="Y61:Y64" si="48">J61/SUM(J$60:J$64)</f>
        <v>0</v>
      </c>
      <c r="Z61" s="128">
        <v>0</v>
      </c>
      <c r="AA61" s="128"/>
    </row>
    <row r="62" spans="1:27" ht="17">
      <c r="A62" s="377"/>
      <c r="B62" s="360"/>
      <c r="C62" s="360"/>
      <c r="D62" s="360"/>
      <c r="E62" s="360"/>
      <c r="F62" s="121" t="s">
        <v>177</v>
      </c>
      <c r="G62" s="122">
        <v>72303599.46418713</v>
      </c>
      <c r="H62">
        <v>8755663.0302759856</v>
      </c>
      <c r="I62" s="123"/>
      <c r="J62" s="123">
        <v>4823912.474553341</v>
      </c>
      <c r="K62" s="123">
        <v>0</v>
      </c>
      <c r="L62" s="155">
        <v>5474895.1866836306</v>
      </c>
      <c r="N62" s="47">
        <f t="shared" si="1"/>
        <v>8755663.0302759856</v>
      </c>
      <c r="O62">
        <v>8755663.0302759856</v>
      </c>
      <c r="P62" s="47">
        <f t="shared" si="2"/>
        <v>85883174.969016463</v>
      </c>
      <c r="R62">
        <v>3</v>
      </c>
      <c r="S62" t="s">
        <v>113</v>
      </c>
      <c r="T62" s="64">
        <v>4</v>
      </c>
      <c r="U62" s="3" t="s">
        <v>177</v>
      </c>
      <c r="V62" s="128">
        <f t="shared" si="46"/>
        <v>0.41281572052878263</v>
      </c>
      <c r="W62" s="128">
        <f t="shared" si="47"/>
        <v>0.28822165021054352</v>
      </c>
      <c r="X62" s="128"/>
      <c r="Y62" s="128">
        <f t="shared" si="48"/>
        <v>0.95186106964974515</v>
      </c>
      <c r="Z62" s="128">
        <v>0</v>
      </c>
      <c r="AA62" s="128"/>
    </row>
    <row r="63" spans="1:27" ht="17">
      <c r="A63" s="377"/>
      <c r="B63" s="360"/>
      <c r="C63" s="360"/>
      <c r="D63" s="360"/>
      <c r="E63" s="360"/>
      <c r="F63" s="121" t="s">
        <v>178</v>
      </c>
      <c r="G63" s="122">
        <v>14711256.997950513</v>
      </c>
      <c r="H63">
        <v>1446749.8408242953</v>
      </c>
      <c r="I63" s="123"/>
      <c r="J63" s="123">
        <v>0</v>
      </c>
      <c r="K63" s="123">
        <v>0</v>
      </c>
      <c r="L63" s="155">
        <v>1595594.9236853644</v>
      </c>
      <c r="N63" s="47">
        <f t="shared" si="1"/>
        <v>1446749.8408242953</v>
      </c>
      <c r="O63">
        <v>1446749.8408242953</v>
      </c>
      <c r="P63" s="47">
        <f t="shared" si="2"/>
        <v>16158006.838774808</v>
      </c>
      <c r="R63">
        <v>3</v>
      </c>
      <c r="S63" t="s">
        <v>113</v>
      </c>
      <c r="T63" s="64">
        <v>4</v>
      </c>
      <c r="U63" s="3" t="s">
        <v>200</v>
      </c>
      <c r="V63" s="128">
        <f t="shared" si="46"/>
        <v>8.3993579883959821E-2</v>
      </c>
      <c r="W63" s="128">
        <f t="shared" si="47"/>
        <v>4.762456311102186E-2</v>
      </c>
      <c r="X63" s="128"/>
      <c r="Y63" s="128">
        <f t="shared" si="48"/>
        <v>0</v>
      </c>
      <c r="Z63" s="128">
        <v>0</v>
      </c>
      <c r="AA63" s="128"/>
    </row>
    <row r="64" spans="1:27" ht="17">
      <c r="A64" s="377"/>
      <c r="B64" s="360"/>
      <c r="C64" s="360"/>
      <c r="D64" s="360"/>
      <c r="E64" s="360"/>
      <c r="F64" s="121" t="s">
        <v>179</v>
      </c>
      <c r="G64" s="122">
        <v>10773028.7020682</v>
      </c>
      <c r="H64">
        <v>977422.8205747027</v>
      </c>
      <c r="I64" s="123"/>
      <c r="J64" s="123">
        <v>243962.05920439356</v>
      </c>
      <c r="K64" s="123">
        <v>0</v>
      </c>
      <c r="L64" s="155">
        <v>437236.78741559712</v>
      </c>
      <c r="N64" s="47">
        <f t="shared" si="1"/>
        <v>977422.8205747027</v>
      </c>
      <c r="O64">
        <v>977422.8205747027</v>
      </c>
      <c r="P64" s="47">
        <f t="shared" si="2"/>
        <v>11994413.581847297</v>
      </c>
      <c r="R64" s="10">
        <v>3</v>
      </c>
      <c r="S64" s="10" t="s">
        <v>113</v>
      </c>
      <c r="T64" s="90">
        <v>4</v>
      </c>
      <c r="U64" s="89" t="s">
        <v>179</v>
      </c>
      <c r="V64" s="129">
        <f t="shared" si="46"/>
        <v>6.1508356968097151E-2</v>
      </c>
      <c r="W64" s="129">
        <f t="shared" si="47"/>
        <v>3.2175109677628259E-2</v>
      </c>
      <c r="X64" s="129"/>
      <c r="Y64" s="129">
        <f t="shared" si="48"/>
        <v>4.8138930350254787E-2</v>
      </c>
      <c r="Z64" s="129">
        <v>0</v>
      </c>
      <c r="AA64" s="129"/>
    </row>
    <row r="65" spans="1:27" ht="17">
      <c r="A65" s="377"/>
      <c r="B65" s="360" t="s">
        <v>234</v>
      </c>
      <c r="C65" s="360" t="s">
        <v>172</v>
      </c>
      <c r="D65" s="360" t="s">
        <v>173</v>
      </c>
      <c r="E65" s="360" t="s">
        <v>174</v>
      </c>
      <c r="F65" s="121" t="s">
        <v>175</v>
      </c>
      <c r="G65" s="122">
        <v>109809470.61965407</v>
      </c>
      <c r="H65">
        <v>2268944.9717436638</v>
      </c>
      <c r="I65" s="123"/>
      <c r="J65" s="123">
        <v>133142681.52964103</v>
      </c>
      <c r="K65" s="123">
        <v>24619544.634478606</v>
      </c>
      <c r="L65" s="155">
        <v>27819108.947601009</v>
      </c>
      <c r="N65" s="47">
        <f t="shared" si="1"/>
        <v>2268944.9717436638</v>
      </c>
      <c r="O65">
        <v>2268944.9717436638</v>
      </c>
      <c r="P65" s="47">
        <f t="shared" si="2"/>
        <v>269840641.75551736</v>
      </c>
      <c r="R65">
        <v>2</v>
      </c>
      <c r="S65" t="s">
        <v>114</v>
      </c>
      <c r="T65" s="64">
        <v>1</v>
      </c>
      <c r="U65" s="3" t="s">
        <v>175</v>
      </c>
      <c r="V65" s="128">
        <f>G65/SUM(G$65:G$69)</f>
        <v>0.13062932368804128</v>
      </c>
      <c r="W65" s="128">
        <f t="shared" ref="W65:Z65" si="49">H65/SUM(H$65:H$69)</f>
        <v>0.34298215624436001</v>
      </c>
      <c r="X65" s="128"/>
      <c r="Y65" s="128">
        <f t="shared" si="49"/>
        <v>0.17404989774900975</v>
      </c>
      <c r="Z65" s="128">
        <f t="shared" si="49"/>
        <v>5.5380370692982399E-2</v>
      </c>
      <c r="AA65" s="128"/>
    </row>
    <row r="66" spans="1:27" ht="17">
      <c r="A66" s="377"/>
      <c r="B66" s="360"/>
      <c r="C66" s="360"/>
      <c r="D66" s="360"/>
      <c r="E66" s="360"/>
      <c r="F66" s="121" t="s">
        <v>176</v>
      </c>
      <c r="G66" s="122">
        <v>24196359.454060119</v>
      </c>
      <c r="H66">
        <v>1756777.1252692384</v>
      </c>
      <c r="I66" s="123"/>
      <c r="J66" s="123">
        <v>115972170.05676851</v>
      </c>
      <c r="K66" s="123">
        <v>32411975.369637113</v>
      </c>
      <c r="L66" s="155">
        <v>2567525.9548204183</v>
      </c>
      <c r="N66" s="47">
        <f t="shared" si="1"/>
        <v>1756777.1252692384</v>
      </c>
      <c r="O66">
        <v>1756777.1252692384</v>
      </c>
      <c r="P66" s="47">
        <f t="shared" si="2"/>
        <v>174337282.00573495</v>
      </c>
      <c r="R66">
        <v>2</v>
      </c>
      <c r="S66" t="s">
        <v>114</v>
      </c>
      <c r="T66" s="64">
        <v>1</v>
      </c>
      <c r="U66" s="3" t="s">
        <v>176</v>
      </c>
      <c r="V66" s="128">
        <f t="shared" ref="V66:V69" si="50">G66/SUM(G$65:G$69)</f>
        <v>2.8783984235244049E-2</v>
      </c>
      <c r="W66" s="128">
        <f t="shared" ref="W66:W69" si="51">H66/SUM(H$65:H$69)</f>
        <v>0.26556096069732471</v>
      </c>
      <c r="X66" s="128"/>
      <c r="Y66" s="128">
        <f t="shared" ref="Y66:Y69" si="52">J66/SUM(J$65:J$69)</f>
        <v>0.15160385916981575</v>
      </c>
      <c r="Z66" s="128">
        <f t="shared" ref="Z66:Z69" si="53">K66/SUM(K$65:K$69)</f>
        <v>7.2909033758021533E-2</v>
      </c>
      <c r="AA66" s="128"/>
    </row>
    <row r="67" spans="1:27" ht="17">
      <c r="A67" s="377"/>
      <c r="B67" s="360"/>
      <c r="C67" s="360"/>
      <c r="D67" s="360"/>
      <c r="E67" s="360"/>
      <c r="F67" s="121" t="s">
        <v>177</v>
      </c>
      <c r="G67" s="122">
        <v>264166897.78800607</v>
      </c>
      <c r="H67">
        <v>1314576.4653585679</v>
      </c>
      <c r="I67" s="123"/>
      <c r="J67" s="123">
        <v>261491640.52209783</v>
      </c>
      <c r="K67" s="123">
        <v>277874633.76352525</v>
      </c>
      <c r="L67" s="155">
        <v>14447961.928030062</v>
      </c>
      <c r="N67" s="47">
        <f t="shared" si="1"/>
        <v>1314576.4653585679</v>
      </c>
      <c r="O67">
        <v>1314576.4653585679</v>
      </c>
      <c r="P67" s="47">
        <f t="shared" si="2"/>
        <v>804847748.53898764</v>
      </c>
      <c r="R67">
        <v>2</v>
      </c>
      <c r="S67" t="s">
        <v>114</v>
      </c>
      <c r="T67" s="64">
        <v>1</v>
      </c>
      <c r="U67" s="3" t="s">
        <v>177</v>
      </c>
      <c r="V67" s="128">
        <f t="shared" si="50"/>
        <v>0.31425288733373435</v>
      </c>
      <c r="W67" s="128">
        <f t="shared" si="51"/>
        <v>0.19871626515925439</v>
      </c>
      <c r="X67" s="128"/>
      <c r="Y67" s="128">
        <f t="shared" si="52"/>
        <v>0.34183323313162839</v>
      </c>
      <c r="Z67" s="128">
        <f t="shared" si="53"/>
        <v>0.62506437273617976</v>
      </c>
      <c r="AA67" s="128"/>
    </row>
    <row r="68" spans="1:27" ht="17">
      <c r="A68" s="377"/>
      <c r="B68" s="360"/>
      <c r="C68" s="360"/>
      <c r="D68" s="360"/>
      <c r="E68" s="360"/>
      <c r="F68" s="121" t="s">
        <v>178</v>
      </c>
      <c r="G68" s="122">
        <v>302194124.25985998</v>
      </c>
      <c r="H68">
        <v>867053.73766555334</v>
      </c>
      <c r="I68" s="123"/>
      <c r="J68" s="123">
        <v>172630796.99890769</v>
      </c>
      <c r="K68" s="123">
        <v>78745716.064768776</v>
      </c>
      <c r="L68" s="155">
        <v>12635248.858651381</v>
      </c>
      <c r="N68" s="47">
        <f t="shared" si="1"/>
        <v>867053.73766555334</v>
      </c>
      <c r="O68">
        <v>867053.73766555334</v>
      </c>
      <c r="P68" s="47">
        <f t="shared" si="2"/>
        <v>554437691.06120193</v>
      </c>
      <c r="R68">
        <v>2</v>
      </c>
      <c r="S68" t="s">
        <v>114</v>
      </c>
      <c r="T68" s="64">
        <v>1</v>
      </c>
      <c r="U68" s="3" t="s">
        <v>200</v>
      </c>
      <c r="V68" s="128">
        <f t="shared" si="50"/>
        <v>0.35949006813170059</v>
      </c>
      <c r="W68" s="128">
        <f t="shared" si="51"/>
        <v>0.13106706607156113</v>
      </c>
      <c r="X68" s="128"/>
      <c r="Y68" s="128">
        <f t="shared" si="52"/>
        <v>0.22567047787227296</v>
      </c>
      <c r="Z68" s="128">
        <f t="shared" si="53"/>
        <v>0.17713434634545955</v>
      </c>
      <c r="AA68" s="128"/>
    </row>
    <row r="69" spans="1:27" ht="17">
      <c r="A69" s="377"/>
      <c r="B69" s="360"/>
      <c r="C69" s="360"/>
      <c r="D69" s="360"/>
      <c r="E69" s="360"/>
      <c r="F69" s="121" t="s">
        <v>179</v>
      </c>
      <c r="G69" s="122">
        <v>140251988.42215899</v>
      </c>
      <c r="H69">
        <v>407991.76505520887</v>
      </c>
      <c r="I69" s="123"/>
      <c r="J69" s="123">
        <v>81731166.787001297</v>
      </c>
      <c r="K69" s="123">
        <v>30901756.775913198</v>
      </c>
      <c r="L69" s="155">
        <v>4031278.5595131274</v>
      </c>
      <c r="N69" s="47">
        <f t="shared" si="1"/>
        <v>407991.76505520887</v>
      </c>
      <c r="O69">
        <v>407991.76505520887</v>
      </c>
      <c r="P69" s="47">
        <f t="shared" si="2"/>
        <v>253292903.75012872</v>
      </c>
      <c r="R69">
        <v>2</v>
      </c>
      <c r="S69" t="s">
        <v>114</v>
      </c>
      <c r="T69" s="66">
        <v>1</v>
      </c>
      <c r="U69" s="3" t="s">
        <v>179</v>
      </c>
      <c r="V69" s="128">
        <f t="shared" si="50"/>
        <v>0.16684373661127974</v>
      </c>
      <c r="W69" s="128">
        <f t="shared" si="51"/>
        <v>6.1673551827499784E-2</v>
      </c>
      <c r="X69" s="128"/>
      <c r="Y69" s="128">
        <f t="shared" si="52"/>
        <v>0.10684253207727316</v>
      </c>
      <c r="Z69" s="128">
        <f t="shared" si="53"/>
        <v>6.9511876467356792E-2</v>
      </c>
      <c r="AA69" s="128"/>
    </row>
    <row r="70" spans="1:27" ht="17">
      <c r="A70" s="377"/>
      <c r="B70" s="360"/>
      <c r="C70" s="360"/>
      <c r="D70" s="360" t="s">
        <v>180</v>
      </c>
      <c r="E70" s="360" t="s">
        <v>174</v>
      </c>
      <c r="F70" s="121" t="s">
        <v>175</v>
      </c>
      <c r="G70" s="122">
        <v>95375208.634947851</v>
      </c>
      <c r="H70">
        <v>3800471.387201597</v>
      </c>
      <c r="I70" s="123"/>
      <c r="J70" s="123">
        <v>23768185.959528323</v>
      </c>
      <c r="K70" s="123">
        <v>22882.658988377636</v>
      </c>
      <c r="L70" s="155">
        <v>19950893.526681848</v>
      </c>
      <c r="N70" s="47">
        <f t="shared" ref="N70:N104" si="54">H70+I70</f>
        <v>3800471.387201597</v>
      </c>
      <c r="O70">
        <v>3800471.387201597</v>
      </c>
      <c r="P70" s="47">
        <f t="shared" ref="P70:P104" si="55">SUM(G70:K70)</f>
        <v>122966748.64066614</v>
      </c>
      <c r="R70">
        <v>2</v>
      </c>
      <c r="S70" t="s">
        <v>114</v>
      </c>
      <c r="T70" s="64">
        <v>2</v>
      </c>
      <c r="U70" s="3" t="s">
        <v>175</v>
      </c>
      <c r="V70" s="128">
        <f>G70/SUM(G$70:G$74)</f>
        <v>0.27378018716839075</v>
      </c>
      <c r="W70" s="128">
        <f t="shared" ref="W70:Z70" si="56">H70/SUM(H$70:H$74)</f>
        <v>0.23429738114563348</v>
      </c>
      <c r="X70" s="128"/>
      <c r="Y70" s="128">
        <f t="shared" si="56"/>
        <v>0.28998965796012544</v>
      </c>
      <c r="Z70" s="128">
        <f t="shared" si="56"/>
        <v>1.5661327684621275E-3</v>
      </c>
      <c r="AA70" s="128"/>
    </row>
    <row r="71" spans="1:27" ht="17">
      <c r="A71" s="377"/>
      <c r="B71" s="360"/>
      <c r="C71" s="360"/>
      <c r="D71" s="360"/>
      <c r="E71" s="360"/>
      <c r="F71" s="121" t="s">
        <v>176</v>
      </c>
      <c r="G71" s="122">
        <v>8056053.4635376539</v>
      </c>
      <c r="H71">
        <v>7442249.210914636</v>
      </c>
      <c r="I71" s="123"/>
      <c r="J71" s="123">
        <v>26366499.526491448</v>
      </c>
      <c r="K71" s="123">
        <v>0</v>
      </c>
      <c r="L71" s="155">
        <v>3020691.3655172442</v>
      </c>
      <c r="N71" s="47">
        <f t="shared" si="54"/>
        <v>7442249.210914636</v>
      </c>
      <c r="O71">
        <v>7442249.210914636</v>
      </c>
      <c r="P71" s="47">
        <f t="shared" si="55"/>
        <v>41864802.200943738</v>
      </c>
      <c r="R71">
        <v>2</v>
      </c>
      <c r="S71" t="s">
        <v>114</v>
      </c>
      <c r="T71" s="64">
        <v>2</v>
      </c>
      <c r="U71" s="3" t="s">
        <v>176</v>
      </c>
      <c r="V71" s="128">
        <f t="shared" ref="V71:V74" si="57">G71/SUM(G$70:G$74)</f>
        <v>2.3125378771415021E-2</v>
      </c>
      <c r="W71" s="128">
        <f t="shared" ref="W71:W74" si="58">H71/SUM(H$70:H$74)</f>
        <v>0.45881137424754975</v>
      </c>
      <c r="X71" s="128"/>
      <c r="Y71" s="128">
        <f t="shared" ref="Y71:Y74" si="59">J71/SUM(J$70:J$74)</f>
        <v>0.32169102817995615</v>
      </c>
      <c r="Z71" s="128">
        <f t="shared" ref="Z71:Z74" si="60">K71/SUM(K$70:K$74)</f>
        <v>0</v>
      </c>
      <c r="AA71" s="128"/>
    </row>
    <row r="72" spans="1:27" ht="17">
      <c r="A72" s="377"/>
      <c r="B72" s="360"/>
      <c r="C72" s="360"/>
      <c r="D72" s="360"/>
      <c r="E72" s="360"/>
      <c r="F72" s="121" t="s">
        <v>177</v>
      </c>
      <c r="G72" s="122">
        <v>122643160.35038956</v>
      </c>
      <c r="H72">
        <v>2569306.4516314096</v>
      </c>
      <c r="I72" s="123"/>
      <c r="J72" s="123">
        <v>22422363.364764575</v>
      </c>
      <c r="K72" s="123">
        <v>13886492.190606434</v>
      </c>
      <c r="L72" s="155">
        <v>5760301.4344215021</v>
      </c>
      <c r="N72" s="47">
        <f t="shared" si="54"/>
        <v>2569306.4516314096</v>
      </c>
      <c r="O72">
        <v>2569306.4516314096</v>
      </c>
      <c r="P72" s="47">
        <f t="shared" si="55"/>
        <v>161521322.35739198</v>
      </c>
      <c r="R72">
        <v>2</v>
      </c>
      <c r="S72" t="s">
        <v>114</v>
      </c>
      <c r="T72" s="64">
        <v>2</v>
      </c>
      <c r="U72" s="3" t="s">
        <v>177</v>
      </c>
      <c r="V72" s="128">
        <f t="shared" si="57"/>
        <v>0.35205445813671404</v>
      </c>
      <c r="W72" s="128">
        <f t="shared" si="58"/>
        <v>0.158396607064335</v>
      </c>
      <c r="X72" s="128"/>
      <c r="Y72" s="128">
        <f t="shared" si="59"/>
        <v>0.2735696150256291</v>
      </c>
      <c r="Z72" s="128">
        <f t="shared" si="60"/>
        <v>0.95041797676346407</v>
      </c>
      <c r="AA72" s="128"/>
    </row>
    <row r="73" spans="1:27" ht="17">
      <c r="A73" s="377"/>
      <c r="B73" s="360"/>
      <c r="C73" s="360"/>
      <c r="D73" s="360"/>
      <c r="E73" s="360"/>
      <c r="F73" s="121" t="s">
        <v>178</v>
      </c>
      <c r="G73" s="122">
        <v>79673474.264633432</v>
      </c>
      <c r="H73">
        <v>2096047.5329105698</v>
      </c>
      <c r="I73" s="123"/>
      <c r="J73" s="123">
        <v>7308692.2742020935</v>
      </c>
      <c r="K73" s="123">
        <v>299188.65876709437</v>
      </c>
      <c r="L73" s="155">
        <v>2832414.0465723015</v>
      </c>
      <c r="N73" s="47">
        <f t="shared" si="54"/>
        <v>2096047.5329105698</v>
      </c>
      <c r="O73">
        <v>2096047.5329105698</v>
      </c>
      <c r="P73" s="47">
        <f t="shared" si="55"/>
        <v>89377402.730513185</v>
      </c>
      <c r="R73">
        <v>2</v>
      </c>
      <c r="S73" t="s">
        <v>114</v>
      </c>
      <c r="T73" s="64">
        <v>2</v>
      </c>
      <c r="U73" s="3" t="s">
        <v>200</v>
      </c>
      <c r="V73" s="128">
        <f t="shared" si="57"/>
        <v>0.22870742836345914</v>
      </c>
      <c r="W73" s="128">
        <f t="shared" si="58"/>
        <v>0.12922040391397954</v>
      </c>
      <c r="X73" s="128"/>
      <c r="Y73" s="128">
        <f t="shared" si="59"/>
        <v>8.9171515922190997E-2</v>
      </c>
      <c r="Z73" s="128">
        <f t="shared" si="60"/>
        <v>2.0477041705921149E-2</v>
      </c>
      <c r="AA73" s="128"/>
    </row>
    <row r="74" spans="1:27" ht="17">
      <c r="A74" s="377"/>
      <c r="B74" s="360"/>
      <c r="C74" s="360"/>
      <c r="D74" s="360"/>
      <c r="E74" s="360"/>
      <c r="F74" s="121" t="s">
        <v>179</v>
      </c>
      <c r="G74" s="122">
        <v>42616276.827970386</v>
      </c>
      <c r="H74">
        <v>312641.87869786692</v>
      </c>
      <c r="I74" s="123"/>
      <c r="J74" s="123">
        <v>2096443.7567810721</v>
      </c>
      <c r="K74" s="123">
        <v>402368.2396835594</v>
      </c>
      <c r="L74" s="155">
        <v>1058372.2112443873</v>
      </c>
      <c r="N74" s="47">
        <f t="shared" si="54"/>
        <v>312641.87869786692</v>
      </c>
      <c r="O74">
        <v>312641.87869786692</v>
      </c>
      <c r="P74" s="47">
        <f t="shared" si="55"/>
        <v>45427730.703132883</v>
      </c>
      <c r="R74">
        <v>2</v>
      </c>
      <c r="S74" t="s">
        <v>114</v>
      </c>
      <c r="T74" s="66">
        <v>2</v>
      </c>
      <c r="U74" s="3" t="s">
        <v>179</v>
      </c>
      <c r="V74" s="128">
        <f t="shared" si="57"/>
        <v>0.12233254756002103</v>
      </c>
      <c r="W74" s="128">
        <f t="shared" si="58"/>
        <v>1.9274233628502099E-2</v>
      </c>
      <c r="X74" s="128"/>
      <c r="Y74" s="128">
        <f t="shared" si="59"/>
        <v>2.5578182912098357E-2</v>
      </c>
      <c r="Z74" s="128">
        <f t="shared" si="60"/>
        <v>2.7538848762152696E-2</v>
      </c>
      <c r="AA74" s="128"/>
    </row>
    <row r="75" spans="1:27" ht="17">
      <c r="A75" s="377"/>
      <c r="B75" s="360"/>
      <c r="C75" s="360"/>
      <c r="D75" s="360" t="s">
        <v>181</v>
      </c>
      <c r="E75" s="360" t="s">
        <v>174</v>
      </c>
      <c r="F75" s="121" t="s">
        <v>175</v>
      </c>
      <c r="G75" s="122">
        <v>180380947.89781395</v>
      </c>
      <c r="H75">
        <v>11117507.730525956</v>
      </c>
      <c r="I75" s="123"/>
      <c r="J75" s="123">
        <v>6898581.4994064039</v>
      </c>
      <c r="K75" s="123">
        <v>0</v>
      </c>
      <c r="L75" s="155">
        <v>29644626.584701151</v>
      </c>
      <c r="N75" s="47">
        <f t="shared" si="54"/>
        <v>11117507.730525956</v>
      </c>
      <c r="O75">
        <v>11117507.730525956</v>
      </c>
      <c r="P75" s="47">
        <f t="shared" si="55"/>
        <v>198397037.12774628</v>
      </c>
      <c r="R75">
        <v>2</v>
      </c>
      <c r="S75" t="s">
        <v>114</v>
      </c>
      <c r="T75" s="64">
        <v>3</v>
      </c>
      <c r="U75" s="3" t="s">
        <v>175</v>
      </c>
      <c r="V75" s="128">
        <f>G75/SUM(G$75:G$79)</f>
        <v>0.39837350424598439</v>
      </c>
      <c r="W75" s="128">
        <f t="shared" ref="W75:Z75" si="61">H75/SUM(H$75:H$79)</f>
        <v>0.30941483267417158</v>
      </c>
      <c r="X75" s="128"/>
      <c r="Y75" s="128">
        <f t="shared" si="61"/>
        <v>0.17239748810439479</v>
      </c>
      <c r="Z75" s="128">
        <f t="shared" si="61"/>
        <v>0</v>
      </c>
      <c r="AA75" s="128"/>
    </row>
    <row r="76" spans="1:27" ht="17">
      <c r="A76" s="377"/>
      <c r="B76" s="360"/>
      <c r="C76" s="360"/>
      <c r="D76" s="360"/>
      <c r="E76" s="360"/>
      <c r="F76" s="121" t="s">
        <v>176</v>
      </c>
      <c r="G76" s="122">
        <v>12290028.499898987</v>
      </c>
      <c r="H76">
        <v>15884339.133210432</v>
      </c>
      <c r="I76" s="123"/>
      <c r="J76" s="123">
        <v>7094621.2722758446</v>
      </c>
      <c r="K76" s="123">
        <v>0</v>
      </c>
      <c r="L76" s="155">
        <v>3722119.979187612</v>
      </c>
      <c r="N76" s="47">
        <f t="shared" si="54"/>
        <v>15884339.133210432</v>
      </c>
      <c r="O76">
        <v>15884339.133210432</v>
      </c>
      <c r="P76" s="47">
        <f t="shared" si="55"/>
        <v>35268988.905385263</v>
      </c>
      <c r="R76">
        <v>2</v>
      </c>
      <c r="S76" t="s">
        <v>114</v>
      </c>
      <c r="T76" s="64">
        <v>3</v>
      </c>
      <c r="U76" s="3" t="s">
        <v>176</v>
      </c>
      <c r="V76" s="128">
        <f t="shared" ref="V76:V79" si="62">G76/SUM(G$75:G$79)</f>
        <v>2.7142676529016696E-2</v>
      </c>
      <c r="W76" s="128">
        <f t="shared" ref="W76:W79" si="63">H76/SUM(H$75:H$79)</f>
        <v>0.44208200742214243</v>
      </c>
      <c r="X76" s="128"/>
      <c r="Y76" s="128">
        <f t="shared" ref="Y76:Y79" si="64">J76/SUM(J$75:J$79)</f>
        <v>0.1772965770568346</v>
      </c>
      <c r="Z76" s="128">
        <f t="shared" ref="Z76:Z79" si="65">K76/SUM(K$75:K$79)</f>
        <v>0</v>
      </c>
      <c r="AA76" s="128"/>
    </row>
    <row r="77" spans="1:27" ht="17">
      <c r="A77" s="377"/>
      <c r="B77" s="360"/>
      <c r="C77" s="360"/>
      <c r="D77" s="360"/>
      <c r="E77" s="360"/>
      <c r="F77" s="121" t="s">
        <v>177</v>
      </c>
      <c r="G77" s="122">
        <v>145421690.45731524</v>
      </c>
      <c r="H77">
        <v>5596857.9930803962</v>
      </c>
      <c r="I77" s="123"/>
      <c r="J77" s="123">
        <v>24401595.67394229</v>
      </c>
      <c r="K77" s="123">
        <v>2361156.6053321869</v>
      </c>
      <c r="L77" s="155">
        <v>3978169.3466355833</v>
      </c>
      <c r="N77" s="47">
        <f t="shared" si="54"/>
        <v>5596857.9930803962</v>
      </c>
      <c r="O77">
        <v>5596857.9930803962</v>
      </c>
      <c r="P77" s="47">
        <f t="shared" si="55"/>
        <v>177781300.72967014</v>
      </c>
      <c r="R77">
        <v>2</v>
      </c>
      <c r="S77" t="s">
        <v>114</v>
      </c>
      <c r="T77" s="64">
        <v>3</v>
      </c>
      <c r="U77" s="3" t="s">
        <v>177</v>
      </c>
      <c r="V77" s="128">
        <f t="shared" si="62"/>
        <v>0.32116556152966963</v>
      </c>
      <c r="W77" s="128">
        <f t="shared" si="63"/>
        <v>0.15576790422867046</v>
      </c>
      <c r="X77" s="128"/>
      <c r="Y77" s="128">
        <f t="shared" si="64"/>
        <v>0.60980272542821934</v>
      </c>
      <c r="Z77" s="128">
        <f t="shared" si="65"/>
        <v>1</v>
      </c>
      <c r="AA77" s="128"/>
    </row>
    <row r="78" spans="1:27" ht="17">
      <c r="A78" s="377"/>
      <c r="B78" s="360"/>
      <c r="C78" s="360"/>
      <c r="D78" s="360"/>
      <c r="E78" s="360"/>
      <c r="F78" s="121" t="s">
        <v>178</v>
      </c>
      <c r="G78" s="122">
        <v>71141958.588236004</v>
      </c>
      <c r="H78">
        <v>2773314.0491944989</v>
      </c>
      <c r="I78" s="123"/>
      <c r="J78" s="123">
        <v>1327145.8148519602</v>
      </c>
      <c r="K78" s="123">
        <v>0</v>
      </c>
      <c r="L78" s="155">
        <v>3722865.6705261301</v>
      </c>
      <c r="N78" s="47">
        <f t="shared" si="54"/>
        <v>2773314.0491944989</v>
      </c>
      <c r="O78">
        <v>2773314.0491944989</v>
      </c>
      <c r="P78" s="47">
        <f t="shared" si="55"/>
        <v>75242418.452282459</v>
      </c>
      <c r="R78">
        <v>2</v>
      </c>
      <c r="S78" t="s">
        <v>114</v>
      </c>
      <c r="T78" s="64">
        <v>3</v>
      </c>
      <c r="U78" s="3" t="s">
        <v>200</v>
      </c>
      <c r="V78" s="128">
        <f t="shared" si="62"/>
        <v>0.15711787565155461</v>
      </c>
      <c r="W78" s="128">
        <f t="shared" si="63"/>
        <v>7.7184970164518085E-2</v>
      </c>
      <c r="X78" s="128"/>
      <c r="Y78" s="128">
        <f t="shared" si="64"/>
        <v>3.3165746443442785E-2</v>
      </c>
      <c r="Z78" s="128">
        <f t="shared" si="65"/>
        <v>0</v>
      </c>
      <c r="AA78" s="128"/>
    </row>
    <row r="79" spans="1:27" ht="17">
      <c r="A79" s="377"/>
      <c r="B79" s="360"/>
      <c r="C79" s="360"/>
      <c r="D79" s="360"/>
      <c r="E79" s="360"/>
      <c r="F79" s="121" t="s">
        <v>179</v>
      </c>
      <c r="G79" s="122">
        <v>43558911.213314831</v>
      </c>
      <c r="H79">
        <v>558733.45786525751</v>
      </c>
      <c r="I79" s="123"/>
      <c r="J79" s="123">
        <v>293612.66706404689</v>
      </c>
      <c r="K79" s="123">
        <v>0</v>
      </c>
      <c r="L79" s="155">
        <v>1635461.1972062064</v>
      </c>
      <c r="N79" s="47">
        <f t="shared" si="54"/>
        <v>558733.45786525751</v>
      </c>
      <c r="O79">
        <v>558733.45786525751</v>
      </c>
      <c r="P79" s="47">
        <f t="shared" si="55"/>
        <v>44411257.33824414</v>
      </c>
      <c r="R79">
        <v>2</v>
      </c>
      <c r="S79" t="s">
        <v>114</v>
      </c>
      <c r="T79" s="66">
        <v>3</v>
      </c>
      <c r="U79" s="3" t="s">
        <v>179</v>
      </c>
      <c r="V79" s="128">
        <f t="shared" si="62"/>
        <v>9.6200382043774763E-2</v>
      </c>
      <c r="W79" s="128">
        <f t="shared" si="63"/>
        <v>1.5550285510497341E-2</v>
      </c>
      <c r="X79" s="128"/>
      <c r="Y79" s="128">
        <f t="shared" si="64"/>
        <v>7.3374629671084032E-3</v>
      </c>
      <c r="Z79" s="128">
        <f t="shared" si="65"/>
        <v>0</v>
      </c>
      <c r="AA79" s="128"/>
    </row>
    <row r="80" spans="1:27" ht="17">
      <c r="A80" s="377"/>
      <c r="B80" s="360"/>
      <c r="C80" s="360"/>
      <c r="D80" s="360" t="s">
        <v>182</v>
      </c>
      <c r="E80" s="360" t="s">
        <v>174</v>
      </c>
      <c r="F80" s="121" t="s">
        <v>175</v>
      </c>
      <c r="G80" s="122">
        <v>99582786.928606823</v>
      </c>
      <c r="H80">
        <v>10568039.423560828</v>
      </c>
      <c r="I80" s="123"/>
      <c r="J80" s="123">
        <v>20445.753419624838</v>
      </c>
      <c r="K80" s="123">
        <v>0</v>
      </c>
      <c r="L80" s="155">
        <v>19318405.389344502</v>
      </c>
      <c r="N80" s="47">
        <f t="shared" si="54"/>
        <v>10568039.423560828</v>
      </c>
      <c r="O80">
        <v>10568039.423560828</v>
      </c>
      <c r="P80" s="47">
        <f t="shared" si="55"/>
        <v>110171272.10558727</v>
      </c>
      <c r="R80">
        <v>2</v>
      </c>
      <c r="S80" t="s">
        <v>114</v>
      </c>
      <c r="T80" s="64">
        <v>4</v>
      </c>
      <c r="U80" s="3" t="s">
        <v>175</v>
      </c>
      <c r="V80" s="128">
        <f>G80/SUM(G$80:G$84)</f>
        <v>0.41693839232937568</v>
      </c>
      <c r="W80" s="128">
        <f t="shared" ref="W80:Y80" si="66">H80/SUM(H$80:H$84)</f>
        <v>0.29534536030780173</v>
      </c>
      <c r="X80" s="128"/>
      <c r="Y80" s="128">
        <f t="shared" si="66"/>
        <v>2.9267327146087975E-3</v>
      </c>
      <c r="Z80" s="128">
        <v>0</v>
      </c>
      <c r="AA80" s="128"/>
    </row>
    <row r="81" spans="1:27" ht="17">
      <c r="A81" s="377"/>
      <c r="B81" s="360"/>
      <c r="C81" s="360"/>
      <c r="D81" s="360"/>
      <c r="E81" s="360"/>
      <c r="F81" s="121" t="s">
        <v>176</v>
      </c>
      <c r="G81" s="122">
        <v>5996627.6000400884</v>
      </c>
      <c r="H81">
        <v>11010801.135608342</v>
      </c>
      <c r="I81" s="123"/>
      <c r="J81" s="123">
        <v>0</v>
      </c>
      <c r="K81" s="123">
        <v>0</v>
      </c>
      <c r="L81" s="155">
        <v>155282.27641129761</v>
      </c>
      <c r="N81" s="47">
        <f t="shared" si="54"/>
        <v>11010801.135608342</v>
      </c>
      <c r="O81">
        <v>11010801.135608342</v>
      </c>
      <c r="P81" s="47">
        <f t="shared" si="55"/>
        <v>17007428.735648431</v>
      </c>
      <c r="R81">
        <v>2</v>
      </c>
      <c r="S81" t="s">
        <v>114</v>
      </c>
      <c r="T81" s="64">
        <v>4</v>
      </c>
      <c r="U81" s="3" t="s">
        <v>176</v>
      </c>
      <c r="V81" s="128">
        <f t="shared" ref="V81:V84" si="67">G81/SUM(G$80:G$84)</f>
        <v>2.5106992363561231E-2</v>
      </c>
      <c r="W81" s="128">
        <f t="shared" ref="W81:W84" si="68">H81/SUM(H$80:H$84)</f>
        <v>0.30771923706337412</v>
      </c>
      <c r="X81" s="128"/>
      <c r="Y81" s="128">
        <f t="shared" ref="Y81:Y84" si="69">J81/SUM(J$80:J$84)</f>
        <v>0</v>
      </c>
      <c r="Z81" s="128">
        <v>0</v>
      </c>
      <c r="AA81" s="128"/>
    </row>
    <row r="82" spans="1:27" ht="17">
      <c r="A82" s="377"/>
      <c r="B82" s="360"/>
      <c r="C82" s="360"/>
      <c r="D82" s="360"/>
      <c r="E82" s="360"/>
      <c r="F82" s="121" t="s">
        <v>177</v>
      </c>
      <c r="G82" s="122">
        <v>96176968.210999444</v>
      </c>
      <c r="H82">
        <v>10360165.278929532</v>
      </c>
      <c r="I82" s="123"/>
      <c r="J82" s="123">
        <v>6965417.1228074329</v>
      </c>
      <c r="K82" s="123">
        <v>0</v>
      </c>
      <c r="L82" s="155">
        <v>2897364.7262462419</v>
      </c>
      <c r="N82" s="47">
        <f t="shared" si="54"/>
        <v>10360165.278929532</v>
      </c>
      <c r="O82">
        <v>10360165.278929532</v>
      </c>
      <c r="P82" s="47">
        <f t="shared" si="55"/>
        <v>113502550.6127364</v>
      </c>
      <c r="R82">
        <v>2</v>
      </c>
      <c r="S82" t="s">
        <v>114</v>
      </c>
      <c r="T82" s="64">
        <v>4</v>
      </c>
      <c r="U82" s="3" t="s">
        <v>177</v>
      </c>
      <c r="V82" s="128">
        <f t="shared" si="67"/>
        <v>0.40267873336137994</v>
      </c>
      <c r="W82" s="128">
        <f t="shared" si="68"/>
        <v>0.28953589445664957</v>
      </c>
      <c r="X82" s="128"/>
      <c r="Y82" s="128">
        <f t="shared" si="69"/>
        <v>0.99707326728539125</v>
      </c>
      <c r="Z82" s="128">
        <v>0</v>
      </c>
      <c r="AA82" s="128"/>
    </row>
    <row r="83" spans="1:27" ht="17">
      <c r="A83" s="377"/>
      <c r="B83" s="360"/>
      <c r="C83" s="360"/>
      <c r="D83" s="360"/>
      <c r="E83" s="360"/>
      <c r="F83" s="121" t="s">
        <v>178</v>
      </c>
      <c r="G83" s="122">
        <v>18942239.743577782</v>
      </c>
      <c r="H83">
        <v>2852425.4967944832</v>
      </c>
      <c r="I83" s="123"/>
      <c r="J83" s="123">
        <v>0</v>
      </c>
      <c r="K83" s="123">
        <v>0</v>
      </c>
      <c r="L83" s="155">
        <v>627773.85532968945</v>
      </c>
      <c r="N83" s="47">
        <f t="shared" si="54"/>
        <v>2852425.4967944832</v>
      </c>
      <c r="O83">
        <v>2852425.4967944832</v>
      </c>
      <c r="P83" s="47">
        <f t="shared" si="55"/>
        <v>21794665.240372267</v>
      </c>
      <c r="R83">
        <v>2</v>
      </c>
      <c r="S83" t="s">
        <v>114</v>
      </c>
      <c r="T83" s="64">
        <v>4</v>
      </c>
      <c r="U83" s="3" t="s">
        <v>200</v>
      </c>
      <c r="V83" s="128">
        <f t="shared" si="67"/>
        <v>7.9308354680483098E-2</v>
      </c>
      <c r="W83" s="128">
        <f t="shared" si="68"/>
        <v>7.9716833211629812E-2</v>
      </c>
      <c r="X83" s="128"/>
      <c r="Y83" s="128">
        <f t="shared" si="69"/>
        <v>0</v>
      </c>
      <c r="Z83" s="128">
        <v>0</v>
      </c>
      <c r="AA83" s="128"/>
    </row>
    <row r="84" spans="1:27" ht="17">
      <c r="A84" s="377"/>
      <c r="B84" s="360"/>
      <c r="C84" s="360"/>
      <c r="D84" s="360"/>
      <c r="E84" s="360"/>
      <c r="F84" s="121" t="s">
        <v>179</v>
      </c>
      <c r="G84" s="122">
        <v>18144306.737690024</v>
      </c>
      <c r="H84">
        <v>990540.70132595894</v>
      </c>
      <c r="I84" s="123"/>
      <c r="J84" s="123">
        <v>0</v>
      </c>
      <c r="K84" s="123">
        <v>0</v>
      </c>
      <c r="L84" s="155">
        <v>888625.19744855468</v>
      </c>
      <c r="N84" s="47">
        <f t="shared" si="54"/>
        <v>990540.70132595894</v>
      </c>
      <c r="O84">
        <v>990540.70132595894</v>
      </c>
      <c r="P84" s="47">
        <f t="shared" si="55"/>
        <v>19134847.439015985</v>
      </c>
      <c r="R84" s="10">
        <v>2</v>
      </c>
      <c r="S84" s="10" t="s">
        <v>114</v>
      </c>
      <c r="T84" s="90">
        <v>4</v>
      </c>
      <c r="U84" s="89" t="s">
        <v>179</v>
      </c>
      <c r="V84" s="129">
        <f t="shared" si="67"/>
        <v>7.5967527265199966E-2</v>
      </c>
      <c r="W84" s="129">
        <f t="shared" si="68"/>
        <v>2.7682674960544829E-2</v>
      </c>
      <c r="X84" s="129"/>
      <c r="Y84" s="129">
        <f t="shared" si="69"/>
        <v>0</v>
      </c>
      <c r="Z84" s="129">
        <v>0</v>
      </c>
      <c r="AA84" s="129"/>
    </row>
    <row r="85" spans="1:27" ht="17">
      <c r="A85" s="377"/>
      <c r="B85" s="360" t="s">
        <v>235</v>
      </c>
      <c r="C85" s="360" t="s">
        <v>172</v>
      </c>
      <c r="D85" s="360" t="s">
        <v>173</v>
      </c>
      <c r="E85" s="360" t="s">
        <v>174</v>
      </c>
      <c r="F85" s="121" t="s">
        <v>175</v>
      </c>
      <c r="G85" s="122">
        <v>41841993.322186127</v>
      </c>
      <c r="H85">
        <v>464116.92209743377</v>
      </c>
      <c r="I85" s="123"/>
      <c r="J85" s="123">
        <v>44374701.379025973</v>
      </c>
      <c r="K85" s="123">
        <v>9670606.0080373473</v>
      </c>
      <c r="L85" s="155">
        <v>10632273.588318074</v>
      </c>
      <c r="N85" s="47">
        <f t="shared" si="54"/>
        <v>464116.92209743377</v>
      </c>
      <c r="O85">
        <v>464116.92209743377</v>
      </c>
      <c r="P85" s="47">
        <f t="shared" si="55"/>
        <v>96351417.631346881</v>
      </c>
      <c r="R85">
        <v>1</v>
      </c>
      <c r="S85" t="s">
        <v>115</v>
      </c>
      <c r="T85" s="64">
        <v>1</v>
      </c>
      <c r="U85" s="3" t="s">
        <v>175</v>
      </c>
      <c r="V85" s="128">
        <f>G85/SUM(G$85:G$89)</f>
        <v>0.14436788156082089</v>
      </c>
      <c r="W85" s="128">
        <f t="shared" ref="W85:Z85" si="70">H85/SUM(H$85:H$89)</f>
        <v>0.21366886270228858</v>
      </c>
      <c r="X85" s="128"/>
      <c r="Y85" s="128">
        <f t="shared" si="70"/>
        <v>0.19809333878705543</v>
      </c>
      <c r="Z85" s="128">
        <f t="shared" si="70"/>
        <v>6.6783731872578078E-2</v>
      </c>
      <c r="AA85" s="128"/>
    </row>
    <row r="86" spans="1:27" ht="17">
      <c r="A86" s="377"/>
      <c r="B86" s="360"/>
      <c r="C86" s="360"/>
      <c r="D86" s="360"/>
      <c r="E86" s="360"/>
      <c r="F86" s="121" t="s">
        <v>176</v>
      </c>
      <c r="G86" s="122">
        <v>10086030.814738773</v>
      </c>
      <c r="H86">
        <v>550442.46162908128</v>
      </c>
      <c r="I86" s="123"/>
      <c r="J86" s="123">
        <v>28364921.475044381</v>
      </c>
      <c r="K86" s="123">
        <v>8870249.720217403</v>
      </c>
      <c r="L86" s="155">
        <v>498877.5490619092</v>
      </c>
      <c r="N86" s="47">
        <f t="shared" si="54"/>
        <v>550442.46162908128</v>
      </c>
      <c r="O86">
        <v>550442.46162908128</v>
      </c>
      <c r="P86" s="47">
        <f t="shared" si="55"/>
        <v>47871644.471629634</v>
      </c>
      <c r="R86">
        <v>1</v>
      </c>
      <c r="S86" t="s">
        <v>115</v>
      </c>
      <c r="T86" s="64">
        <v>1</v>
      </c>
      <c r="U86" s="3" t="s">
        <v>176</v>
      </c>
      <c r="V86" s="128">
        <f t="shared" ref="V86:V89" si="71">G86/SUM(G$85:G$89)</f>
        <v>3.4799941075200194E-2</v>
      </c>
      <c r="W86" s="128">
        <f t="shared" ref="W86:W89" si="72">H86/SUM(H$85:H$89)</f>
        <v>0.2534111754163601</v>
      </c>
      <c r="X86" s="128"/>
      <c r="Y86" s="128">
        <f t="shared" ref="Y86:Y89" si="73">J86/SUM(J$85:J$89)</f>
        <v>0.12662399576349612</v>
      </c>
      <c r="Z86" s="128">
        <f t="shared" ref="Z86:Z89" si="74">K86/SUM(K$85:K$89)</f>
        <v>6.1256593275071825E-2</v>
      </c>
      <c r="AA86" s="128"/>
    </row>
    <row r="87" spans="1:27" ht="17">
      <c r="A87" s="377"/>
      <c r="B87" s="360"/>
      <c r="C87" s="360"/>
      <c r="D87" s="360"/>
      <c r="E87" s="360"/>
      <c r="F87" s="121" t="s">
        <v>177</v>
      </c>
      <c r="G87" s="122">
        <v>86014938.944490701</v>
      </c>
      <c r="H87">
        <v>637752.36890094203</v>
      </c>
      <c r="I87" s="123"/>
      <c r="J87" s="123">
        <v>73840186.721945822</v>
      </c>
      <c r="K87" s="123">
        <v>93888613.520988911</v>
      </c>
      <c r="L87" s="155">
        <v>4518192.8696246631</v>
      </c>
      <c r="N87" s="47">
        <f t="shared" si="54"/>
        <v>637752.36890094203</v>
      </c>
      <c r="O87">
        <v>637752.36890094203</v>
      </c>
      <c r="P87" s="47">
        <f t="shared" si="55"/>
        <v>254381491.55632636</v>
      </c>
      <c r="R87">
        <v>1</v>
      </c>
      <c r="S87" t="s">
        <v>115</v>
      </c>
      <c r="T87" s="64">
        <v>1</v>
      </c>
      <c r="U87" s="3" t="s">
        <v>177</v>
      </c>
      <c r="V87" s="128">
        <f t="shared" si="71"/>
        <v>0.29677827302302812</v>
      </c>
      <c r="W87" s="128">
        <f t="shared" si="72"/>
        <v>0.29360666862335927</v>
      </c>
      <c r="X87" s="128"/>
      <c r="Y87" s="128">
        <f t="shared" si="73"/>
        <v>0.32963036752566227</v>
      </c>
      <c r="Z87" s="128">
        <f t="shared" si="74"/>
        <v>0.64838046199613275</v>
      </c>
      <c r="AA87" s="128"/>
    </row>
    <row r="88" spans="1:27" ht="17">
      <c r="A88" s="377"/>
      <c r="B88" s="360"/>
      <c r="C88" s="360"/>
      <c r="D88" s="360"/>
      <c r="E88" s="360"/>
      <c r="F88" s="121" t="s">
        <v>178</v>
      </c>
      <c r="G88" s="122">
        <v>95375910.34819001</v>
      </c>
      <c r="H88">
        <v>175139.61960877563</v>
      </c>
      <c r="I88" s="123"/>
      <c r="J88" s="123">
        <v>52647661.564957805</v>
      </c>
      <c r="K88" s="123">
        <v>22355466.051969893</v>
      </c>
      <c r="L88" s="155">
        <v>2703296.554437486</v>
      </c>
      <c r="N88" s="47">
        <f t="shared" si="54"/>
        <v>175139.61960877563</v>
      </c>
      <c r="O88">
        <v>175139.61960877563</v>
      </c>
      <c r="P88" s="47">
        <f t="shared" si="55"/>
        <v>170554177.58472648</v>
      </c>
      <c r="R88">
        <v>1</v>
      </c>
      <c r="S88" t="s">
        <v>115</v>
      </c>
      <c r="T88" s="64">
        <v>1</v>
      </c>
      <c r="U88" s="3" t="s">
        <v>200</v>
      </c>
      <c r="V88" s="128">
        <f t="shared" si="71"/>
        <v>0.32907653377981</v>
      </c>
      <c r="W88" s="128">
        <f t="shared" si="72"/>
        <v>8.0630292829664191E-2</v>
      </c>
      <c r="X88" s="128"/>
      <c r="Y88" s="128">
        <f t="shared" si="73"/>
        <v>0.23502470404595976</v>
      </c>
      <c r="Z88" s="128">
        <f t="shared" si="74"/>
        <v>0.15438344292595993</v>
      </c>
      <c r="AA88" s="128"/>
    </row>
    <row r="89" spans="1:27" ht="17">
      <c r="A89" s="377"/>
      <c r="B89" s="360"/>
      <c r="C89" s="360"/>
      <c r="D89" s="360"/>
      <c r="E89" s="360"/>
      <c r="F89" s="121" t="s">
        <v>179</v>
      </c>
      <c r="G89" s="122">
        <v>56510089.008680701</v>
      </c>
      <c r="H89">
        <v>344680.38448164787</v>
      </c>
      <c r="I89" s="123"/>
      <c r="J89" s="123">
        <v>24781582.624975648</v>
      </c>
      <c r="K89" s="123">
        <v>10019880.735252574</v>
      </c>
      <c r="L89" s="155">
        <v>2797810.4766146485</v>
      </c>
      <c r="N89" s="47">
        <f t="shared" si="54"/>
        <v>344680.38448164787</v>
      </c>
      <c r="O89">
        <v>344680.38448164787</v>
      </c>
      <c r="P89" s="47">
        <f t="shared" si="55"/>
        <v>91656232.753390566</v>
      </c>
      <c r="R89">
        <v>1</v>
      </c>
      <c r="S89" t="s">
        <v>115</v>
      </c>
      <c r="T89" s="66">
        <v>1</v>
      </c>
      <c r="U89" s="3" t="s">
        <v>179</v>
      </c>
      <c r="V89" s="128">
        <f t="shared" si="71"/>
        <v>0.19497737056114078</v>
      </c>
      <c r="W89" s="128">
        <f t="shared" si="72"/>
        <v>0.15868300042832778</v>
      </c>
      <c r="X89" s="128"/>
      <c r="Y89" s="128">
        <f t="shared" si="73"/>
        <v>0.11062759387782636</v>
      </c>
      <c r="Z89" s="128">
        <f t="shared" si="74"/>
        <v>6.9195769930257514E-2</v>
      </c>
      <c r="AA89" s="128"/>
    </row>
    <row r="90" spans="1:27" ht="17">
      <c r="A90" s="377"/>
      <c r="B90" s="360"/>
      <c r="C90" s="360"/>
      <c r="D90" s="360" t="s">
        <v>180</v>
      </c>
      <c r="E90" s="360" t="s">
        <v>174</v>
      </c>
      <c r="F90" s="121" t="s">
        <v>175</v>
      </c>
      <c r="G90" s="122">
        <v>43160978.495918579</v>
      </c>
      <c r="H90">
        <v>728589.61226481735</v>
      </c>
      <c r="I90" s="123"/>
      <c r="J90" s="123">
        <v>7242228.2746083299</v>
      </c>
      <c r="K90" s="123">
        <v>175114.71446235653</v>
      </c>
      <c r="L90" s="155">
        <v>8411843.3021060191</v>
      </c>
      <c r="N90" s="47">
        <f t="shared" si="54"/>
        <v>728589.61226481735</v>
      </c>
      <c r="O90">
        <v>728589.61226481735</v>
      </c>
      <c r="P90" s="47">
        <f t="shared" si="55"/>
        <v>51306911.097254083</v>
      </c>
      <c r="R90">
        <v>1</v>
      </c>
      <c r="S90" t="s">
        <v>115</v>
      </c>
      <c r="T90" s="64">
        <v>2</v>
      </c>
      <c r="U90" s="3" t="s">
        <v>175</v>
      </c>
      <c r="V90" s="128">
        <f>G90/SUM(G$90:G$94)</f>
        <v>0.30137136616105614</v>
      </c>
      <c r="W90" s="128">
        <f t="shared" ref="W90:Z90" si="75">H90/SUM(H$90:H$94)</f>
        <v>0.16869723965606326</v>
      </c>
      <c r="X90" s="128"/>
      <c r="Y90" s="128">
        <f t="shared" si="75"/>
        <v>0.25464904192853627</v>
      </c>
      <c r="Z90" s="128">
        <f t="shared" si="75"/>
        <v>3.4353035582594095E-2</v>
      </c>
      <c r="AA90" s="128"/>
    </row>
    <row r="91" spans="1:27" ht="17">
      <c r="A91" s="377"/>
      <c r="B91" s="360"/>
      <c r="C91" s="360"/>
      <c r="D91" s="360"/>
      <c r="E91" s="360"/>
      <c r="F91" s="121" t="s">
        <v>176</v>
      </c>
      <c r="G91" s="122">
        <v>2773088.7795714382</v>
      </c>
      <c r="H91">
        <v>854612.52359812497</v>
      </c>
      <c r="I91" s="123"/>
      <c r="J91" s="123">
        <v>11498882.491184903</v>
      </c>
      <c r="K91" s="123">
        <v>0</v>
      </c>
      <c r="L91" s="155">
        <v>669011.47742256825</v>
      </c>
      <c r="N91" s="47">
        <f t="shared" si="54"/>
        <v>854612.52359812497</v>
      </c>
      <c r="O91">
        <v>854612.52359812497</v>
      </c>
      <c r="P91" s="47">
        <f t="shared" si="55"/>
        <v>15126583.794354467</v>
      </c>
      <c r="R91">
        <v>1</v>
      </c>
      <c r="S91" t="s">
        <v>115</v>
      </c>
      <c r="T91" s="64">
        <v>2</v>
      </c>
      <c r="U91" s="3" t="s">
        <v>176</v>
      </c>
      <c r="V91" s="128">
        <f t="shared" ref="V91:V94" si="76">G91/SUM(G$90:G$94)</f>
        <v>1.9363081725878136E-2</v>
      </c>
      <c r="W91" s="128">
        <f t="shared" ref="W91:W94" si="77">H91/SUM(H$90:H$94)</f>
        <v>0.19787651550281063</v>
      </c>
      <c r="X91" s="128"/>
      <c r="Y91" s="128">
        <f t="shared" ref="Y91:Y94" si="78">J91/SUM(J$90:J$94)</f>
        <v>0.40432023109454057</v>
      </c>
      <c r="Z91" s="128">
        <f t="shared" ref="Z91:Z94" si="79">K91/SUM(K$90:K$94)</f>
        <v>0</v>
      </c>
      <c r="AA91" s="128"/>
    </row>
    <row r="92" spans="1:27" ht="17">
      <c r="A92" s="377"/>
      <c r="B92" s="360"/>
      <c r="C92" s="360"/>
      <c r="D92" s="360"/>
      <c r="E92" s="360"/>
      <c r="F92" s="121" t="s">
        <v>177</v>
      </c>
      <c r="G92" s="122">
        <v>43524123.652681127</v>
      </c>
      <c r="H92">
        <v>1808464.6510004064</v>
      </c>
      <c r="I92" s="123"/>
      <c r="J92" s="123">
        <v>6681931.5896345088</v>
      </c>
      <c r="K92" s="123">
        <v>4922388.6500171181</v>
      </c>
      <c r="L92" s="155">
        <v>2138031.1271410184</v>
      </c>
      <c r="N92" s="47">
        <f t="shared" si="54"/>
        <v>1808464.6510004064</v>
      </c>
      <c r="O92">
        <v>1808464.6510004064</v>
      </c>
      <c r="P92" s="47">
        <f t="shared" si="55"/>
        <v>56936908.543333158</v>
      </c>
      <c r="R92">
        <v>1</v>
      </c>
      <c r="S92" t="s">
        <v>115</v>
      </c>
      <c r="T92" s="64">
        <v>2</v>
      </c>
      <c r="U92" s="3" t="s">
        <v>177</v>
      </c>
      <c r="V92" s="128">
        <f t="shared" si="76"/>
        <v>0.30390702581989937</v>
      </c>
      <c r="W92" s="128">
        <f t="shared" si="77"/>
        <v>0.41873091450066841</v>
      </c>
      <c r="X92" s="128"/>
      <c r="Y92" s="128">
        <f t="shared" si="78"/>
        <v>0.23494805921793055</v>
      </c>
      <c r="Z92" s="128">
        <f t="shared" si="79"/>
        <v>0.96564696441740583</v>
      </c>
      <c r="AA92" s="128"/>
    </row>
    <row r="93" spans="1:27" ht="17">
      <c r="A93" s="377"/>
      <c r="B93" s="360"/>
      <c r="C93" s="360"/>
      <c r="D93" s="360"/>
      <c r="E93" s="360"/>
      <c r="F93" s="121" t="s">
        <v>178</v>
      </c>
      <c r="G93" s="122">
        <v>32982883.508335575</v>
      </c>
      <c r="H93">
        <v>927251.61245517025</v>
      </c>
      <c r="I93" s="123"/>
      <c r="J93" s="123">
        <v>2319093.7122336784</v>
      </c>
      <c r="K93" s="123">
        <v>0</v>
      </c>
      <c r="L93" s="155">
        <v>1024385.9122434715</v>
      </c>
      <c r="N93" s="47">
        <f t="shared" si="54"/>
        <v>927251.61245517025</v>
      </c>
      <c r="O93">
        <v>927251.61245517025</v>
      </c>
      <c r="P93" s="47">
        <f t="shared" si="55"/>
        <v>36229228.83302442</v>
      </c>
      <c r="R93">
        <v>1</v>
      </c>
      <c r="S93" t="s">
        <v>115</v>
      </c>
      <c r="T93" s="64">
        <v>2</v>
      </c>
      <c r="U93" s="3" t="s">
        <v>200</v>
      </c>
      <c r="V93" s="128">
        <f t="shared" si="76"/>
        <v>0.23030285709991546</v>
      </c>
      <c r="W93" s="128">
        <f t="shared" si="77"/>
        <v>0.21469533034045771</v>
      </c>
      <c r="X93" s="128"/>
      <c r="Y93" s="128">
        <f t="shared" si="78"/>
        <v>8.154327225963294E-2</v>
      </c>
      <c r="Z93" s="128">
        <f t="shared" si="79"/>
        <v>0</v>
      </c>
      <c r="AA93" s="128"/>
    </row>
    <row r="94" spans="1:27" ht="17">
      <c r="A94" s="377"/>
      <c r="B94" s="360"/>
      <c r="C94" s="360"/>
      <c r="D94" s="360"/>
      <c r="E94" s="360"/>
      <c r="F94" s="121" t="s">
        <v>179</v>
      </c>
      <c r="G94" s="122">
        <v>20774185.34651088</v>
      </c>
      <c r="H94">
        <v>0</v>
      </c>
      <c r="I94" s="123"/>
      <c r="J94" s="123">
        <v>697901.32561006758</v>
      </c>
      <c r="K94" s="123">
        <v>0</v>
      </c>
      <c r="L94" s="155">
        <v>1029295.5582873061</v>
      </c>
      <c r="N94" s="47">
        <f t="shared" si="54"/>
        <v>0</v>
      </c>
      <c r="O94">
        <v>0</v>
      </c>
      <c r="P94" s="47">
        <f t="shared" si="55"/>
        <v>21472086.672120947</v>
      </c>
      <c r="R94">
        <v>1</v>
      </c>
      <c r="S94" t="s">
        <v>115</v>
      </c>
      <c r="T94" s="66">
        <v>2</v>
      </c>
      <c r="U94" s="3" t="s">
        <v>179</v>
      </c>
      <c r="V94" s="128">
        <f t="shared" si="76"/>
        <v>0.14505566919325083</v>
      </c>
      <c r="W94" s="128">
        <f t="shared" si="77"/>
        <v>0</v>
      </c>
      <c r="X94" s="128"/>
      <c r="Y94" s="128">
        <f t="shared" si="78"/>
        <v>2.4539395499359688E-2</v>
      </c>
      <c r="Z94" s="128">
        <f t="shared" si="79"/>
        <v>0</v>
      </c>
      <c r="AA94" s="128"/>
    </row>
    <row r="95" spans="1:27" ht="17">
      <c r="A95" s="377"/>
      <c r="B95" s="360"/>
      <c r="C95" s="360"/>
      <c r="D95" s="360" t="s">
        <v>181</v>
      </c>
      <c r="E95" s="360" t="s">
        <v>174</v>
      </c>
      <c r="F95" s="121" t="s">
        <v>175</v>
      </c>
      <c r="G95" s="122">
        <v>67077041.264513999</v>
      </c>
      <c r="H95">
        <v>2793900.6834822004</v>
      </c>
      <c r="I95" s="123"/>
      <c r="J95" s="123">
        <v>980640.79466150387</v>
      </c>
      <c r="K95" s="123">
        <v>0</v>
      </c>
      <c r="L95" s="155">
        <v>10820520.642625783</v>
      </c>
      <c r="N95" s="47">
        <f t="shared" si="54"/>
        <v>2793900.6834822004</v>
      </c>
      <c r="O95">
        <v>2793900.6834822004</v>
      </c>
      <c r="P95" s="47">
        <f t="shared" si="55"/>
        <v>70851582.742657706</v>
      </c>
      <c r="R95">
        <v>1</v>
      </c>
      <c r="S95" t="s">
        <v>115</v>
      </c>
      <c r="T95" s="64">
        <v>3</v>
      </c>
      <c r="U95" s="3" t="s">
        <v>175</v>
      </c>
      <c r="V95" s="128">
        <f>G95/SUM(G$95:G$99)</f>
        <v>0.37115370939342635</v>
      </c>
      <c r="W95" s="128">
        <f t="shared" ref="W95:Z95" si="80">H95/SUM(H$95:H$99)</f>
        <v>0.16249398837240495</v>
      </c>
      <c r="X95" s="128"/>
      <c r="Y95" s="128">
        <f t="shared" si="80"/>
        <v>7.2817788636314731E-2</v>
      </c>
      <c r="Z95" s="128">
        <f t="shared" si="80"/>
        <v>0</v>
      </c>
      <c r="AA95" s="128"/>
    </row>
    <row r="96" spans="1:27" ht="17">
      <c r="A96" s="377"/>
      <c r="B96" s="360"/>
      <c r="C96" s="360"/>
      <c r="D96" s="360"/>
      <c r="E96" s="360"/>
      <c r="F96" s="121" t="s">
        <v>176</v>
      </c>
      <c r="G96" s="122">
        <v>3158672.79577879</v>
      </c>
      <c r="H96">
        <v>10037175.277831461</v>
      </c>
      <c r="I96" s="123"/>
      <c r="J96" s="123">
        <v>2827021.4966047443</v>
      </c>
      <c r="K96" s="123">
        <v>0</v>
      </c>
      <c r="L96" s="155">
        <v>1340718.417486866</v>
      </c>
      <c r="N96" s="47">
        <f t="shared" si="54"/>
        <v>10037175.277831461</v>
      </c>
      <c r="O96">
        <v>10037175.277831461</v>
      </c>
      <c r="P96" s="47">
        <f t="shared" si="55"/>
        <v>16022869.570214996</v>
      </c>
      <c r="R96">
        <v>1</v>
      </c>
      <c r="S96" t="s">
        <v>115</v>
      </c>
      <c r="T96" s="64">
        <v>3</v>
      </c>
      <c r="U96" s="3" t="s">
        <v>176</v>
      </c>
      <c r="V96" s="128">
        <f t="shared" ref="V96:V99" si="81">G96/SUM(G$95:G$99)</f>
        <v>1.7477710745921297E-2</v>
      </c>
      <c r="W96" s="128">
        <f t="shared" ref="W96:W99" si="82">H96/SUM(H$95:H$99)</f>
        <v>0.58376471738249125</v>
      </c>
      <c r="X96" s="128"/>
      <c r="Y96" s="128">
        <f t="shared" ref="Y96:Y99" si="83">J96/SUM(J$95:J$99)</f>
        <v>0.20992136461255417</v>
      </c>
      <c r="Z96" s="128">
        <f t="shared" ref="Z96:Z99" si="84">K96/SUM(K$95:K$99)</f>
        <v>0</v>
      </c>
      <c r="AA96" s="128"/>
    </row>
    <row r="97" spans="1:27" ht="17">
      <c r="A97" s="377"/>
      <c r="B97" s="360"/>
      <c r="C97" s="360"/>
      <c r="D97" s="360"/>
      <c r="E97" s="360"/>
      <c r="F97" s="121" t="s">
        <v>177</v>
      </c>
      <c r="G97" s="122">
        <v>63304710.862892315</v>
      </c>
      <c r="H97">
        <v>3078693.905312594</v>
      </c>
      <c r="I97" s="123"/>
      <c r="J97" s="123">
        <v>8653037.3502779119</v>
      </c>
      <c r="K97" s="123">
        <v>1064103.2041525252</v>
      </c>
      <c r="L97" s="155">
        <v>1144317.3182586008</v>
      </c>
      <c r="N97" s="47">
        <f t="shared" si="54"/>
        <v>3078693.905312594</v>
      </c>
      <c r="O97">
        <v>3078693.905312594</v>
      </c>
      <c r="P97" s="47">
        <f t="shared" si="55"/>
        <v>76100545.322635353</v>
      </c>
      <c r="R97">
        <v>1</v>
      </c>
      <c r="S97" t="s">
        <v>115</v>
      </c>
      <c r="T97" s="64">
        <v>3</v>
      </c>
      <c r="U97" s="3" t="s">
        <v>177</v>
      </c>
      <c r="V97" s="128">
        <f t="shared" si="81"/>
        <v>0.35028048071152579</v>
      </c>
      <c r="W97" s="128">
        <f t="shared" si="82"/>
        <v>0.17905763601752087</v>
      </c>
      <c r="X97" s="128"/>
      <c r="Y97" s="128">
        <f t="shared" si="83"/>
        <v>0.64253399232913733</v>
      </c>
      <c r="Z97" s="128">
        <f t="shared" si="84"/>
        <v>1</v>
      </c>
      <c r="AA97" s="128"/>
    </row>
    <row r="98" spans="1:27" ht="17">
      <c r="A98" s="377"/>
      <c r="B98" s="360"/>
      <c r="C98" s="360"/>
      <c r="D98" s="360"/>
      <c r="E98" s="360"/>
      <c r="F98" s="121" t="s">
        <v>178</v>
      </c>
      <c r="G98" s="122">
        <v>32394218.386111185</v>
      </c>
      <c r="H98">
        <v>819236.2026014626</v>
      </c>
      <c r="I98" s="123"/>
      <c r="J98" s="123">
        <v>520590.94214247842</v>
      </c>
      <c r="K98" s="123">
        <v>0</v>
      </c>
      <c r="L98" s="155">
        <v>715572.51159375452</v>
      </c>
      <c r="N98" s="47">
        <f t="shared" si="54"/>
        <v>819236.2026014626</v>
      </c>
      <c r="O98">
        <v>819236.2026014626</v>
      </c>
      <c r="P98" s="47">
        <f t="shared" si="55"/>
        <v>33734045.530855127</v>
      </c>
      <c r="R98">
        <v>1</v>
      </c>
      <c r="S98" t="s">
        <v>115</v>
      </c>
      <c r="T98" s="64">
        <v>3</v>
      </c>
      <c r="U98" s="3" t="s">
        <v>200</v>
      </c>
      <c r="V98" s="128">
        <f t="shared" si="81"/>
        <v>0.179245149908939</v>
      </c>
      <c r="W98" s="128">
        <f t="shared" si="82"/>
        <v>4.7646990018936138E-2</v>
      </c>
      <c r="X98" s="128"/>
      <c r="Y98" s="128">
        <f t="shared" si="83"/>
        <v>3.8656643082032982E-2</v>
      </c>
      <c r="Z98" s="128">
        <f t="shared" si="84"/>
        <v>0</v>
      </c>
      <c r="AA98" s="128"/>
    </row>
    <row r="99" spans="1:27" ht="17">
      <c r="A99" s="377"/>
      <c r="B99" s="360"/>
      <c r="C99" s="360"/>
      <c r="D99" s="360"/>
      <c r="E99" s="360"/>
      <c r="F99" s="121" t="s">
        <v>179</v>
      </c>
      <c r="G99" s="122">
        <v>14791130.317316487</v>
      </c>
      <c r="H99">
        <v>464864.98696863686</v>
      </c>
      <c r="I99" s="123"/>
      <c r="J99" s="123">
        <v>485759.3367561741</v>
      </c>
      <c r="K99" s="123">
        <v>0</v>
      </c>
      <c r="L99" s="155">
        <v>504202.44514254248</v>
      </c>
      <c r="N99" s="47">
        <f t="shared" si="54"/>
        <v>464864.98696863686</v>
      </c>
      <c r="O99">
        <v>464864.98696863686</v>
      </c>
      <c r="P99" s="47">
        <f t="shared" si="55"/>
        <v>15741754.641041297</v>
      </c>
      <c r="R99">
        <v>1</v>
      </c>
      <c r="S99" t="s">
        <v>115</v>
      </c>
      <c r="T99" s="66">
        <v>3</v>
      </c>
      <c r="U99" s="3" t="s">
        <v>179</v>
      </c>
      <c r="V99" s="128">
        <f t="shared" si="81"/>
        <v>8.1842949240187507E-2</v>
      </c>
      <c r="W99" s="128">
        <f t="shared" si="82"/>
        <v>2.7036668208646829E-2</v>
      </c>
      <c r="X99" s="128"/>
      <c r="Y99" s="128">
        <f t="shared" si="83"/>
        <v>3.6070211339960773E-2</v>
      </c>
      <c r="Z99" s="128">
        <f t="shared" si="84"/>
        <v>0</v>
      </c>
      <c r="AA99" s="128"/>
    </row>
    <row r="100" spans="1:27" ht="17">
      <c r="A100" s="377"/>
      <c r="B100" s="360"/>
      <c r="C100" s="360"/>
      <c r="D100" s="360" t="s">
        <v>182</v>
      </c>
      <c r="E100" s="360" t="s">
        <v>174</v>
      </c>
      <c r="F100" s="121" t="s">
        <v>175</v>
      </c>
      <c r="G100" s="122">
        <v>42761770.969149798</v>
      </c>
      <c r="H100">
        <v>3909366.3755016732</v>
      </c>
      <c r="I100" s="123"/>
      <c r="J100" s="123">
        <v>0</v>
      </c>
      <c r="K100" s="123">
        <v>0</v>
      </c>
      <c r="L100" s="155">
        <v>9763338.9305712953</v>
      </c>
      <c r="N100" s="47">
        <f t="shared" si="54"/>
        <v>3909366.3755016732</v>
      </c>
      <c r="O100">
        <v>3909366.3755016732</v>
      </c>
      <c r="P100" s="47">
        <f t="shared" si="55"/>
        <v>46671137.344651468</v>
      </c>
      <c r="R100">
        <v>1</v>
      </c>
      <c r="S100" t="s">
        <v>115</v>
      </c>
      <c r="T100" s="64">
        <v>4</v>
      </c>
      <c r="U100" s="3" t="s">
        <v>175</v>
      </c>
      <c r="V100" s="128">
        <f>G100/SUM(G$100:G$104)</f>
        <v>0.44923225394580246</v>
      </c>
      <c r="W100" s="128">
        <f t="shared" ref="W100:Z100" si="85">H100/SUM(H$100:H$104)</f>
        <v>0.35495274115578601</v>
      </c>
      <c r="X100" s="128"/>
      <c r="Y100" s="128">
        <f t="shared" si="85"/>
        <v>0</v>
      </c>
      <c r="Z100" s="128">
        <f t="shared" si="85"/>
        <v>0</v>
      </c>
      <c r="AA100" s="128"/>
    </row>
    <row r="101" spans="1:27" ht="17">
      <c r="A101" s="377"/>
      <c r="B101" s="360"/>
      <c r="C101" s="360"/>
      <c r="D101" s="360"/>
      <c r="E101" s="360"/>
      <c r="F101" s="121" t="s">
        <v>176</v>
      </c>
      <c r="G101" s="122">
        <v>2715772.252605733</v>
      </c>
      <c r="H101">
        <v>3425934.3080999204</v>
      </c>
      <c r="I101" s="123"/>
      <c r="J101" s="123">
        <v>0</v>
      </c>
      <c r="K101" s="123">
        <v>0</v>
      </c>
      <c r="L101" s="155">
        <v>388871.2114488043</v>
      </c>
      <c r="N101" s="47">
        <f t="shared" si="54"/>
        <v>3425934.3080999204</v>
      </c>
      <c r="O101">
        <v>3425934.3080999204</v>
      </c>
      <c r="P101" s="47">
        <f t="shared" si="55"/>
        <v>6141706.5607056534</v>
      </c>
      <c r="R101">
        <v>1</v>
      </c>
      <c r="S101" t="s">
        <v>115</v>
      </c>
      <c r="T101" s="64">
        <v>4</v>
      </c>
      <c r="U101" s="3" t="s">
        <v>176</v>
      </c>
      <c r="V101" s="128">
        <f t="shared" ref="V101:V104" si="86">G101/SUM(G$100:G$104)</f>
        <v>2.8530448168802753E-2</v>
      </c>
      <c r="W101" s="128">
        <f t="shared" ref="W101:W104" si="87">H101/SUM(H$100:H$104)</f>
        <v>0.31105930139987653</v>
      </c>
      <c r="X101" s="128"/>
      <c r="Y101" s="128">
        <f t="shared" ref="Y101:Y104" si="88">J101/SUM(J$100:J$104)</f>
        <v>0</v>
      </c>
      <c r="Z101" s="128">
        <f t="shared" ref="Z101:Z104" si="89">K101/SUM(K$100:K$104)</f>
        <v>0</v>
      </c>
      <c r="AA101" s="128"/>
    </row>
    <row r="102" spans="1:27" ht="17">
      <c r="A102" s="377"/>
      <c r="B102" s="360"/>
      <c r="C102" s="360"/>
      <c r="D102" s="360"/>
      <c r="E102" s="360"/>
      <c r="F102" s="121" t="s">
        <v>177</v>
      </c>
      <c r="G102" s="122">
        <v>33409154.68278835</v>
      </c>
      <c r="H102">
        <v>2931945.3092747489</v>
      </c>
      <c r="I102" s="123"/>
      <c r="J102" s="123">
        <v>3550645.2252348419</v>
      </c>
      <c r="K102" s="123">
        <v>27426.117681115138</v>
      </c>
      <c r="L102" s="155">
        <v>2155666.2833975763</v>
      </c>
      <c r="N102" s="47">
        <f t="shared" si="54"/>
        <v>2931945.3092747489</v>
      </c>
      <c r="O102">
        <v>2931945.3092747489</v>
      </c>
      <c r="P102" s="47">
        <f t="shared" si="55"/>
        <v>39919171.334979057</v>
      </c>
      <c r="R102">
        <v>1</v>
      </c>
      <c r="S102" t="s">
        <v>115</v>
      </c>
      <c r="T102" s="64">
        <v>4</v>
      </c>
      <c r="U102" s="3" t="s">
        <v>177</v>
      </c>
      <c r="V102" s="128">
        <f t="shared" si="86"/>
        <v>0.3509786783947918</v>
      </c>
      <c r="W102" s="128">
        <f t="shared" si="87"/>
        <v>0.26620734013766406</v>
      </c>
      <c r="X102" s="128"/>
      <c r="Y102" s="128">
        <f t="shared" si="88"/>
        <v>1</v>
      </c>
      <c r="Z102" s="128">
        <f t="shared" si="89"/>
        <v>1</v>
      </c>
      <c r="AA102" s="128"/>
    </row>
    <row r="103" spans="1:27" ht="17">
      <c r="A103" s="377"/>
      <c r="B103" s="360"/>
      <c r="C103" s="360"/>
      <c r="D103" s="360"/>
      <c r="E103" s="360"/>
      <c r="F103" s="121" t="s">
        <v>178</v>
      </c>
      <c r="G103" s="122">
        <v>8357891.2455757316</v>
      </c>
      <c r="H103">
        <v>690705.36446659977</v>
      </c>
      <c r="I103" s="123"/>
      <c r="J103" s="123">
        <v>0</v>
      </c>
      <c r="K103" s="123">
        <v>0</v>
      </c>
      <c r="L103" s="155">
        <v>134304.03305469488</v>
      </c>
      <c r="N103" s="47">
        <f t="shared" si="54"/>
        <v>690705.36446659977</v>
      </c>
      <c r="O103">
        <v>690705.36446659977</v>
      </c>
      <c r="P103" s="47">
        <f t="shared" si="55"/>
        <v>9048596.6100423317</v>
      </c>
      <c r="R103">
        <v>1</v>
      </c>
      <c r="S103" t="s">
        <v>115</v>
      </c>
      <c r="T103" s="64">
        <v>4</v>
      </c>
      <c r="U103" s="3" t="s">
        <v>200</v>
      </c>
      <c r="V103" s="128">
        <f t="shared" si="86"/>
        <v>8.7803527248500365E-2</v>
      </c>
      <c r="W103" s="128">
        <f t="shared" si="87"/>
        <v>6.2712915316606638E-2</v>
      </c>
      <c r="X103" s="128"/>
      <c r="Y103" s="128">
        <f t="shared" si="88"/>
        <v>0</v>
      </c>
      <c r="Z103" s="128">
        <f t="shared" si="89"/>
        <v>0</v>
      </c>
      <c r="AA103" s="128"/>
    </row>
    <row r="104" spans="1:27" ht="17">
      <c r="A104" s="377"/>
      <c r="B104" s="360"/>
      <c r="C104" s="360"/>
      <c r="D104" s="360"/>
      <c r="E104" s="360"/>
      <c r="F104" s="121" t="s">
        <v>179</v>
      </c>
      <c r="G104" s="122">
        <v>7943969.9828334376</v>
      </c>
      <c r="H104">
        <v>55814.483067576468</v>
      </c>
      <c r="I104" s="123"/>
      <c r="J104" s="123">
        <v>0</v>
      </c>
      <c r="K104" s="123">
        <v>0</v>
      </c>
      <c r="L104" s="155">
        <v>515294.38490166294</v>
      </c>
      <c r="N104" s="47">
        <f t="shared" si="54"/>
        <v>55814.483067576468</v>
      </c>
      <c r="O104">
        <v>55814.483067576468</v>
      </c>
      <c r="P104" s="47">
        <f t="shared" si="55"/>
        <v>7999784.4659010144</v>
      </c>
      <c r="R104">
        <v>1</v>
      </c>
      <c r="S104" t="s">
        <v>115</v>
      </c>
      <c r="T104" s="90">
        <v>4</v>
      </c>
      <c r="U104" s="89" t="s">
        <v>179</v>
      </c>
      <c r="V104" s="128">
        <f t="shared" si="86"/>
        <v>8.3455092242102638E-2</v>
      </c>
      <c r="W104" s="128">
        <f t="shared" si="87"/>
        <v>5.0677019900666493E-3</v>
      </c>
      <c r="X104" s="128"/>
      <c r="Y104" s="128">
        <f t="shared" si="88"/>
        <v>0</v>
      </c>
      <c r="Z104" s="128">
        <f t="shared" si="89"/>
        <v>0</v>
      </c>
      <c r="AA104" s="128"/>
    </row>
    <row r="107" spans="1:27">
      <c r="F107" t="s">
        <v>236</v>
      </c>
      <c r="G107" s="47">
        <f>SUM(G5:G104)</f>
        <v>7385571974.5257664</v>
      </c>
      <c r="H107" s="47"/>
    </row>
    <row r="111" spans="1:27">
      <c r="F111" s="5" t="s">
        <v>197</v>
      </c>
    </row>
    <row r="114" spans="3:11" ht="17">
      <c r="C114" t="s">
        <v>310</v>
      </c>
      <c r="E114" t="s">
        <v>311</v>
      </c>
      <c r="F114" s="121" t="s">
        <v>175</v>
      </c>
      <c r="G114" s="47">
        <f>G5+G25+G45+G65+G85</f>
        <v>449842745.88199067</v>
      </c>
      <c r="H114" s="47">
        <f>H5+H25+H45+H65+H85</f>
        <v>46307566.253469393</v>
      </c>
      <c r="I114" s="47">
        <f t="shared" ref="I114:K114" si="90">I5+I25+I45+I65+I85</f>
        <v>0</v>
      </c>
      <c r="J114" s="47">
        <f t="shared" si="90"/>
        <v>724408881.37946916</v>
      </c>
      <c r="K114" s="47">
        <f t="shared" si="90"/>
        <v>140815307.51021561</v>
      </c>
    </row>
    <row r="115" spans="3:11" ht="17">
      <c r="C115" s="156" t="s">
        <v>312</v>
      </c>
      <c r="F115" s="121" t="s">
        <v>176</v>
      </c>
      <c r="G115" s="47">
        <f t="shared" ref="G115:H118" si="91">G6+G26+G46+G66+G86</f>
        <v>128355723.81475037</v>
      </c>
      <c r="H115" s="47">
        <f t="shared" si="91"/>
        <v>31468012.634388771</v>
      </c>
      <c r="I115" s="47">
        <f t="shared" ref="I115:K115" si="92">I6+I26+I46+I66+I86</f>
        <v>0</v>
      </c>
      <c r="J115" s="47">
        <f t="shared" si="92"/>
        <v>598967040.76020348</v>
      </c>
      <c r="K115" s="47">
        <f t="shared" si="92"/>
        <v>175319555.86746448</v>
      </c>
    </row>
    <row r="116" spans="3:11" ht="17">
      <c r="F116" s="121" t="s">
        <v>177</v>
      </c>
      <c r="G116" s="47">
        <f t="shared" si="91"/>
        <v>1069259673.3562987</v>
      </c>
      <c r="H116" s="47">
        <f t="shared" si="91"/>
        <v>47155242.313017286</v>
      </c>
      <c r="I116" s="47">
        <f t="shared" ref="I116:K116" si="93">I7+I27+I47+I67+I87</f>
        <v>0</v>
      </c>
      <c r="J116" s="47">
        <f t="shared" si="93"/>
        <v>1227303972.7639687</v>
      </c>
      <c r="K116" s="47">
        <f t="shared" si="93"/>
        <v>1252350792.2219524</v>
      </c>
    </row>
    <row r="117" spans="3:11" ht="17">
      <c r="F117" s="121" t="s">
        <v>178</v>
      </c>
      <c r="G117" s="47">
        <f t="shared" si="91"/>
        <v>1229051602.0726373</v>
      </c>
      <c r="H117" s="47">
        <f t="shared" si="91"/>
        <v>49336099.772080824</v>
      </c>
      <c r="I117" s="47">
        <f t="shared" ref="I117:K117" si="94">I8+I28+I48+I68+I88</f>
        <v>0</v>
      </c>
      <c r="J117" s="47">
        <f t="shared" si="94"/>
        <v>1019577912.8084687</v>
      </c>
      <c r="K117" s="47">
        <f t="shared" si="94"/>
        <v>636938798.47803867</v>
      </c>
    </row>
    <row r="118" spans="3:11" ht="17">
      <c r="F118" s="121" t="s">
        <v>179</v>
      </c>
      <c r="G118" s="47">
        <f t="shared" si="91"/>
        <v>626291920.45841646</v>
      </c>
      <c r="H118" s="47">
        <f t="shared" si="91"/>
        <v>11011591.753026357</v>
      </c>
      <c r="I118" s="47">
        <f t="shared" ref="I118:K118" si="95">I9+I29+I49+I69+I89</f>
        <v>0</v>
      </c>
      <c r="J118" s="47">
        <f t="shared" si="95"/>
        <v>372677955.55920053</v>
      </c>
      <c r="K118" s="47">
        <f t="shared" si="95"/>
        <v>204710161.42349958</v>
      </c>
    </row>
    <row r="119" spans="3:11" ht="17">
      <c r="E119" t="s">
        <v>313</v>
      </c>
      <c r="F119" s="121" t="s">
        <v>175</v>
      </c>
      <c r="G119" s="47">
        <f t="shared" ref="G119:K119" si="96">G10+G30+G50+G70+G90</f>
        <v>358853800.1234796</v>
      </c>
      <c r="H119" s="47">
        <f t="shared" si="96"/>
        <v>57216067.880795375</v>
      </c>
      <c r="I119" s="47">
        <f t="shared" si="96"/>
        <v>0</v>
      </c>
      <c r="J119" s="47">
        <f t="shared" si="96"/>
        <v>111552432.60446176</v>
      </c>
      <c r="K119" s="47">
        <f t="shared" si="96"/>
        <v>1293979.1240102379</v>
      </c>
    </row>
    <row r="120" spans="3:11" ht="17">
      <c r="F120" s="121" t="s">
        <v>176</v>
      </c>
      <c r="G120" s="47">
        <f t="shared" ref="G120:K120" si="97">G11+G31+G51+G71+G91</f>
        <v>31791526.018919528</v>
      </c>
      <c r="H120" s="47">
        <f t="shared" si="97"/>
        <v>29656335.692048859</v>
      </c>
      <c r="I120" s="47">
        <f t="shared" si="97"/>
        <v>0</v>
      </c>
      <c r="J120" s="47">
        <f t="shared" si="97"/>
        <v>66312958.19142095</v>
      </c>
      <c r="K120" s="47">
        <f t="shared" si="97"/>
        <v>185530.89406030328</v>
      </c>
    </row>
    <row r="121" spans="3:11" ht="17">
      <c r="F121" s="121" t="s">
        <v>177</v>
      </c>
      <c r="G121" s="47">
        <f t="shared" ref="G121:K121" si="98">G12+G32+G52+G72+G92</f>
        <v>430091384.06137329</v>
      </c>
      <c r="H121" s="47">
        <f t="shared" si="98"/>
        <v>31866248.931110051</v>
      </c>
      <c r="I121" s="47">
        <f t="shared" si="98"/>
        <v>0</v>
      </c>
      <c r="J121" s="47">
        <f t="shared" si="98"/>
        <v>107189310.37386456</v>
      </c>
      <c r="K121" s="47">
        <f t="shared" si="98"/>
        <v>65868008.083009683</v>
      </c>
    </row>
    <row r="122" spans="3:11" ht="17">
      <c r="F122" s="121" t="s">
        <v>178</v>
      </c>
      <c r="G122" s="47">
        <f t="shared" ref="G122:K122" si="99">G13+G33+G53+G73+G93</f>
        <v>254611771.69617629</v>
      </c>
      <c r="H122" s="47">
        <f t="shared" si="99"/>
        <v>28216995.044964552</v>
      </c>
      <c r="I122" s="47">
        <f t="shared" si="99"/>
        <v>0</v>
      </c>
      <c r="J122" s="47">
        <f t="shared" si="99"/>
        <v>29212887.373747595</v>
      </c>
      <c r="K122" s="47">
        <f t="shared" si="99"/>
        <v>1673842.272076288</v>
      </c>
    </row>
    <row r="123" spans="3:11" ht="17">
      <c r="F123" s="121" t="s">
        <v>179</v>
      </c>
      <c r="G123" s="47">
        <f t="shared" ref="G123:K124" si="100">G14+G34+G54+G74+G94</f>
        <v>167503347.52365977</v>
      </c>
      <c r="H123" s="47">
        <f t="shared" si="100"/>
        <v>7129947.9489206271</v>
      </c>
      <c r="I123" s="47">
        <f t="shared" si="100"/>
        <v>0</v>
      </c>
      <c r="J123" s="47">
        <f t="shared" si="100"/>
        <v>11970105.461469935</v>
      </c>
      <c r="K123" s="47">
        <f t="shared" si="100"/>
        <v>913815.73036516039</v>
      </c>
    </row>
    <row r="124" spans="3:11" ht="17">
      <c r="E124" t="s">
        <v>314</v>
      </c>
      <c r="F124" s="121" t="s">
        <v>175</v>
      </c>
      <c r="G124" s="47">
        <f t="shared" si="100"/>
        <v>674448531.57937276</v>
      </c>
      <c r="H124" s="47">
        <f t="shared" si="100"/>
        <v>135893457.7122665</v>
      </c>
      <c r="I124" s="47">
        <f t="shared" si="100"/>
        <v>0</v>
      </c>
      <c r="J124" s="47">
        <f t="shared" si="100"/>
        <v>24356503.939583723</v>
      </c>
      <c r="K124" s="47">
        <f t="shared" si="100"/>
        <v>441337.18464325811</v>
      </c>
    </row>
    <row r="125" spans="3:11" ht="17">
      <c r="F125" s="121" t="s">
        <v>176</v>
      </c>
      <c r="G125" s="47">
        <f t="shared" ref="G125:K125" si="101">G16+G36+G56+G76+G96</f>
        <v>38589765.765310906</v>
      </c>
      <c r="H125" s="47">
        <f t="shared" si="101"/>
        <v>73702084.386163935</v>
      </c>
      <c r="I125" s="47">
        <f t="shared" si="101"/>
        <v>0</v>
      </c>
      <c r="J125" s="47">
        <f t="shared" si="101"/>
        <v>13698192.526881646</v>
      </c>
      <c r="K125" s="47">
        <f t="shared" si="101"/>
        <v>0</v>
      </c>
    </row>
    <row r="126" spans="3:11" ht="17">
      <c r="F126" s="121" t="s">
        <v>177</v>
      </c>
      <c r="G126" s="47">
        <f t="shared" ref="G126:K126" si="102">G17+G37+G57+G77+G97</f>
        <v>523838797.36054009</v>
      </c>
      <c r="H126" s="47">
        <f t="shared" si="102"/>
        <v>55364983.704379186</v>
      </c>
      <c r="I126" s="47">
        <f t="shared" si="102"/>
        <v>0</v>
      </c>
      <c r="J126" s="47">
        <f t="shared" si="102"/>
        <v>93614948.080391631</v>
      </c>
      <c r="K126" s="47">
        <f t="shared" si="102"/>
        <v>14497308.189763611</v>
      </c>
    </row>
    <row r="127" spans="3:11" ht="17">
      <c r="F127" s="121" t="s">
        <v>178</v>
      </c>
      <c r="G127" s="47">
        <f t="shared" ref="G127:K127" si="103">G18+G38+G58+G78+G98</f>
        <v>236781221.07081914</v>
      </c>
      <c r="H127" s="47">
        <f t="shared" si="103"/>
        <v>22877929.272932023</v>
      </c>
      <c r="I127" s="47">
        <f t="shared" si="103"/>
        <v>0</v>
      </c>
      <c r="J127" s="47">
        <f t="shared" si="103"/>
        <v>3894881.2427643668</v>
      </c>
      <c r="K127" s="47">
        <f t="shared" si="103"/>
        <v>92290.804252919275</v>
      </c>
    </row>
    <row r="128" spans="3:11" ht="17">
      <c r="F128" s="121" t="s">
        <v>179</v>
      </c>
      <c r="G128" s="47">
        <f t="shared" ref="G128:K129" si="104">G19+G39+G59+G79+G99</f>
        <v>154577679.98910242</v>
      </c>
      <c r="H128" s="47">
        <f t="shared" si="104"/>
        <v>7349747.9753269162</v>
      </c>
      <c r="I128" s="47">
        <f t="shared" si="104"/>
        <v>0</v>
      </c>
      <c r="J128" s="47">
        <f t="shared" si="104"/>
        <v>2703732.7632204089</v>
      </c>
      <c r="K128" s="47">
        <f t="shared" si="104"/>
        <v>0</v>
      </c>
    </row>
    <row r="129" spans="5:11" ht="17">
      <c r="E129" t="s">
        <v>315</v>
      </c>
      <c r="F129" s="121" t="s">
        <v>175</v>
      </c>
      <c r="G129" s="47">
        <f t="shared" si="104"/>
        <v>411110052.23995066</v>
      </c>
      <c r="H129" s="47">
        <f t="shared" si="104"/>
        <v>103544138.94176845</v>
      </c>
      <c r="I129" s="47">
        <f t="shared" si="104"/>
        <v>0</v>
      </c>
      <c r="J129" s="47">
        <f t="shared" si="104"/>
        <v>410188.92346563627</v>
      </c>
      <c r="K129" s="47">
        <f t="shared" si="104"/>
        <v>134138.7363931158</v>
      </c>
    </row>
    <row r="130" spans="5:11" ht="17">
      <c r="F130" s="121" t="s">
        <v>176</v>
      </c>
      <c r="G130" s="47">
        <f t="shared" ref="G130:K130" si="105">G21+G41+G61+G81+G101</f>
        <v>22462810.73052362</v>
      </c>
      <c r="H130" s="47">
        <f t="shared" si="105"/>
        <v>50671687.90117722</v>
      </c>
      <c r="I130" s="47">
        <f t="shared" si="105"/>
        <v>0</v>
      </c>
      <c r="J130" s="47">
        <f t="shared" si="105"/>
        <v>0</v>
      </c>
      <c r="K130" s="47">
        <f t="shared" si="105"/>
        <v>190107.37757854562</v>
      </c>
    </row>
    <row r="131" spans="5:11" ht="17">
      <c r="F131" s="121" t="s">
        <v>177</v>
      </c>
      <c r="G131" s="47">
        <f t="shared" ref="G131:K131" si="106">G22+G42+G62+G82+G102</f>
        <v>424247160.78505731</v>
      </c>
      <c r="H131" s="47">
        <f t="shared" si="106"/>
        <v>85210619.844314232</v>
      </c>
      <c r="I131" s="47">
        <f t="shared" si="106"/>
        <v>0</v>
      </c>
      <c r="J131" s="47">
        <f t="shared" si="106"/>
        <v>25923627.749110885</v>
      </c>
      <c r="K131" s="47">
        <f t="shared" si="106"/>
        <v>46130.694614008658</v>
      </c>
    </row>
    <row r="132" spans="5:11" ht="17">
      <c r="F132" s="121" t="s">
        <v>178</v>
      </c>
      <c r="G132" s="47">
        <f t="shared" ref="G132:K132" si="107">G23+G43+G63+G83+G103</f>
        <v>75748620.924963787</v>
      </c>
      <c r="H132" s="47">
        <f t="shared" si="107"/>
        <v>14571614.131641028</v>
      </c>
      <c r="I132" s="47">
        <f t="shared" si="107"/>
        <v>0</v>
      </c>
      <c r="J132" s="47">
        <f t="shared" si="107"/>
        <v>0</v>
      </c>
      <c r="K132" s="47">
        <f t="shared" si="107"/>
        <v>0</v>
      </c>
    </row>
    <row r="133" spans="5:11" ht="17">
      <c r="F133" s="121" t="s">
        <v>179</v>
      </c>
      <c r="G133" s="47">
        <f t="shared" ref="G133:J133" si="108">G24+G44+G64+G84+G104</f>
        <v>78113839.072423488</v>
      </c>
      <c r="H133" s="47">
        <f t="shared" si="108"/>
        <v>13622716.417737368</v>
      </c>
      <c r="I133" s="47">
        <f t="shared" si="108"/>
        <v>0</v>
      </c>
      <c r="J133" s="47">
        <f t="shared" si="108"/>
        <v>624476.75150606723</v>
      </c>
      <c r="K133" s="47">
        <f>K24+K44+K64+K84+K104</f>
        <v>0</v>
      </c>
    </row>
    <row r="134" spans="5:11">
      <c r="G134" s="47"/>
    </row>
    <row r="135" spans="5:11">
      <c r="G135" s="47"/>
    </row>
    <row r="136" spans="5:11">
      <c r="G136" s="47"/>
    </row>
    <row r="137" spans="5:11">
      <c r="G137" s="47"/>
    </row>
    <row r="138" spans="5:11">
      <c r="G138" s="47"/>
    </row>
    <row r="139" spans="5:11">
      <c r="G139" s="47"/>
    </row>
    <row r="140" spans="5:11">
      <c r="G140" s="47"/>
    </row>
    <row r="141" spans="5:11">
      <c r="G141" s="47"/>
    </row>
    <row r="142" spans="5:11">
      <c r="G142" s="47"/>
    </row>
    <row r="143" spans="5:11">
      <c r="G143" s="47"/>
    </row>
    <row r="144" spans="5:11">
      <c r="G144" s="47"/>
    </row>
    <row r="145" spans="7:7">
      <c r="G145" s="47"/>
    </row>
    <row r="146" spans="7:7">
      <c r="G146" s="47"/>
    </row>
    <row r="147" spans="7:7">
      <c r="G147" s="47"/>
    </row>
    <row r="148" spans="7:7">
      <c r="G148" s="47"/>
    </row>
    <row r="149" spans="7:7">
      <c r="G149" s="47"/>
    </row>
  </sheetData>
  <mergeCells count="54">
    <mergeCell ref="A1:L1"/>
    <mergeCell ref="A2:F4"/>
    <mergeCell ref="G2:L2"/>
    <mergeCell ref="A5:A104"/>
    <mergeCell ref="B5:B24"/>
    <mergeCell ref="C5:C24"/>
    <mergeCell ref="D5:D9"/>
    <mergeCell ref="E5:E9"/>
    <mergeCell ref="D10:D14"/>
    <mergeCell ref="E10:E14"/>
    <mergeCell ref="D15:D19"/>
    <mergeCell ref="E15:E19"/>
    <mergeCell ref="D20:D24"/>
    <mergeCell ref="E20:E24"/>
    <mergeCell ref="B25:B44"/>
    <mergeCell ref="C25:C44"/>
    <mergeCell ref="D25:D29"/>
    <mergeCell ref="E25:E29"/>
    <mergeCell ref="D30:D34"/>
    <mergeCell ref="E30:E34"/>
    <mergeCell ref="D35:D39"/>
    <mergeCell ref="E35:E39"/>
    <mergeCell ref="D40:D44"/>
    <mergeCell ref="E40:E44"/>
    <mergeCell ref="B45:B64"/>
    <mergeCell ref="C45:C64"/>
    <mergeCell ref="D45:D49"/>
    <mergeCell ref="E45:E49"/>
    <mergeCell ref="D50:D54"/>
    <mergeCell ref="E50:E54"/>
    <mergeCell ref="D55:D59"/>
    <mergeCell ref="E55:E59"/>
    <mergeCell ref="D60:D64"/>
    <mergeCell ref="E60:E64"/>
    <mergeCell ref="B65:B84"/>
    <mergeCell ref="C65:C84"/>
    <mergeCell ref="D65:D69"/>
    <mergeCell ref="E65:E69"/>
    <mergeCell ref="D70:D74"/>
    <mergeCell ref="E70:E74"/>
    <mergeCell ref="D75:D79"/>
    <mergeCell ref="E75:E79"/>
    <mergeCell ref="D80:D84"/>
    <mergeCell ref="E80:E84"/>
    <mergeCell ref="B85:B104"/>
    <mergeCell ref="C85:C104"/>
    <mergeCell ref="D85:D89"/>
    <mergeCell ref="E85:E89"/>
    <mergeCell ref="D90:D94"/>
    <mergeCell ref="E90:E94"/>
    <mergeCell ref="D95:D99"/>
    <mergeCell ref="E95:E99"/>
    <mergeCell ref="D100:D104"/>
    <mergeCell ref="E100:E104"/>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56F7-ECE7-4445-9943-F3E0F59E09D3}">
  <dimension ref="A2:W30"/>
  <sheetViews>
    <sheetView zoomScale="90" zoomScaleNormal="90" workbookViewId="0">
      <selection activeCell="H30" sqref="H30"/>
    </sheetView>
  </sheetViews>
  <sheetFormatPr baseColWidth="10" defaultColWidth="8.83203125" defaultRowHeight="15"/>
  <cols>
    <col min="1" max="1" width="23.5" customWidth="1"/>
  </cols>
  <sheetData>
    <row r="2" spans="1:23">
      <c r="B2" t="s">
        <v>103</v>
      </c>
    </row>
    <row r="3" spans="1:23">
      <c r="B3">
        <v>0</v>
      </c>
    </row>
    <row r="4" spans="1:23">
      <c r="N4" s="5" t="s">
        <v>7</v>
      </c>
      <c r="O4" t="s">
        <v>117</v>
      </c>
    </row>
    <row r="5" spans="1:23">
      <c r="A5" t="s">
        <v>7</v>
      </c>
      <c r="B5" t="s">
        <v>8</v>
      </c>
      <c r="P5">
        <v>1</v>
      </c>
      <c r="Q5">
        <v>2</v>
      </c>
      <c r="R5">
        <v>3</v>
      </c>
      <c r="S5">
        <v>4</v>
      </c>
      <c r="T5">
        <v>5</v>
      </c>
    </row>
    <row r="6" spans="1:23">
      <c r="C6">
        <v>1</v>
      </c>
      <c r="D6">
        <v>2</v>
      </c>
      <c r="E6">
        <v>3</v>
      </c>
      <c r="F6">
        <v>4</v>
      </c>
      <c r="G6">
        <v>5</v>
      </c>
      <c r="O6" t="s">
        <v>118</v>
      </c>
    </row>
    <row r="7" spans="1:23">
      <c r="B7">
        <v>1</v>
      </c>
      <c r="O7" t="s">
        <v>119</v>
      </c>
    </row>
    <row r="8" spans="1:23">
      <c r="B8">
        <v>2</v>
      </c>
      <c r="O8" t="s">
        <v>120</v>
      </c>
    </row>
    <row r="9" spans="1:23">
      <c r="B9">
        <v>3</v>
      </c>
      <c r="O9" t="s">
        <v>121</v>
      </c>
    </row>
    <row r="10" spans="1:23">
      <c r="B10">
        <v>4</v>
      </c>
      <c r="O10" t="s">
        <v>122</v>
      </c>
    </row>
    <row r="11" spans="1:23">
      <c r="B11">
        <v>5</v>
      </c>
    </row>
    <row r="13" spans="1:23">
      <c r="O13" t="s">
        <v>123</v>
      </c>
    </row>
    <row r="14" spans="1:23">
      <c r="B14" t="s">
        <v>9</v>
      </c>
      <c r="P14">
        <v>1</v>
      </c>
      <c r="Q14">
        <v>2</v>
      </c>
      <c r="R14">
        <v>3</v>
      </c>
      <c r="S14">
        <v>4</v>
      </c>
      <c r="T14">
        <v>5</v>
      </c>
    </row>
    <row r="15" spans="1:23">
      <c r="C15">
        <v>1</v>
      </c>
      <c r="D15">
        <v>2</v>
      </c>
      <c r="E15">
        <v>3</v>
      </c>
      <c r="F15">
        <v>4</v>
      </c>
      <c r="G15">
        <v>5</v>
      </c>
      <c r="H15">
        <v>6</v>
      </c>
      <c r="O15">
        <v>1</v>
      </c>
      <c r="P15" t="s">
        <v>124</v>
      </c>
      <c r="Q15" t="s">
        <v>125</v>
      </c>
      <c r="R15" t="s">
        <v>125</v>
      </c>
      <c r="S15" t="s">
        <v>125</v>
      </c>
      <c r="T15" t="s">
        <v>125</v>
      </c>
      <c r="V15" t="s">
        <v>50</v>
      </c>
      <c r="W15" t="s">
        <v>126</v>
      </c>
    </row>
    <row r="16" spans="1:23">
      <c r="B16">
        <v>1</v>
      </c>
      <c r="O16">
        <v>2</v>
      </c>
      <c r="P16" t="s">
        <v>124</v>
      </c>
      <c r="V16" t="s">
        <v>51</v>
      </c>
      <c r="W16" s="5" t="s">
        <v>125</v>
      </c>
    </row>
    <row r="17" spans="2:23">
      <c r="B17">
        <v>2</v>
      </c>
      <c r="O17">
        <v>3</v>
      </c>
      <c r="P17" t="s">
        <v>124</v>
      </c>
      <c r="V17" t="s">
        <v>52</v>
      </c>
      <c r="W17" t="s">
        <v>127</v>
      </c>
    </row>
    <row r="18" spans="2:23">
      <c r="B18">
        <v>3</v>
      </c>
      <c r="O18">
        <v>4</v>
      </c>
      <c r="P18" t="s">
        <v>124</v>
      </c>
      <c r="V18" t="s">
        <v>53</v>
      </c>
      <c r="W18" t="s">
        <v>128</v>
      </c>
    </row>
    <row r="19" spans="2:23">
      <c r="B19">
        <v>4</v>
      </c>
      <c r="O19">
        <v>5</v>
      </c>
      <c r="P19" t="s">
        <v>124</v>
      </c>
      <c r="V19" t="s">
        <v>54</v>
      </c>
      <c r="W19" t="s">
        <v>129</v>
      </c>
    </row>
    <row r="20" spans="2:23">
      <c r="B20">
        <v>5</v>
      </c>
    </row>
    <row r="23" spans="2:23">
      <c r="O23" t="s">
        <v>130</v>
      </c>
    </row>
    <row r="24" spans="2:23">
      <c r="B24" t="s">
        <v>8</v>
      </c>
      <c r="P24">
        <v>1</v>
      </c>
      <c r="Q24">
        <v>2</v>
      </c>
      <c r="R24">
        <v>3</v>
      </c>
      <c r="S24">
        <v>4</v>
      </c>
      <c r="T24">
        <v>5</v>
      </c>
    </row>
    <row r="25" spans="2:23">
      <c r="C25">
        <v>1</v>
      </c>
      <c r="D25">
        <v>2</v>
      </c>
      <c r="E25">
        <v>3</v>
      </c>
      <c r="F25">
        <v>4</v>
      </c>
      <c r="G25">
        <v>5</v>
      </c>
      <c r="O25">
        <v>1</v>
      </c>
    </row>
    <row r="26" spans="2:23">
      <c r="B26">
        <v>1</v>
      </c>
      <c r="O26">
        <v>2</v>
      </c>
    </row>
    <row r="27" spans="2:23">
      <c r="B27">
        <v>2</v>
      </c>
      <c r="O27">
        <v>3</v>
      </c>
    </row>
    <row r="28" spans="2:23">
      <c r="B28">
        <v>3</v>
      </c>
      <c r="O28">
        <v>4</v>
      </c>
    </row>
    <row r="29" spans="2:23">
      <c r="B29">
        <v>4</v>
      </c>
      <c r="O29">
        <v>5</v>
      </c>
    </row>
    <row r="30" spans="2:23">
      <c r="B30">
        <v>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4CD1-3107-4C45-BBFC-313C9336980A}">
  <dimension ref="A2:F64"/>
  <sheetViews>
    <sheetView workbookViewId="0">
      <selection activeCell="B50" sqref="B50"/>
    </sheetView>
  </sheetViews>
  <sheetFormatPr baseColWidth="10" defaultColWidth="8.83203125" defaultRowHeight="15"/>
  <cols>
    <col min="1" max="1" width="23.5" bestFit="1" customWidth="1"/>
    <col min="2" max="2" width="11.83203125" bestFit="1" customWidth="1"/>
    <col min="3" max="3" width="19.6640625" customWidth="1"/>
    <col min="4" max="4" width="19.5" bestFit="1" customWidth="1"/>
  </cols>
  <sheetData>
    <row r="2" spans="1:4">
      <c r="A2" s="5" t="s">
        <v>25</v>
      </c>
    </row>
    <row r="3" spans="1:4">
      <c r="A3" t="s">
        <v>0</v>
      </c>
      <c r="B3" s="1">
        <v>775474000000000</v>
      </c>
    </row>
    <row r="4" spans="1:4">
      <c r="A4" t="s">
        <v>1</v>
      </c>
      <c r="B4" s="1">
        <v>194109000000000</v>
      </c>
    </row>
    <row r="5" spans="1:4">
      <c r="A5" t="s">
        <v>2</v>
      </c>
      <c r="B5" s="1">
        <v>145522000000000</v>
      </c>
    </row>
    <row r="6" spans="1:4">
      <c r="A6" t="s">
        <v>3</v>
      </c>
      <c r="B6" s="1">
        <v>16952000000000</v>
      </c>
    </row>
    <row r="12" spans="1:4">
      <c r="A12" s="5" t="s">
        <v>26</v>
      </c>
      <c r="B12" s="1">
        <v>16437500000</v>
      </c>
    </row>
    <row r="15" spans="1:4">
      <c r="A15" s="5" t="s">
        <v>27</v>
      </c>
      <c r="D15" s="5" t="s">
        <v>31</v>
      </c>
    </row>
    <row r="16" spans="1:4">
      <c r="A16" t="s">
        <v>28</v>
      </c>
      <c r="B16">
        <v>0.57999999999999996</v>
      </c>
      <c r="D16" s="2">
        <f>$B$12*B16</f>
        <v>9533750000</v>
      </c>
    </row>
    <row r="17" spans="1:4">
      <c r="A17" t="s">
        <v>29</v>
      </c>
      <c r="B17">
        <v>0.35</v>
      </c>
      <c r="D17" s="2">
        <f t="shared" ref="D17:D18" si="0">$B$12*B17</f>
        <v>5753125000</v>
      </c>
    </row>
    <row r="18" spans="1:4">
      <c r="A18" t="s">
        <v>30</v>
      </c>
      <c r="B18">
        <v>7.0000000000000007E-2</v>
      </c>
      <c r="D18" s="2">
        <f t="shared" si="0"/>
        <v>1150625000</v>
      </c>
    </row>
    <row r="22" spans="1:4">
      <c r="A22" t="s">
        <v>32</v>
      </c>
    </row>
    <row r="23" spans="1:4">
      <c r="A23" t="s">
        <v>33</v>
      </c>
    </row>
    <row r="24" spans="1:4">
      <c r="A24" t="s">
        <v>39</v>
      </c>
    </row>
    <row r="26" spans="1:4">
      <c r="B26" s="10" t="s">
        <v>34</v>
      </c>
      <c r="C26" s="10" t="s">
        <v>6</v>
      </c>
      <c r="D26" s="10" t="s">
        <v>41</v>
      </c>
    </row>
    <row r="28" spans="1:4">
      <c r="A28" t="s">
        <v>40</v>
      </c>
      <c r="B28">
        <f>B62</f>
        <v>-0.9</v>
      </c>
      <c r="C28">
        <f>B63</f>
        <v>-2</v>
      </c>
      <c r="D28">
        <f>B64</f>
        <v>-0.4</v>
      </c>
    </row>
    <row r="29" spans="1:4">
      <c r="A29" t="s">
        <v>35</v>
      </c>
      <c r="B29">
        <f>B41</f>
        <v>-0.68</v>
      </c>
      <c r="C29">
        <f>B44</f>
        <v>-3.8800000000000001E-2</v>
      </c>
      <c r="D29">
        <f>B59</f>
        <v>-0.13200000000000001</v>
      </c>
    </row>
    <row r="30" spans="1:4">
      <c r="A30" t="s">
        <v>36</v>
      </c>
      <c r="B30">
        <f>B50</f>
        <v>30</v>
      </c>
      <c r="C30">
        <f>B53</f>
        <v>45</v>
      </c>
      <c r="D30">
        <f>B56</f>
        <v>60</v>
      </c>
    </row>
    <row r="32" spans="1:4">
      <c r="A32" t="s">
        <v>37</v>
      </c>
      <c r="B32">
        <f>B42</f>
        <v>-0.48899999999999999</v>
      </c>
      <c r="C32">
        <f>B45</f>
        <v>-1.7350000000000001</v>
      </c>
      <c r="D32">
        <f>B60</f>
        <v>-0.13200000000000001</v>
      </c>
    </row>
    <row r="33" spans="1:6">
      <c r="A33" t="s">
        <v>38</v>
      </c>
      <c r="B33">
        <f>B51</f>
        <v>5</v>
      </c>
      <c r="C33">
        <f>B54</f>
        <v>3</v>
      </c>
      <c r="D33">
        <f>B57</f>
        <v>3</v>
      </c>
    </row>
    <row r="35" spans="1:6">
      <c r="A35" s="6" t="s">
        <v>45</v>
      </c>
      <c r="B35" s="6">
        <f>B28+B29*B30+B32*B33</f>
        <v>-23.745000000000001</v>
      </c>
      <c r="C35" s="6">
        <f t="shared" ref="C35" si="1">C28+C29*C30+C32*C33</f>
        <v>-8.9510000000000005</v>
      </c>
      <c r="D35" s="6">
        <f>D28+D29*D30+D32*D33</f>
        <v>-8.7160000000000011</v>
      </c>
    </row>
    <row r="36" spans="1:6">
      <c r="A36" t="s">
        <v>46</v>
      </c>
      <c r="B36">
        <f>EXP(B35)</f>
        <v>4.8716662430236385E-11</v>
      </c>
      <c r="C36">
        <f t="shared" ref="C36:D36" si="2">EXP(C35)</f>
        <v>1.2960748773267069E-4</v>
      </c>
      <c r="D36">
        <f t="shared" si="2"/>
        <v>1.6394164772649575E-4</v>
      </c>
      <c r="F36" t="s">
        <v>47</v>
      </c>
    </row>
    <row r="38" spans="1:6">
      <c r="A38" t="s">
        <v>48</v>
      </c>
      <c r="B38">
        <f>B36/SUM(B36:D36)</f>
        <v>1.6595741039789872E-7</v>
      </c>
      <c r="C38">
        <f>C36/SUM(B36:D36)</f>
        <v>0.44151881428850759</v>
      </c>
      <c r="D38">
        <f>D36/SUM(B36:D36)</f>
        <v>0.55848101975408204</v>
      </c>
    </row>
    <row r="41" spans="1:6">
      <c r="A41" s="7" t="s">
        <v>10</v>
      </c>
      <c r="B41" s="8">
        <v>-0.68</v>
      </c>
      <c r="C41" s="7"/>
      <c r="D41" s="7"/>
    </row>
    <row r="42" spans="1:6">
      <c r="A42" s="7" t="s">
        <v>11</v>
      </c>
      <c r="B42" s="8">
        <v>-0.48899999999999999</v>
      </c>
      <c r="C42" s="7"/>
      <c r="D42" s="7"/>
    </row>
    <row r="43" spans="1:6">
      <c r="A43" s="7"/>
      <c r="B43" s="8"/>
      <c r="C43" s="7"/>
      <c r="D43" s="7"/>
    </row>
    <row r="44" spans="1:6">
      <c r="A44" s="7" t="s">
        <v>12</v>
      </c>
      <c r="B44" s="9">
        <v>-3.8800000000000001E-2</v>
      </c>
      <c r="C44" s="7"/>
      <c r="D44" s="7"/>
    </row>
    <row r="45" spans="1:6">
      <c r="A45" s="7" t="s">
        <v>13</v>
      </c>
      <c r="B45" s="8">
        <v>-1.7350000000000001</v>
      </c>
      <c r="C45" s="7"/>
      <c r="D45" s="7"/>
    </row>
    <row r="46" spans="1:6">
      <c r="A46" s="7" t="s">
        <v>24</v>
      </c>
      <c r="B46" s="9">
        <v>-3.8800000000000001E-2</v>
      </c>
      <c r="C46" s="9"/>
      <c r="D46" s="9"/>
    </row>
    <row r="47" spans="1:6">
      <c r="A47" s="7" t="s">
        <v>23</v>
      </c>
      <c r="B47" s="9">
        <v>-3.8800000000000001E-2</v>
      </c>
      <c r="C47" s="9"/>
      <c r="D47" s="9"/>
    </row>
    <row r="48" spans="1:6">
      <c r="A48" s="7"/>
      <c r="B48" s="8"/>
      <c r="C48" s="7"/>
      <c r="D48" s="7"/>
    </row>
    <row r="49" spans="1:4">
      <c r="A49" s="7"/>
      <c r="B49" s="8"/>
      <c r="C49" s="7"/>
      <c r="D49" s="7"/>
    </row>
    <row r="50" spans="1:4">
      <c r="A50" s="7" t="s">
        <v>18</v>
      </c>
      <c r="B50" s="8">
        <v>30</v>
      </c>
      <c r="C50" s="7"/>
      <c r="D50" s="7"/>
    </row>
    <row r="51" spans="1:4">
      <c r="A51" s="7" t="s">
        <v>19</v>
      </c>
      <c r="B51" s="8">
        <v>5</v>
      </c>
      <c r="C51" s="7"/>
      <c r="D51" s="7"/>
    </row>
    <row r="52" spans="1:4">
      <c r="A52" s="7"/>
      <c r="B52" s="8"/>
      <c r="C52" s="7"/>
      <c r="D52" s="7"/>
    </row>
    <row r="53" spans="1:4">
      <c r="A53" s="7" t="s">
        <v>20</v>
      </c>
      <c r="B53" s="8">
        <v>45</v>
      </c>
      <c r="C53" s="7"/>
      <c r="D53" s="7"/>
    </row>
    <row r="54" spans="1:4">
      <c r="A54" s="7" t="s">
        <v>21</v>
      </c>
      <c r="B54" s="8">
        <v>3</v>
      </c>
      <c r="C54" s="7"/>
      <c r="D54" s="7"/>
    </row>
    <row r="55" spans="1:4">
      <c r="A55" s="7"/>
      <c r="B55" s="8"/>
      <c r="C55" s="7"/>
      <c r="D55" s="7"/>
    </row>
    <row r="56" spans="1:4">
      <c r="A56" s="7" t="s">
        <v>42</v>
      </c>
      <c r="B56" s="8">
        <v>60</v>
      </c>
      <c r="C56" s="7"/>
      <c r="D56" s="7"/>
    </row>
    <row r="57" spans="1:4">
      <c r="A57" s="7" t="s">
        <v>43</v>
      </c>
      <c r="B57" s="8">
        <v>3</v>
      </c>
      <c r="C57" s="7"/>
      <c r="D57" s="7"/>
    </row>
    <row r="58" spans="1:4">
      <c r="A58" s="7"/>
      <c r="B58" s="8"/>
      <c r="C58" s="7"/>
      <c r="D58" s="7"/>
    </row>
    <row r="59" spans="1:4">
      <c r="A59" s="7" t="s">
        <v>14</v>
      </c>
      <c r="B59" s="9">
        <v>-0.13200000000000001</v>
      </c>
      <c r="C59" s="7"/>
      <c r="D59" s="7"/>
    </row>
    <row r="60" spans="1:4">
      <c r="A60" s="7" t="s">
        <v>44</v>
      </c>
      <c r="B60" s="9">
        <v>-0.13200000000000001</v>
      </c>
      <c r="C60" s="7"/>
      <c r="D60" s="7"/>
    </row>
    <row r="61" spans="1:4">
      <c r="A61" s="7"/>
      <c r="B61" s="8"/>
      <c r="C61" s="7"/>
      <c r="D61" s="7"/>
    </row>
    <row r="62" spans="1:4">
      <c r="A62" s="7" t="s">
        <v>15</v>
      </c>
      <c r="B62" s="8">
        <v>-0.9</v>
      </c>
      <c r="C62" s="8">
        <v>-0.9</v>
      </c>
      <c r="D62" s="8">
        <v>-0.9</v>
      </c>
    </row>
    <row r="63" spans="1:4">
      <c r="A63" s="7" t="s">
        <v>16</v>
      </c>
      <c r="B63" s="8">
        <v>-2</v>
      </c>
      <c r="C63" s="8">
        <v>-4.8499999999999996</v>
      </c>
      <c r="D63" s="8">
        <v>-4.8499999999999996</v>
      </c>
    </row>
    <row r="64" spans="1:4">
      <c r="A64" s="7" t="s">
        <v>17</v>
      </c>
      <c r="B64" s="8">
        <v>-0.4</v>
      </c>
      <c r="C64" s="8">
        <v>-0.4</v>
      </c>
      <c r="D64" s="8">
        <v>-0.4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input TT STED</vt:lpstr>
      <vt:lpstr>input TT (OLD)</vt:lpstr>
      <vt:lpstr>verplaatsingen</vt:lpstr>
      <vt:lpstr>initial trips short</vt:lpstr>
      <vt:lpstr>initial trips middleshort</vt:lpstr>
      <vt:lpstr>initial trips middlelong</vt:lpstr>
      <vt:lpstr>initial trips long</vt:lpstr>
      <vt:lpstr>input B</vt:lpstr>
      <vt:lpstr>input B (Octavius)</vt:lpstr>
      <vt:lpstr>Beta berekening (LMS)</vt:lpstr>
      <vt:lpstr>ASC</vt:lpstr>
      <vt:lpstr>input TT</vt:lpstr>
      <vt:lpstr>draaiknoppen</vt:lpstr>
      <vt:lpstr>Calc_var_car</vt:lpstr>
      <vt:lpstr>var_car</vt:lpstr>
      <vt:lpstr>distribution</vt:lpstr>
      <vt:lpstr>Movements</vt:lpstr>
      <vt:lpstr>Clac_tele_inital</vt:lpstr>
      <vt:lpstr>Congestion</vt:lpstr>
      <vt:lpstr>Thomas ASC berekenig voorbereid</vt:lpstr>
      <vt:lpstr>OD</vt:lpstr>
      <vt:lpstr>OD2</vt:lpstr>
      <vt:lpstr>Blad2</vt:lpstr>
      <vt:lpstr>attractiveness zone</vt:lpstr>
      <vt:lpstr>Movements with area type</vt:lpstr>
      <vt:lpstr>HB matrix per subscript</vt:lpstr>
      <vt:lpstr>Model in excel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van Tol</dc:creator>
  <cp:lastModifiedBy>Thomas van Tol</cp:lastModifiedBy>
  <dcterms:created xsi:type="dcterms:W3CDTF">2015-06-05T18:19:34Z</dcterms:created>
  <dcterms:modified xsi:type="dcterms:W3CDTF">2022-08-18T14:22:54Z</dcterms:modified>
</cp:coreProperties>
</file>