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homasdeclercq/Desktop/INGE12BA/Q2/Management science /Projet /Xpress/Fichier final Xpress/"/>
    </mc:Choice>
  </mc:AlternateContent>
  <xr:revisionPtr revIDLastSave="0" documentId="13_ncr:1_{DB86090A-29B5-354F-90DC-3038B358715D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Vides" sheetId="1" r:id="rId1"/>
    <sheet name="Pleins" sheetId="2" r:id="rId2"/>
    <sheet name="Stock" sheetId="3" r:id="rId3"/>
    <sheet name="Leasing" sheetId="4" r:id="rId4"/>
    <sheet name="Demandes" sheetId="6" r:id="rId5"/>
    <sheet name="Revenus" sheetId="7" r:id="rId6"/>
    <sheet name="Contraintes " sheetId="8" r:id="rId7"/>
    <sheet name="Dispos" sheetId="9" r:id="rId8"/>
    <sheet name="Question 2" sheetId="10" r:id="rId9"/>
    <sheet name="Question 3.1" sheetId="13" r:id="rId10"/>
    <sheet name="Question 3.2" sheetId="11" r:id="rId11"/>
    <sheet name="Question 4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3" l="1"/>
  <c r="L18" i="13"/>
  <c r="K14" i="1"/>
  <c r="K3" i="1"/>
  <c r="K4" i="1"/>
  <c r="K5" i="1"/>
  <c r="K6" i="1"/>
  <c r="K7" i="1"/>
  <c r="K8" i="1"/>
  <c r="K9" i="1"/>
  <c r="K10" i="1"/>
  <c r="K11" i="1"/>
  <c r="K12" i="1"/>
  <c r="K2" i="1"/>
  <c r="K43" i="11"/>
  <c r="K105" i="11"/>
  <c r="B47" i="7"/>
  <c r="B127" i="12"/>
  <c r="B125" i="12"/>
  <c r="E127" i="12"/>
  <c r="E126" i="12"/>
  <c r="E125" i="12"/>
  <c r="D127" i="12"/>
  <c r="D126" i="12"/>
  <c r="D125" i="12"/>
  <c r="C127" i="12"/>
  <c r="C125" i="12"/>
  <c r="C126" i="12"/>
  <c r="B126" i="12"/>
  <c r="D122" i="12"/>
  <c r="K121" i="12"/>
  <c r="C122" i="12"/>
  <c r="K119" i="12"/>
  <c r="H119" i="12"/>
  <c r="I119" i="12"/>
  <c r="J119" i="12"/>
  <c r="K117" i="12"/>
  <c r="E117" i="12"/>
  <c r="J117" i="12"/>
  <c r="K115" i="12"/>
  <c r="I115" i="12"/>
  <c r="J115" i="12"/>
  <c r="K113" i="12"/>
  <c r="C113" i="12"/>
  <c r="D113" i="12"/>
  <c r="E113" i="12"/>
  <c r="F113" i="12"/>
  <c r="G113" i="12"/>
  <c r="I113" i="12"/>
  <c r="B113" i="12"/>
  <c r="K109" i="12"/>
  <c r="C109" i="12"/>
  <c r="D109" i="12"/>
  <c r="E109" i="12"/>
  <c r="I109" i="12"/>
  <c r="J109" i="12"/>
  <c r="D104" i="12"/>
  <c r="C104" i="12"/>
  <c r="K102" i="12"/>
  <c r="K101" i="12"/>
  <c r="K99" i="12"/>
  <c r="K97" i="12"/>
  <c r="K95" i="12"/>
  <c r="H101" i="12"/>
  <c r="I101" i="12"/>
  <c r="J101" i="12"/>
  <c r="J99" i="12"/>
  <c r="I99" i="12"/>
  <c r="C97" i="12"/>
  <c r="D97" i="12"/>
  <c r="E97" i="12"/>
  <c r="F97" i="12"/>
  <c r="G97" i="12"/>
  <c r="I97" i="12"/>
  <c r="B97" i="12"/>
  <c r="D95" i="12"/>
  <c r="E95" i="12"/>
  <c r="F95" i="12"/>
  <c r="I95" i="12"/>
  <c r="J95" i="12"/>
  <c r="D90" i="12"/>
  <c r="K88" i="12"/>
  <c r="C90" i="12"/>
  <c r="K87" i="12"/>
  <c r="I87" i="12"/>
  <c r="J87" i="12"/>
  <c r="K85" i="12"/>
  <c r="C85" i="12"/>
  <c r="D85" i="12"/>
  <c r="E85" i="12"/>
  <c r="F85" i="12"/>
  <c r="G85" i="12"/>
  <c r="I85" i="12"/>
  <c r="B85" i="12"/>
  <c r="K83" i="12"/>
  <c r="C83" i="12"/>
  <c r="D83" i="12"/>
  <c r="E83" i="12"/>
  <c r="I83" i="12"/>
  <c r="J83" i="12"/>
  <c r="D77" i="12"/>
  <c r="C77" i="12"/>
  <c r="K75" i="12"/>
  <c r="K74" i="12"/>
  <c r="K72" i="12"/>
  <c r="H74" i="12"/>
  <c r="I74" i="12"/>
  <c r="J74" i="12"/>
  <c r="C72" i="12"/>
  <c r="D72" i="12"/>
  <c r="E72" i="12"/>
  <c r="F72" i="12"/>
  <c r="G72" i="12"/>
  <c r="B72" i="12"/>
  <c r="C66" i="12"/>
  <c r="E66" i="12"/>
  <c r="F66" i="12"/>
  <c r="G66" i="12"/>
  <c r="G65" i="12"/>
  <c r="F65" i="12"/>
  <c r="E65" i="12"/>
  <c r="C65" i="12"/>
  <c r="G64" i="12"/>
  <c r="F64" i="12"/>
  <c r="E64" i="12"/>
  <c r="D64" i="12"/>
  <c r="C64" i="12"/>
  <c r="B64" i="12"/>
  <c r="C58" i="12"/>
  <c r="K55" i="12"/>
  <c r="D58" i="12" s="1"/>
  <c r="D55" i="12"/>
  <c r="H55" i="12"/>
  <c r="I55" i="12"/>
  <c r="J55" i="12"/>
  <c r="B55" i="12"/>
  <c r="C51" i="12"/>
  <c r="D51" i="12" s="1"/>
  <c r="K48" i="12"/>
  <c r="J48" i="12"/>
  <c r="C44" i="12"/>
  <c r="C37" i="12"/>
  <c r="C41" i="12"/>
  <c r="D41" i="12"/>
  <c r="C34" i="12"/>
  <c r="J34" i="12"/>
  <c r="B34" i="12"/>
  <c r="C30" i="12"/>
  <c r="C23" i="12"/>
  <c r="C27" i="12"/>
  <c r="D27" i="12"/>
  <c r="F20" i="12"/>
  <c r="B4" i="12" a="1"/>
  <c r="B4" i="12" s="1"/>
  <c r="E133" i="11"/>
  <c r="J30" i="11"/>
  <c r="C24" i="11"/>
  <c r="D24" i="11"/>
  <c r="E24" i="11"/>
  <c r="F24" i="11"/>
  <c r="G24" i="11"/>
  <c r="H24" i="11"/>
  <c r="I24" i="11"/>
  <c r="J24" i="11"/>
  <c r="C25" i="11"/>
  <c r="D25" i="11"/>
  <c r="E25" i="11"/>
  <c r="F25" i="11"/>
  <c r="G25" i="11"/>
  <c r="H25" i="11"/>
  <c r="I25" i="11"/>
  <c r="J25" i="11"/>
  <c r="C26" i="11"/>
  <c r="D26" i="11"/>
  <c r="E26" i="11"/>
  <c r="F26" i="11"/>
  <c r="G26" i="11"/>
  <c r="H26" i="11"/>
  <c r="I26" i="11"/>
  <c r="J26" i="11"/>
  <c r="C27" i="11"/>
  <c r="D27" i="11"/>
  <c r="E27" i="11"/>
  <c r="F27" i="11"/>
  <c r="G27" i="11"/>
  <c r="H27" i="11"/>
  <c r="I27" i="11"/>
  <c r="J27" i="11"/>
  <c r="C28" i="11"/>
  <c r="D28" i="11"/>
  <c r="E28" i="11"/>
  <c r="F28" i="11"/>
  <c r="G28" i="11"/>
  <c r="H28" i="11"/>
  <c r="I28" i="11"/>
  <c r="J28" i="11"/>
  <c r="C29" i="11"/>
  <c r="D29" i="11"/>
  <c r="E29" i="11"/>
  <c r="F29" i="11"/>
  <c r="G29" i="11"/>
  <c r="H29" i="11"/>
  <c r="I29" i="11"/>
  <c r="J29" i="11"/>
  <c r="C30" i="11"/>
  <c r="D30" i="11"/>
  <c r="E30" i="11"/>
  <c r="F30" i="11"/>
  <c r="G30" i="11"/>
  <c r="H30" i="11"/>
  <c r="I30" i="11"/>
  <c r="B24" i="11"/>
  <c r="B25" i="11"/>
  <c r="B26" i="11"/>
  <c r="B27" i="11"/>
  <c r="B28" i="11"/>
  <c r="B29" i="11"/>
  <c r="B30" i="11"/>
  <c r="C23" i="11"/>
  <c r="D23" i="11"/>
  <c r="E23" i="11"/>
  <c r="F23" i="11"/>
  <c r="G23" i="11"/>
  <c r="H23" i="11"/>
  <c r="I23" i="11"/>
  <c r="J23" i="11"/>
  <c r="B23" i="11"/>
  <c r="C21" i="11"/>
  <c r="D21" i="11"/>
  <c r="E21" i="11"/>
  <c r="F21" i="11"/>
  <c r="G21" i="11"/>
  <c r="H21" i="11"/>
  <c r="I21" i="11"/>
  <c r="J21" i="11"/>
  <c r="B21" i="11"/>
  <c r="C20" i="11"/>
  <c r="D20" i="11"/>
  <c r="E20" i="11"/>
  <c r="F20" i="11"/>
  <c r="G20" i="11"/>
  <c r="H20" i="11"/>
  <c r="I20" i="11"/>
  <c r="J20" i="11"/>
  <c r="B20" i="11"/>
  <c r="B80" i="11"/>
  <c r="A4" i="13" a="1"/>
  <c r="A4" i="13" s="1"/>
  <c r="C120" i="11"/>
  <c r="C121" i="11"/>
  <c r="C122" i="11"/>
  <c r="C123" i="11"/>
  <c r="C124" i="11"/>
  <c r="C125" i="11"/>
  <c r="C126" i="11"/>
  <c r="C127" i="11"/>
  <c r="C128" i="11"/>
  <c r="C129" i="11"/>
  <c r="C119" i="11"/>
  <c r="J62" i="11"/>
  <c r="L105" i="11" s="1"/>
  <c r="J3" i="11"/>
  <c r="L43" i="11" s="1"/>
  <c r="C112" i="11"/>
  <c r="D112" i="11"/>
  <c r="E112" i="11"/>
  <c r="F112" i="11"/>
  <c r="G112" i="11"/>
  <c r="H112" i="11"/>
  <c r="I112" i="11"/>
  <c r="J112" i="11"/>
  <c r="B112" i="11"/>
  <c r="K102" i="11"/>
  <c r="C85" i="11"/>
  <c r="D85" i="11"/>
  <c r="E85" i="11"/>
  <c r="F85" i="11"/>
  <c r="G85" i="11"/>
  <c r="H85" i="11"/>
  <c r="I85" i="11"/>
  <c r="J85" i="11"/>
  <c r="B85" i="11"/>
  <c r="L103" i="11"/>
  <c r="E80" i="11" s="1"/>
  <c r="H62" i="11"/>
  <c r="E54" i="11"/>
  <c r="F54" i="11"/>
  <c r="G54" i="11"/>
  <c r="H54" i="11"/>
  <c r="I54" i="11"/>
  <c r="J54" i="11"/>
  <c r="D54" i="11"/>
  <c r="B54" i="11"/>
  <c r="C54" i="11"/>
  <c r="H3" i="11"/>
  <c r="K41" i="11"/>
  <c r="J22" i="11"/>
  <c r="C22" i="11"/>
  <c r="D22" i="11"/>
  <c r="E22" i="11"/>
  <c r="F22" i="11"/>
  <c r="G22" i="11"/>
  <c r="H22" i="11"/>
  <c r="I22" i="11"/>
  <c r="B22" i="11"/>
  <c r="C33" i="10"/>
  <c r="D33" i="10"/>
  <c r="E33" i="10"/>
  <c r="F33" i="10"/>
  <c r="G33" i="10"/>
  <c r="H33" i="10"/>
  <c r="I33" i="10"/>
  <c r="J33" i="10"/>
  <c r="C17" i="2"/>
  <c r="L48" i="7"/>
  <c r="L49" i="7"/>
  <c r="L53" i="7"/>
  <c r="E18" i="2"/>
  <c r="E19" i="2"/>
  <c r="E26" i="2"/>
  <c r="E27" i="2"/>
  <c r="C18" i="2"/>
  <c r="C19" i="2"/>
  <c r="C20" i="2"/>
  <c r="C21" i="2"/>
  <c r="C22" i="2"/>
  <c r="C23" i="2"/>
  <c r="C24" i="2"/>
  <c r="C25" i="2"/>
  <c r="C26" i="2"/>
  <c r="C27" i="2"/>
  <c r="L17" i="7"/>
  <c r="D38" i="10"/>
  <c r="D39" i="10"/>
  <c r="D40" i="10"/>
  <c r="D41" i="10"/>
  <c r="D42" i="10"/>
  <c r="D43" i="10"/>
  <c r="D44" i="10"/>
  <c r="D45" i="10"/>
  <c r="D46" i="10"/>
  <c r="D47" i="10"/>
  <c r="D37" i="10"/>
  <c r="D17" i="2"/>
  <c r="D18" i="2"/>
  <c r="D26" i="2"/>
  <c r="L24" i="7"/>
  <c r="L18" i="7"/>
  <c r="B19" i="2"/>
  <c r="D19" i="2" s="1"/>
  <c r="B17" i="2"/>
  <c r="C37" i="10" s="1" a="1"/>
  <c r="C37" i="10" s="1"/>
  <c r="C22" i="10"/>
  <c r="D22" i="10"/>
  <c r="G22" i="10"/>
  <c r="C23" i="10"/>
  <c r="G23" i="10"/>
  <c r="I23" i="10"/>
  <c r="J23" i="10"/>
  <c r="C24" i="10"/>
  <c r="G24" i="10"/>
  <c r="I24" i="10"/>
  <c r="J24" i="10"/>
  <c r="C25" i="10"/>
  <c r="G25" i="10"/>
  <c r="I25" i="10"/>
  <c r="J25" i="10"/>
  <c r="C26" i="10"/>
  <c r="G26" i="10"/>
  <c r="I26" i="10"/>
  <c r="J26" i="10"/>
  <c r="C27" i="10"/>
  <c r="G27" i="10"/>
  <c r="I27" i="10"/>
  <c r="J27" i="10"/>
  <c r="C28" i="10"/>
  <c r="E28" i="10"/>
  <c r="G28" i="10"/>
  <c r="C29" i="10"/>
  <c r="E29" i="10"/>
  <c r="G29" i="10"/>
  <c r="C30" i="10"/>
  <c r="E30" i="10"/>
  <c r="G30" i="10"/>
  <c r="C31" i="10"/>
  <c r="E31" i="10"/>
  <c r="G31" i="10"/>
  <c r="C32" i="10"/>
  <c r="E32" i="10"/>
  <c r="F32" i="10"/>
  <c r="G32" i="10"/>
  <c r="B23" i="10"/>
  <c r="B27" i="10"/>
  <c r="B31" i="10"/>
  <c r="B32" i="10"/>
  <c r="B22" i="10"/>
  <c r="C51" i="7"/>
  <c r="D51" i="7"/>
  <c r="D28" i="10" s="1"/>
  <c r="E51" i="7"/>
  <c r="F51" i="7"/>
  <c r="F28" i="10" s="1"/>
  <c r="G51" i="7"/>
  <c r="H51" i="7"/>
  <c r="H28" i="10" s="1"/>
  <c r="I51" i="7"/>
  <c r="I28" i="10" s="1"/>
  <c r="J51" i="7"/>
  <c r="J28" i="10" s="1"/>
  <c r="C52" i="7"/>
  <c r="D52" i="7"/>
  <c r="D29" i="10" s="1"/>
  <c r="E52" i="7"/>
  <c r="F52" i="7"/>
  <c r="F29" i="10" s="1"/>
  <c r="G52" i="7"/>
  <c r="H52" i="7"/>
  <c r="H29" i="10" s="1"/>
  <c r="I52" i="7"/>
  <c r="I29" i="10" s="1"/>
  <c r="J52" i="7"/>
  <c r="J29" i="10" s="1"/>
  <c r="C53" i="7"/>
  <c r="D53" i="7"/>
  <c r="D30" i="10" s="1"/>
  <c r="E53" i="7"/>
  <c r="F53" i="7"/>
  <c r="F30" i="10" s="1"/>
  <c r="G53" i="7"/>
  <c r="H53" i="7"/>
  <c r="H30" i="10" s="1"/>
  <c r="I53" i="7"/>
  <c r="I30" i="10" s="1"/>
  <c r="J53" i="7"/>
  <c r="J30" i="10" s="1"/>
  <c r="C54" i="7"/>
  <c r="D54" i="7"/>
  <c r="D31" i="10" s="1"/>
  <c r="E54" i="7"/>
  <c r="F54" i="7"/>
  <c r="F31" i="10" s="1"/>
  <c r="G54" i="7"/>
  <c r="H54" i="7"/>
  <c r="H31" i="10" s="1"/>
  <c r="I54" i="7"/>
  <c r="I31" i="10" s="1"/>
  <c r="J54" i="7"/>
  <c r="J31" i="10" s="1"/>
  <c r="C55" i="7"/>
  <c r="D55" i="7"/>
  <c r="D32" i="10" s="1"/>
  <c r="E55" i="7"/>
  <c r="F55" i="7"/>
  <c r="G55" i="7"/>
  <c r="H55" i="7"/>
  <c r="H32" i="10" s="1"/>
  <c r="I55" i="7"/>
  <c r="I32" i="10" s="1"/>
  <c r="J55" i="7"/>
  <c r="J32" i="10" s="1"/>
  <c r="B52" i="7"/>
  <c r="L52" i="7" s="1"/>
  <c r="B53" i="7"/>
  <c r="B30" i="10" s="1"/>
  <c r="B54" i="7"/>
  <c r="L54" i="7" s="1"/>
  <c r="B55" i="7"/>
  <c r="L55" i="7" s="1"/>
  <c r="C50" i="7"/>
  <c r="D50" i="7"/>
  <c r="D27" i="10" s="1"/>
  <c r="E50" i="7"/>
  <c r="E27" i="10" s="1"/>
  <c r="F50" i="7"/>
  <c r="F27" i="10" s="1"/>
  <c r="G50" i="7"/>
  <c r="H50" i="7"/>
  <c r="H27" i="10" s="1"/>
  <c r="I50" i="7"/>
  <c r="J50" i="7"/>
  <c r="C49" i="7"/>
  <c r="D49" i="7"/>
  <c r="D26" i="10" s="1"/>
  <c r="E49" i="7"/>
  <c r="E26" i="10" s="1"/>
  <c r="F49" i="7"/>
  <c r="F26" i="10" s="1"/>
  <c r="G49" i="7"/>
  <c r="H49" i="7"/>
  <c r="H26" i="10" s="1"/>
  <c r="I49" i="7"/>
  <c r="J49" i="7"/>
  <c r="C48" i="7"/>
  <c r="D48" i="7"/>
  <c r="D25" i="10" s="1"/>
  <c r="E48" i="7"/>
  <c r="E25" i="10" s="1"/>
  <c r="F48" i="7"/>
  <c r="F25" i="10" s="1"/>
  <c r="G48" i="7"/>
  <c r="H48" i="7"/>
  <c r="H25" i="10" s="1"/>
  <c r="I48" i="7"/>
  <c r="J48" i="7"/>
  <c r="C47" i="7"/>
  <c r="D47" i="7"/>
  <c r="D24" i="10" s="1"/>
  <c r="E47" i="7"/>
  <c r="E24" i="10" s="1"/>
  <c r="F47" i="7"/>
  <c r="F24" i="10" s="1"/>
  <c r="G47" i="7"/>
  <c r="H47" i="7"/>
  <c r="H24" i="10" s="1"/>
  <c r="I47" i="7"/>
  <c r="J47" i="7"/>
  <c r="C46" i="7"/>
  <c r="D46" i="7"/>
  <c r="D23" i="10" s="1"/>
  <c r="E46" i="7"/>
  <c r="E23" i="10" s="1"/>
  <c r="F46" i="7"/>
  <c r="F23" i="10" s="1"/>
  <c r="G46" i="7"/>
  <c r="H46" i="7"/>
  <c r="H23" i="10" s="1"/>
  <c r="I46" i="7"/>
  <c r="J46" i="7"/>
  <c r="B46" i="7"/>
  <c r="L46" i="7" s="1"/>
  <c r="L47" i="7"/>
  <c r="B48" i="7"/>
  <c r="B25" i="10" s="1"/>
  <c r="B49" i="7"/>
  <c r="B26" i="10" s="1"/>
  <c r="B50" i="7"/>
  <c r="L50" i="7" s="1"/>
  <c r="B51" i="7"/>
  <c r="L51" i="7" s="1"/>
  <c r="C45" i="7"/>
  <c r="D45" i="7"/>
  <c r="E45" i="7"/>
  <c r="E22" i="10" s="1"/>
  <c r="F45" i="7"/>
  <c r="F22" i="10" s="1"/>
  <c r="G45" i="7"/>
  <c r="H45" i="7"/>
  <c r="H22" i="10" s="1"/>
  <c r="I45" i="7"/>
  <c r="I22" i="10" s="1"/>
  <c r="J45" i="7"/>
  <c r="J22" i="10" s="1"/>
  <c r="B45" i="7"/>
  <c r="B18" i="2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B27" i="2"/>
  <c r="D27" i="2" s="1"/>
  <c r="L19" i="7"/>
  <c r="L20" i="7"/>
  <c r="L21" i="7"/>
  <c r="L22" i="7"/>
  <c r="L23" i="7"/>
  <c r="L25" i="7"/>
  <c r="L26" i="7"/>
  <c r="L27" i="7"/>
  <c r="C27" i="7"/>
  <c r="D27" i="7"/>
  <c r="E27" i="7"/>
  <c r="F27" i="7"/>
  <c r="G27" i="7"/>
  <c r="H27" i="7"/>
  <c r="I27" i="7"/>
  <c r="J27" i="7"/>
  <c r="C26" i="7"/>
  <c r="D26" i="7"/>
  <c r="E26" i="7"/>
  <c r="F26" i="7"/>
  <c r="G26" i="7"/>
  <c r="H26" i="7"/>
  <c r="I26" i="7"/>
  <c r="J26" i="7"/>
  <c r="C25" i="7"/>
  <c r="D25" i="7"/>
  <c r="E25" i="7"/>
  <c r="F25" i="7"/>
  <c r="G25" i="7"/>
  <c r="H25" i="7"/>
  <c r="I25" i="7"/>
  <c r="J25" i="7"/>
  <c r="C24" i="7"/>
  <c r="D24" i="7"/>
  <c r="E24" i="7"/>
  <c r="F24" i="7"/>
  <c r="G24" i="7"/>
  <c r="H24" i="7"/>
  <c r="I24" i="7"/>
  <c r="J24" i="7"/>
  <c r="J23" i="7"/>
  <c r="C23" i="7"/>
  <c r="D23" i="7"/>
  <c r="E23" i="7"/>
  <c r="F23" i="7"/>
  <c r="G23" i="7"/>
  <c r="H23" i="7"/>
  <c r="I23" i="7"/>
  <c r="C22" i="7"/>
  <c r="D22" i="7"/>
  <c r="E22" i="7"/>
  <c r="F22" i="7"/>
  <c r="G22" i="7"/>
  <c r="H22" i="7"/>
  <c r="I22" i="7"/>
  <c r="J22" i="7"/>
  <c r="C21" i="7"/>
  <c r="D21" i="7"/>
  <c r="E21" i="7"/>
  <c r="F21" i="7"/>
  <c r="G21" i="7"/>
  <c r="H21" i="7"/>
  <c r="I21" i="7"/>
  <c r="J21" i="7"/>
  <c r="C20" i="7"/>
  <c r="D20" i="7"/>
  <c r="E20" i="7"/>
  <c r="F20" i="7"/>
  <c r="G20" i="7"/>
  <c r="H20" i="7"/>
  <c r="I20" i="7"/>
  <c r="J20" i="7"/>
  <c r="B20" i="7"/>
  <c r="B21" i="7"/>
  <c r="B22" i="7"/>
  <c r="B23" i="7"/>
  <c r="B24" i="7"/>
  <c r="B25" i="7"/>
  <c r="B26" i="7"/>
  <c r="B27" i="7"/>
  <c r="C19" i="7"/>
  <c r="D19" i="7"/>
  <c r="E19" i="7"/>
  <c r="F19" i="7"/>
  <c r="G19" i="7"/>
  <c r="H19" i="7"/>
  <c r="I19" i="7"/>
  <c r="J19" i="7"/>
  <c r="B19" i="7"/>
  <c r="C18" i="7"/>
  <c r="D18" i="7"/>
  <c r="E18" i="7"/>
  <c r="F18" i="7"/>
  <c r="G18" i="7"/>
  <c r="H18" i="7"/>
  <c r="I18" i="7"/>
  <c r="J18" i="7"/>
  <c r="B18" i="7"/>
  <c r="C17" i="7"/>
  <c r="D17" i="7"/>
  <c r="E17" i="7"/>
  <c r="F17" i="7"/>
  <c r="G17" i="7"/>
  <c r="H17" i="7"/>
  <c r="I17" i="7"/>
  <c r="J17" i="7"/>
  <c r="B17" i="7"/>
  <c r="C14" i="10"/>
  <c r="D14" i="10"/>
  <c r="E14" i="10"/>
  <c r="F14" i="10"/>
  <c r="G14" i="10"/>
  <c r="H14" i="10"/>
  <c r="I14" i="10"/>
  <c r="J14" i="10"/>
  <c r="C12" i="10"/>
  <c r="D12" i="10"/>
  <c r="E12" i="10"/>
  <c r="F12" i="10"/>
  <c r="G12" i="10"/>
  <c r="H12" i="10"/>
  <c r="I12" i="10"/>
  <c r="J12" i="10"/>
  <c r="C13" i="10"/>
  <c r="D13" i="10"/>
  <c r="E13" i="10"/>
  <c r="F13" i="10"/>
  <c r="G13" i="10"/>
  <c r="H13" i="10"/>
  <c r="I13" i="10"/>
  <c r="J13" i="10"/>
  <c r="C11" i="10"/>
  <c r="D11" i="10"/>
  <c r="E11" i="10"/>
  <c r="F11" i="10"/>
  <c r="G11" i="10"/>
  <c r="H11" i="10"/>
  <c r="I11" i="10"/>
  <c r="J11" i="10"/>
  <c r="C10" i="10"/>
  <c r="D10" i="10"/>
  <c r="E10" i="10"/>
  <c r="F10" i="10"/>
  <c r="G10" i="10"/>
  <c r="H10" i="10"/>
  <c r="I10" i="10"/>
  <c r="J10" i="10"/>
  <c r="C9" i="10"/>
  <c r="D9" i="10"/>
  <c r="E9" i="10"/>
  <c r="F9" i="10"/>
  <c r="G9" i="10"/>
  <c r="H9" i="10"/>
  <c r="I9" i="10"/>
  <c r="J9" i="10"/>
  <c r="C8" i="10"/>
  <c r="D8" i="10"/>
  <c r="E8" i="10"/>
  <c r="F8" i="10"/>
  <c r="G8" i="10"/>
  <c r="H8" i="10"/>
  <c r="I8" i="10"/>
  <c r="J8" i="10"/>
  <c r="C7" i="10"/>
  <c r="D7" i="10"/>
  <c r="E7" i="10"/>
  <c r="F7" i="10"/>
  <c r="G7" i="10"/>
  <c r="H7" i="10"/>
  <c r="I7" i="10"/>
  <c r="J7" i="10"/>
  <c r="C6" i="10"/>
  <c r="D6" i="10"/>
  <c r="E6" i="10"/>
  <c r="F6" i="10"/>
  <c r="G6" i="10"/>
  <c r="H6" i="10"/>
  <c r="I6" i="10"/>
  <c r="J6" i="10"/>
  <c r="C5" i="10"/>
  <c r="D5" i="10"/>
  <c r="E5" i="10"/>
  <c r="F5" i="10"/>
  <c r="G5" i="10"/>
  <c r="H5" i="10"/>
  <c r="I5" i="10"/>
  <c r="J5" i="10"/>
  <c r="C4" i="10"/>
  <c r="D4" i="10"/>
  <c r="E4" i="10"/>
  <c r="F4" i="10"/>
  <c r="G4" i="10"/>
  <c r="H4" i="10"/>
  <c r="I4" i="10"/>
  <c r="J4" i="10"/>
  <c r="B5" i="10"/>
  <c r="B6" i="10"/>
  <c r="B7" i="10"/>
  <c r="B8" i="10"/>
  <c r="B9" i="10"/>
  <c r="B10" i="10"/>
  <c r="B11" i="10"/>
  <c r="B12" i="10"/>
  <c r="B13" i="10"/>
  <c r="B14" i="10"/>
  <c r="B4" i="10"/>
  <c r="L17" i="13" l="1"/>
  <c r="D30" i="12"/>
  <c r="E20" i="12"/>
  <c r="I34" i="12"/>
  <c r="D20" i="12"/>
  <c r="J41" i="12"/>
  <c r="C20" i="12"/>
  <c r="I20" i="12"/>
  <c r="F41" i="12"/>
  <c r="D48" i="12"/>
  <c r="B20" i="12"/>
  <c r="G34" i="12"/>
  <c r="I41" i="12"/>
  <c r="J20" i="12"/>
  <c r="F34" i="12"/>
  <c r="H41" i="12"/>
  <c r="E34" i="12"/>
  <c r="B27" i="12"/>
  <c r="K27" i="12" s="1"/>
  <c r="D34" i="12"/>
  <c r="K34" i="12" s="1"/>
  <c r="E41" i="12"/>
  <c r="K41" i="12" s="1"/>
  <c r="D44" i="12" s="1"/>
  <c r="B48" i="12"/>
  <c r="C48" i="12"/>
  <c r="C31" i="11"/>
  <c r="G31" i="11"/>
  <c r="D31" i="11"/>
  <c r="B86" i="11"/>
  <c r="F81" i="11"/>
  <c r="L41" i="11"/>
  <c r="M41" i="11" s="1"/>
  <c r="F80" i="11"/>
  <c r="L102" i="11"/>
  <c r="M102" i="11" s="1"/>
  <c r="G86" i="11"/>
  <c r="F83" i="11"/>
  <c r="F82" i="11"/>
  <c r="G90" i="11"/>
  <c r="G89" i="11"/>
  <c r="G88" i="11"/>
  <c r="G87" i="11"/>
  <c r="F84" i="11"/>
  <c r="D80" i="11"/>
  <c r="E86" i="11"/>
  <c r="B82" i="11"/>
  <c r="D90" i="11"/>
  <c r="D89" i="11"/>
  <c r="D88" i="11"/>
  <c r="D87" i="11"/>
  <c r="D86" i="11"/>
  <c r="C84" i="11"/>
  <c r="C83" i="11"/>
  <c r="C82" i="11"/>
  <c r="C81" i="11"/>
  <c r="C80" i="11"/>
  <c r="E88" i="11"/>
  <c r="D82" i="11"/>
  <c r="B90" i="11"/>
  <c r="B81" i="11"/>
  <c r="C90" i="11"/>
  <c r="C89" i="11"/>
  <c r="C88" i="11"/>
  <c r="C87" i="11"/>
  <c r="C86" i="11"/>
  <c r="J83" i="11"/>
  <c r="J82" i="11"/>
  <c r="J81" i="11"/>
  <c r="J80" i="11"/>
  <c r="E90" i="11"/>
  <c r="D81" i="11"/>
  <c r="I84" i="11"/>
  <c r="B83" i="11"/>
  <c r="E87" i="11"/>
  <c r="D84" i="11"/>
  <c r="B89" i="11"/>
  <c r="J89" i="11"/>
  <c r="J87" i="11"/>
  <c r="J84" i="11"/>
  <c r="I82" i="11"/>
  <c r="I80" i="11"/>
  <c r="I90" i="11"/>
  <c r="I88" i="11"/>
  <c r="I86" i="11"/>
  <c r="H82" i="11"/>
  <c r="H80" i="11"/>
  <c r="E89" i="11"/>
  <c r="D83" i="11"/>
  <c r="J90" i="11"/>
  <c r="J88" i="11"/>
  <c r="J86" i="11"/>
  <c r="I83" i="11"/>
  <c r="I81" i="11"/>
  <c r="B88" i="11"/>
  <c r="I89" i="11"/>
  <c r="I87" i="11"/>
  <c r="H84" i="11"/>
  <c r="H83" i="11"/>
  <c r="H81" i="11"/>
  <c r="H31" i="11"/>
  <c r="B87" i="11"/>
  <c r="H90" i="11"/>
  <c r="H89" i="11"/>
  <c r="H88" i="11"/>
  <c r="H87" i="11"/>
  <c r="H86" i="11"/>
  <c r="G84" i="11"/>
  <c r="G83" i="11"/>
  <c r="G82" i="11"/>
  <c r="G81" i="11"/>
  <c r="G80" i="11"/>
  <c r="F31" i="11"/>
  <c r="B84" i="11"/>
  <c r="F90" i="11"/>
  <c r="F89" i="11"/>
  <c r="F88" i="11"/>
  <c r="F87" i="11"/>
  <c r="F86" i="11"/>
  <c r="E84" i="11"/>
  <c r="E83" i="11"/>
  <c r="E82" i="11"/>
  <c r="E81" i="11"/>
  <c r="E31" i="11"/>
  <c r="J31" i="11"/>
  <c r="I31" i="11"/>
  <c r="B31" i="11"/>
  <c r="B24" i="10"/>
  <c r="B33" i="10" s="1"/>
  <c r="B32" i="11" s="1" a="1"/>
  <c r="B32" i="11" s="1"/>
  <c r="B92" i="11" s="1" a="1"/>
  <c r="B92" i="11" s="1"/>
  <c r="L22" i="10"/>
  <c r="E37" i="10" s="1"/>
  <c r="P54" i="10" s="1"/>
  <c r="E25" i="2"/>
  <c r="E17" i="2"/>
  <c r="L45" i="7"/>
  <c r="B29" i="10"/>
  <c r="L29" i="10" s="1"/>
  <c r="E24" i="2"/>
  <c r="B28" i="10"/>
  <c r="E23" i="2"/>
  <c r="E22" i="2"/>
  <c r="E21" i="2"/>
  <c r="M22" i="10"/>
  <c r="B51" i="10" s="1"/>
  <c r="E20" i="2"/>
  <c r="C49" i="10"/>
  <c r="H37" i="10" s="1"/>
  <c r="C51" i="10" s="1"/>
  <c r="M32" i="10"/>
  <c r="B61" i="10" s="1"/>
  <c r="B37" i="10" a="1"/>
  <c r="B37" i="10" s="1"/>
  <c r="L32" i="10"/>
  <c r="E47" i="10" s="1"/>
  <c r="Z54" i="10" s="1"/>
  <c r="M31" i="10"/>
  <c r="B60" i="10" s="1"/>
  <c r="M25" i="10"/>
  <c r="B54" i="10" s="1"/>
  <c r="M24" i="10"/>
  <c r="B53" i="10" s="1"/>
  <c r="M23" i="10"/>
  <c r="B52" i="10" s="1"/>
  <c r="M28" i="10"/>
  <c r="B57" i="10" s="1"/>
  <c r="M27" i="10"/>
  <c r="B56" i="10" s="1"/>
  <c r="M30" i="10"/>
  <c r="B59" i="10" s="1"/>
  <c r="M26" i="10"/>
  <c r="B55" i="10" s="1"/>
  <c r="L6" i="10"/>
  <c r="L14" i="10"/>
  <c r="L11" i="10"/>
  <c r="L13" i="10"/>
  <c r="L28" i="10"/>
  <c r="L23" i="10"/>
  <c r="L31" i="10"/>
  <c r="E46" i="10" s="1"/>
  <c r="Y54" i="10" s="1"/>
  <c r="L27" i="10"/>
  <c r="L30" i="10"/>
  <c r="L9" i="10"/>
  <c r="L26" i="10"/>
  <c r="L5" i="10"/>
  <c r="L12" i="10"/>
  <c r="L8" i="10"/>
  <c r="L25" i="10"/>
  <c r="L4" i="10"/>
  <c r="L7" i="10"/>
  <c r="L10" i="10"/>
  <c r="D37" i="12" l="1"/>
  <c r="D65" i="12"/>
  <c r="D66" i="12" s="1"/>
  <c r="C33" i="11"/>
  <c r="B33" i="11"/>
  <c r="D33" i="11"/>
  <c r="E33" i="11"/>
  <c r="I33" i="11"/>
  <c r="F33" i="11"/>
  <c r="L24" i="10"/>
  <c r="E39" i="10" s="1"/>
  <c r="R54" i="10" s="1"/>
  <c r="J33" i="11"/>
  <c r="K33" i="11" s="1"/>
  <c r="H33" i="11"/>
  <c r="G33" i="11"/>
  <c r="K20" i="12"/>
  <c r="E91" i="11"/>
  <c r="E93" i="11" s="1"/>
  <c r="I91" i="11"/>
  <c r="I93" i="11" s="1"/>
  <c r="C91" i="11"/>
  <c r="C93" i="11" s="1"/>
  <c r="G91" i="11"/>
  <c r="G93" i="11" s="1"/>
  <c r="H91" i="11"/>
  <c r="H93" i="11" s="1"/>
  <c r="F91" i="11"/>
  <c r="F93" i="11" s="1"/>
  <c r="J91" i="11"/>
  <c r="J93" i="11" s="1"/>
  <c r="B91" i="11"/>
  <c r="B93" i="11" s="1"/>
  <c r="D91" i="11"/>
  <c r="D93" i="11" s="1"/>
  <c r="H41" i="10"/>
  <c r="F37" i="10" a="1"/>
  <c r="F37" i="10" s="1"/>
  <c r="P58" i="10" a="1"/>
  <c r="P58" i="10" s="1"/>
  <c r="H46" i="10"/>
  <c r="C60" i="10" s="1"/>
  <c r="M29" i="10"/>
  <c r="B58" i="10" s="1"/>
  <c r="H47" i="10"/>
  <c r="C61" i="10" s="1"/>
  <c r="H42" i="10"/>
  <c r="C56" i="10" s="1"/>
  <c r="H40" i="10"/>
  <c r="C54" i="10" s="1"/>
  <c r="H45" i="10"/>
  <c r="C59" i="10" s="1"/>
  <c r="C55" i="10"/>
  <c r="H39" i="10"/>
  <c r="C53" i="10" s="1"/>
  <c r="H38" i="10"/>
  <c r="C52" i="10" s="1"/>
  <c r="H43" i="10"/>
  <c r="C57" i="10" s="1"/>
  <c r="H44" i="10"/>
  <c r="E41" i="10"/>
  <c r="T54" i="10" s="1"/>
  <c r="E45" i="10"/>
  <c r="X54" i="10" s="1"/>
  <c r="E40" i="10"/>
  <c r="S54" i="10" s="1"/>
  <c r="E38" i="10"/>
  <c r="Q54" i="10" s="1"/>
  <c r="E44" i="10"/>
  <c r="W54" i="10" s="1"/>
  <c r="E43" i="10"/>
  <c r="V54" i="10" s="1"/>
  <c r="E42" i="10"/>
  <c r="U54" i="10" s="1"/>
  <c r="L16" i="10"/>
  <c r="D23" i="12" l="1"/>
  <c r="B65" i="12"/>
  <c r="B66" i="12" s="1"/>
  <c r="L34" i="10"/>
  <c r="K93" i="11"/>
  <c r="C58" i="10"/>
  <c r="C63" i="10" s="1"/>
  <c r="D59" i="10" l="1"/>
  <c r="D52" i="10"/>
  <c r="D54" i="10"/>
  <c r="D56" i="10"/>
  <c r="D51" i="10"/>
  <c r="D57" i="10"/>
  <c r="D53" i="10"/>
  <c r="D55" i="10"/>
  <c r="D60" i="10"/>
  <c r="D61" i="10"/>
  <c r="D58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<sst xmlns="http://schemas.openxmlformats.org/spreadsheetml/2006/main" count="661" uniqueCount="109">
  <si>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</si>
  <si>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</si>
  <si>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</si>
  <si>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</si>
  <si>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</si>
  <si>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</si>
  <si>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</si>
  <si>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</si>
  <si>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Janvier</t>
  </si>
  <si>
    <t>Anvers-New-York</t>
  </si>
  <si>
    <t>Anvers-Santos</t>
  </si>
  <si>
    <t>Anvers-Hongkong</t>
  </si>
  <si>
    <t>Dubai-Anvers</t>
  </si>
  <si>
    <t>Santos - Los-Angeles</t>
  </si>
  <si>
    <t>Los-Angeles - Hongkong</t>
  </si>
  <si>
    <t>Hongkong - Los-Angeles</t>
  </si>
  <si>
    <t>New-York - Anvers</t>
  </si>
  <si>
    <t>Hongkong - Dubai</t>
  </si>
  <si>
    <t>Hongkong - Anvers</t>
  </si>
  <si>
    <t>New-York - Dubai</t>
  </si>
  <si>
    <t>Anvers</t>
  </si>
  <si>
    <t>Dubai</t>
  </si>
  <si>
    <t>Hongkong</t>
  </si>
  <si>
    <t>Los-Angeles</t>
  </si>
  <si>
    <t>New-York</t>
  </si>
  <si>
    <t>Santos</t>
  </si>
  <si>
    <t>Nombre conteneurs mai 2023</t>
  </si>
  <si>
    <t>Coût chargement/déchargement</t>
  </si>
  <si>
    <t>Tarif leasing annuel conteneur</t>
  </si>
  <si>
    <t>Capacité disponible pour stock</t>
  </si>
  <si>
    <t>cout entrepot unitaire pour un mois</t>
  </si>
  <si>
    <t>Capacité mensuelle</t>
  </si>
  <si>
    <t>Total</t>
  </si>
  <si>
    <t>Marges</t>
  </si>
  <si>
    <t>Coût par ligne</t>
  </si>
  <si>
    <t>Revenu brut total par ligne</t>
  </si>
  <si>
    <t>Revenu net total par ligne</t>
  </si>
  <si>
    <t>Marge moyenne</t>
  </si>
  <si>
    <t>Conteneurs par ligne</t>
  </si>
  <si>
    <t>Coût des conteneurs vides</t>
  </si>
  <si>
    <t xml:space="preserve">Moyenne de conteneurs </t>
  </si>
  <si>
    <t>Moy cont/ligne</t>
  </si>
  <si>
    <t>Marge/cont</t>
  </si>
  <si>
    <t>Moyenne</t>
  </si>
  <si>
    <t>Total cont</t>
  </si>
  <si>
    <t>Cont rempli</t>
  </si>
  <si>
    <t xml:space="preserve">Conteneurs remplis </t>
  </si>
  <si>
    <t>Ratio</t>
  </si>
  <si>
    <t>Ratio rempli</t>
  </si>
  <si>
    <t>Distance</t>
  </si>
  <si>
    <t>Ratio calcul fuel</t>
  </si>
  <si>
    <t>Ratio qtté</t>
  </si>
  <si>
    <t>Amélioré</t>
  </si>
  <si>
    <t>Visualisation</t>
  </si>
  <si>
    <t xml:space="preserve">Coût total du transport </t>
  </si>
  <si>
    <t>ratio</t>
  </si>
  <si>
    <t xml:space="preserve">marge </t>
  </si>
  <si>
    <t>marge</t>
  </si>
  <si>
    <t>’</t>
  </si>
  <si>
    <t>Bénéifces nets</t>
  </si>
  <si>
    <t xml:space="preserve">Total après changement </t>
  </si>
  <si>
    <t>Avant changement</t>
  </si>
  <si>
    <t xml:space="preserve">Delta </t>
  </si>
  <si>
    <t>Vides</t>
  </si>
  <si>
    <t>Bénéfice total</t>
  </si>
  <si>
    <t>Capa initiale</t>
  </si>
  <si>
    <t>Delta Benef</t>
  </si>
  <si>
    <t>Plein</t>
  </si>
  <si>
    <t xml:space="preserve">Capa initiale </t>
  </si>
  <si>
    <t xml:space="preserve">Augmentation sur un seul mois </t>
  </si>
  <si>
    <t xml:space="preserve">Augmentation sur tous les mois </t>
  </si>
  <si>
    <t>Benef comp ext</t>
  </si>
  <si>
    <t xml:space="preserve">prix max </t>
  </si>
  <si>
    <t xml:space="preserve">tot cont </t>
  </si>
  <si>
    <t xml:space="preserve">Ratio </t>
  </si>
  <si>
    <t xml:space="preserve">Benef initial </t>
  </si>
  <si>
    <t>Benef 2</t>
  </si>
  <si>
    <t>Delta</t>
  </si>
  <si>
    <t>Q</t>
  </si>
  <si>
    <t xml:space="preserve">Les deux meilleures </t>
  </si>
  <si>
    <t>Tot excès</t>
  </si>
  <si>
    <t>CA initiial</t>
  </si>
  <si>
    <t>Benef</t>
  </si>
  <si>
    <t>Prix/cont</t>
  </si>
  <si>
    <t>Sur-prix</t>
  </si>
  <si>
    <t>Sur-Prix</t>
  </si>
  <si>
    <t>Anvers, Santos</t>
  </si>
  <si>
    <t>Anvers, Hongkong</t>
  </si>
  <si>
    <t>Anvers, LA</t>
  </si>
  <si>
    <t>Hongkong, LA</t>
  </si>
  <si>
    <t xml:space="preserve">LA, Santos </t>
  </si>
  <si>
    <t>Hongkong, Santos</t>
  </si>
  <si>
    <t>Anv, HK, LA</t>
  </si>
  <si>
    <t>Anv, Hk, San</t>
  </si>
  <si>
    <t>HK, LA, SAN</t>
  </si>
  <si>
    <t>Anv, LA, SAN</t>
  </si>
  <si>
    <t>Les 4</t>
  </si>
  <si>
    <t>Tout</t>
  </si>
  <si>
    <t>∆ Benef</t>
  </si>
  <si>
    <t xml:space="preserve">Excès </t>
  </si>
  <si>
    <t>Sur-prix/cont</t>
  </si>
  <si>
    <t>HK et LA</t>
  </si>
  <si>
    <t>Sur-prix moyen/cont</t>
  </si>
  <si>
    <t>Anvers, HK, LA</t>
  </si>
  <si>
    <t>4 meilleurs</t>
  </si>
  <si>
    <t>Tous</t>
  </si>
  <si>
    <t>Externalisation complète</t>
  </si>
  <si>
    <t>∆benef</t>
  </si>
  <si>
    <t>tot 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</si>
</sst>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2" fontId="0" fillId="0" borderId="0" xfId="0" applyNumberFormat="1"/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3" fillId="0" borderId="0" xfId="0" applyFont="1"/>
    <xf numFmtId="0" fontId="2" fillId="4" borderId="0" xfId="0" applyFont="1" applyFill="1" applyAlignment="1">
      <alignment horizontal="center" vertical="top"/>
    </xf>
    <xf numFmtId="0" fontId="4" fillId="4" borderId="0" xfId="0" applyFont="1" applyFill="1"/>
    <xf numFmtId="0" fontId="4" fillId="3" borderId="0" xfId="0" applyFont="1" applyFill="1"/>
    <xf numFmtId="0" fontId="1" fillId="0" borderId="10" xfId="0" applyFont="1" applyBorder="1" applyAlignment="1">
      <alignment horizontal="center" vertical="top"/>
    </xf>
    <xf numFmtId="0" fontId="4" fillId="3" borderId="5" xfId="0" applyFont="1" applyFill="1" applyBorder="1"/>
    <xf numFmtId="0" fontId="0" fillId="5" borderId="0" xfId="0" applyFill="1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zoomScale="162" workbookViewId="0">
      <selection activeCell="K15" sqref="K15"/>
    </sheetView>
  </sheetViews>
  <sheetFormatPr baseColWidth="10" defaultColWidth="8.83203125" defaultRowHeight="15" x14ac:dyDescent="0.2"/>
  <cols>
    <col min="1" max="1" width="20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2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f>SUM(B2:J2)</f>
        <v>0</v>
      </c>
    </row>
    <row r="3" spans="1:11" x14ac:dyDescent="0.2">
      <c r="A3" s="1" t="s">
        <v>10</v>
      </c>
      <c r="B3">
        <v>0</v>
      </c>
      <c r="C3">
        <v>0</v>
      </c>
      <c r="D3">
        <v>1794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f t="shared" ref="K3:K12" si="0">SUM(B3:J3)</f>
        <v>1794</v>
      </c>
    </row>
    <row r="4" spans="1:11" x14ac:dyDescent="0.2">
      <c r="A4" s="1" t="s">
        <v>11</v>
      </c>
      <c r="B4">
        <v>19237</v>
      </c>
      <c r="C4">
        <v>21528</v>
      </c>
      <c r="D4">
        <v>25461</v>
      </c>
      <c r="E4">
        <v>18796</v>
      </c>
      <c r="F4">
        <v>7450</v>
      </c>
      <c r="G4">
        <v>8447</v>
      </c>
      <c r="H4">
        <v>2200</v>
      </c>
      <c r="I4">
        <v>12974</v>
      </c>
      <c r="J4">
        <v>4381</v>
      </c>
      <c r="K4">
        <f t="shared" si="0"/>
        <v>120474</v>
      </c>
    </row>
    <row r="5" spans="1:11" x14ac:dyDescent="0.2">
      <c r="A5" s="1" t="s">
        <v>12</v>
      </c>
      <c r="B5">
        <v>0</v>
      </c>
      <c r="C5">
        <v>0</v>
      </c>
      <c r="D5">
        <v>0</v>
      </c>
      <c r="E5">
        <v>855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855</v>
      </c>
    </row>
    <row r="6" spans="1:11" x14ac:dyDescent="0.2">
      <c r="A6" s="1" t="s">
        <v>13</v>
      </c>
      <c r="B6">
        <v>0</v>
      </c>
      <c r="C6">
        <v>0</v>
      </c>
      <c r="D6">
        <v>2483</v>
      </c>
      <c r="E6">
        <v>5813</v>
      </c>
      <c r="F6">
        <v>1854</v>
      </c>
      <c r="G6">
        <v>383</v>
      </c>
      <c r="H6">
        <v>0</v>
      </c>
      <c r="I6">
        <v>4432</v>
      </c>
      <c r="J6">
        <v>961</v>
      </c>
      <c r="K6">
        <f t="shared" si="0"/>
        <v>15926</v>
      </c>
    </row>
    <row r="7" spans="1:11" x14ac:dyDescent="0.2">
      <c r="A7" s="1" t="s">
        <v>14</v>
      </c>
      <c r="B7">
        <v>8605</v>
      </c>
      <c r="C7">
        <v>3310</v>
      </c>
      <c r="D7">
        <v>14184</v>
      </c>
      <c r="E7">
        <v>5637</v>
      </c>
      <c r="F7">
        <v>12331</v>
      </c>
      <c r="G7">
        <v>16127</v>
      </c>
      <c r="H7">
        <v>10711</v>
      </c>
      <c r="I7">
        <v>12124</v>
      </c>
      <c r="J7">
        <v>10689</v>
      </c>
      <c r="K7">
        <f t="shared" si="0"/>
        <v>93718</v>
      </c>
    </row>
    <row r="8" spans="1:11" x14ac:dyDescent="0.2">
      <c r="A8" s="1" t="s">
        <v>15</v>
      </c>
      <c r="B8">
        <v>0</v>
      </c>
      <c r="C8">
        <v>0</v>
      </c>
      <c r="D8">
        <v>0</v>
      </c>
      <c r="E8">
        <v>7449</v>
      </c>
      <c r="F8">
        <v>0</v>
      </c>
      <c r="G8">
        <v>0</v>
      </c>
      <c r="H8">
        <v>0</v>
      </c>
      <c r="I8">
        <v>0</v>
      </c>
      <c r="J8">
        <v>5843</v>
      </c>
      <c r="K8">
        <f t="shared" si="0"/>
        <v>13292</v>
      </c>
    </row>
    <row r="9" spans="1:11" x14ac:dyDescent="0.2">
      <c r="A9" s="1" t="s">
        <v>16</v>
      </c>
      <c r="B9">
        <v>0</v>
      </c>
      <c r="C9">
        <v>0</v>
      </c>
      <c r="D9">
        <v>0</v>
      </c>
      <c r="E9">
        <v>1544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1544</v>
      </c>
    </row>
    <row r="10" spans="1:11" x14ac:dyDescent="0.2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110</v>
      </c>
      <c r="K10">
        <f t="shared" si="0"/>
        <v>110</v>
      </c>
    </row>
    <row r="11" spans="1:11" x14ac:dyDescent="0.2">
      <c r="A11" s="1" t="s">
        <v>18</v>
      </c>
      <c r="B11">
        <v>0</v>
      </c>
      <c r="C11">
        <v>0</v>
      </c>
      <c r="D11">
        <v>0</v>
      </c>
      <c r="E11">
        <v>13246</v>
      </c>
      <c r="F11">
        <v>0</v>
      </c>
      <c r="G11">
        <v>0</v>
      </c>
      <c r="H11">
        <v>0</v>
      </c>
      <c r="I11">
        <v>0</v>
      </c>
      <c r="J11">
        <v>10658</v>
      </c>
      <c r="K11">
        <f t="shared" si="0"/>
        <v>23904</v>
      </c>
    </row>
    <row r="12" spans="1:11" x14ac:dyDescent="0.2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1404</v>
      </c>
      <c r="J12">
        <v>0</v>
      </c>
      <c r="K12">
        <f t="shared" si="0"/>
        <v>1404</v>
      </c>
    </row>
    <row r="14" spans="1:11" x14ac:dyDescent="0.2">
      <c r="K14">
        <f>SUM(K2:K12)</f>
        <v>273021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zoomScale="84" zoomScaleNormal="170" workbookViewId="0">
      <selection activeCell="D31" sqref="D31"/>
    </sheetView>
  </sheetViews>
  <sheetFormatPr baseColWidth="10" defaultColWidth="8.83203125" defaultRowHeight="15" x14ac:dyDescent="0.2"/>
  <cols>
    <col min="1" max="1" width="19.33203125" bestFit="1" customWidth="1"/>
    <col min="2" max="2" width="17.33203125" bestFit="1" customWidth="1"/>
    <col min="3" max="3" width="28" bestFit="1" customWidth="1"/>
    <col min="4" max="4" width="20.6640625" bestFit="1" customWidth="1"/>
    <col min="12" max="13" width="26.8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8"/>
    </row>
    <row r="2" spans="1:12" x14ac:dyDescent="0.2">
      <c r="A2" s="1" t="s">
        <v>9</v>
      </c>
      <c r="B2">
        <v>10516</v>
      </c>
      <c r="C2">
        <v>11025</v>
      </c>
      <c r="D2">
        <v>6932</v>
      </c>
      <c r="E2">
        <v>7718</v>
      </c>
      <c r="F2">
        <v>11183</v>
      </c>
      <c r="G2">
        <v>15000</v>
      </c>
      <c r="H2">
        <v>13172</v>
      </c>
      <c r="I2">
        <v>14012</v>
      </c>
      <c r="J2">
        <v>7738</v>
      </c>
    </row>
    <row r="3" spans="1:12" x14ac:dyDescent="0.2">
      <c r="A3" s="1" t="s">
        <v>10</v>
      </c>
      <c r="B3">
        <v>5394</v>
      </c>
      <c r="C3">
        <v>7645</v>
      </c>
      <c r="D3">
        <v>4611</v>
      </c>
      <c r="E3">
        <v>6203</v>
      </c>
      <c r="F3">
        <v>10000</v>
      </c>
      <c r="G3">
        <v>7053</v>
      </c>
      <c r="H3">
        <v>8759</v>
      </c>
      <c r="I3">
        <v>4656</v>
      </c>
      <c r="J3">
        <v>3302</v>
      </c>
    </row>
    <row r="4" spans="1:12" x14ac:dyDescent="0.2">
      <c r="A4" s="1" t="s">
        <v>11</v>
      </c>
      <c r="B4">
        <v>14824</v>
      </c>
      <c r="C4">
        <v>11681</v>
      </c>
      <c r="D4">
        <v>9539</v>
      </c>
      <c r="E4">
        <v>11023</v>
      </c>
      <c r="F4">
        <v>18568</v>
      </c>
      <c r="G4">
        <v>21813</v>
      </c>
      <c r="H4">
        <v>25569</v>
      </c>
      <c r="I4">
        <v>21965</v>
      </c>
      <c r="J4">
        <v>18920</v>
      </c>
    </row>
    <row r="5" spans="1:12" x14ac:dyDescent="0.2">
      <c r="A5" s="1" t="s">
        <v>12</v>
      </c>
      <c r="B5">
        <v>8745</v>
      </c>
      <c r="C5">
        <v>10000</v>
      </c>
      <c r="D5">
        <v>9131</v>
      </c>
      <c r="E5">
        <v>5849</v>
      </c>
      <c r="F5">
        <v>9821</v>
      </c>
      <c r="G5">
        <v>9986</v>
      </c>
      <c r="H5">
        <v>9347</v>
      </c>
      <c r="I5">
        <v>7380</v>
      </c>
      <c r="J5">
        <v>7860</v>
      </c>
    </row>
    <row r="6" spans="1:12" x14ac:dyDescent="0.2">
      <c r="A6" s="1" t="s">
        <v>13</v>
      </c>
      <c r="B6">
        <v>8616</v>
      </c>
      <c r="C6">
        <v>7653</v>
      </c>
      <c r="D6">
        <v>2941</v>
      </c>
      <c r="E6">
        <v>4187</v>
      </c>
      <c r="F6">
        <v>7716</v>
      </c>
      <c r="G6">
        <v>4994</v>
      </c>
      <c r="H6">
        <v>4676</v>
      </c>
      <c r="I6">
        <v>4327</v>
      </c>
      <c r="J6">
        <v>3695</v>
      </c>
    </row>
    <row r="7" spans="1:12" x14ac:dyDescent="0.2">
      <c r="A7" s="1" t="s">
        <v>14</v>
      </c>
      <c r="B7">
        <v>11395</v>
      </c>
      <c r="C7">
        <v>16358</v>
      </c>
      <c r="D7">
        <v>8764</v>
      </c>
      <c r="E7">
        <v>11864</v>
      </c>
      <c r="F7">
        <v>17669</v>
      </c>
      <c r="G7">
        <v>13873</v>
      </c>
      <c r="H7">
        <v>14448</v>
      </c>
      <c r="I7">
        <v>8552</v>
      </c>
      <c r="J7">
        <v>16465</v>
      </c>
    </row>
    <row r="8" spans="1:12" x14ac:dyDescent="0.2">
      <c r="A8" s="1" t="s">
        <v>15</v>
      </c>
      <c r="B8">
        <v>14153</v>
      </c>
      <c r="C8">
        <v>16194</v>
      </c>
      <c r="D8">
        <v>12077</v>
      </c>
      <c r="E8">
        <v>12437</v>
      </c>
      <c r="F8">
        <v>16544</v>
      </c>
      <c r="G8">
        <v>19782</v>
      </c>
      <c r="H8">
        <v>20000</v>
      </c>
      <c r="I8">
        <v>18395</v>
      </c>
      <c r="J8">
        <v>14157</v>
      </c>
    </row>
    <row r="9" spans="1:12" x14ac:dyDescent="0.2">
      <c r="A9" s="1" t="s">
        <v>16</v>
      </c>
      <c r="B9">
        <v>6202</v>
      </c>
      <c r="C9">
        <v>5337</v>
      </c>
      <c r="D9">
        <v>3428</v>
      </c>
      <c r="E9">
        <v>4141</v>
      </c>
      <c r="F9">
        <v>8195</v>
      </c>
      <c r="G9">
        <v>6183</v>
      </c>
      <c r="H9">
        <v>10000</v>
      </c>
      <c r="I9">
        <v>5428</v>
      </c>
      <c r="J9">
        <v>4164</v>
      </c>
    </row>
    <row r="10" spans="1:12" x14ac:dyDescent="0.2">
      <c r="A10" s="1" t="s">
        <v>17</v>
      </c>
      <c r="B10">
        <v>4684</v>
      </c>
      <c r="C10">
        <v>4019</v>
      </c>
      <c r="D10">
        <v>3467</v>
      </c>
      <c r="E10">
        <v>3250</v>
      </c>
      <c r="F10">
        <v>3479</v>
      </c>
      <c r="G10">
        <v>4705</v>
      </c>
      <c r="H10">
        <v>5000</v>
      </c>
      <c r="I10">
        <v>5000</v>
      </c>
      <c r="J10">
        <v>4890</v>
      </c>
    </row>
    <row r="11" spans="1:12" x14ac:dyDescent="0.2">
      <c r="A11" s="1" t="s">
        <v>18</v>
      </c>
      <c r="B11">
        <v>29932</v>
      </c>
      <c r="C11">
        <v>40000</v>
      </c>
      <c r="D11">
        <v>31181</v>
      </c>
      <c r="E11">
        <v>21566</v>
      </c>
      <c r="F11">
        <v>27297</v>
      </c>
      <c r="G11">
        <v>34791</v>
      </c>
      <c r="H11">
        <v>40000</v>
      </c>
      <c r="I11">
        <v>21533</v>
      </c>
      <c r="J11">
        <v>19957</v>
      </c>
    </row>
    <row r="12" spans="1:12" x14ac:dyDescent="0.2">
      <c r="A12" s="1" t="s">
        <v>19</v>
      </c>
      <c r="B12">
        <v>3741</v>
      </c>
      <c r="C12">
        <v>4032</v>
      </c>
      <c r="D12">
        <v>4200</v>
      </c>
      <c r="E12">
        <v>3770</v>
      </c>
      <c r="F12">
        <v>5000</v>
      </c>
      <c r="G12">
        <v>5000</v>
      </c>
      <c r="H12">
        <v>4752</v>
      </c>
      <c r="I12">
        <v>3436</v>
      </c>
      <c r="J12">
        <v>5000</v>
      </c>
    </row>
    <row r="16" spans="1:12" x14ac:dyDescent="0.2">
      <c r="B16" s="17" t="s">
        <v>38</v>
      </c>
      <c r="C16" s="19" t="s">
        <v>46</v>
      </c>
      <c r="D16" s="17" t="s">
        <v>40</v>
      </c>
      <c r="E16" t="s">
        <v>47</v>
      </c>
    </row>
    <row r="17" spans="1:5" x14ac:dyDescent="0.2">
      <c r="A17" s="1" t="s">
        <v>9</v>
      </c>
      <c r="B17">
        <f>SUM(B2:J2)+SUM(Vides!B2:J2)</f>
        <v>97296</v>
      </c>
      <c r="C17">
        <f>SUM(B2:J2)</f>
        <v>97296</v>
      </c>
      <c r="D17" s="16">
        <f t="shared" ref="D17:D27" si="0">B17/9</f>
        <v>10810.666666666666</v>
      </c>
      <c r="E17">
        <f>C17/B17</f>
        <v>1</v>
      </c>
    </row>
    <row r="18" spans="1:5" x14ac:dyDescent="0.2">
      <c r="A18" s="1" t="s">
        <v>10</v>
      </c>
      <c r="B18">
        <f>SUM(B3:J3)+SUM(Vides!B3:J3)</f>
        <v>59417</v>
      </c>
      <c r="C18">
        <f t="shared" ref="C18:C27" si="1">SUM(B3:J3)</f>
        <v>57623</v>
      </c>
      <c r="D18" s="16">
        <f t="shared" si="0"/>
        <v>6601.8888888888887</v>
      </c>
      <c r="E18">
        <f t="shared" ref="E18:E27" si="2">C18/B18</f>
        <v>0.96980662100072368</v>
      </c>
    </row>
    <row r="19" spans="1:5" x14ac:dyDescent="0.2">
      <c r="A19" s="1" t="s">
        <v>11</v>
      </c>
      <c r="B19">
        <f>SUM(B4:J4)+SUM(Vides!B4:J4)</f>
        <v>274376</v>
      </c>
      <c r="C19">
        <f t="shared" si="1"/>
        <v>153902</v>
      </c>
      <c r="D19" s="16">
        <f t="shared" si="0"/>
        <v>30486.222222222223</v>
      </c>
      <c r="E19">
        <f t="shared" si="2"/>
        <v>0.56091640668280029</v>
      </c>
    </row>
    <row r="20" spans="1:5" x14ac:dyDescent="0.2">
      <c r="A20" s="1" t="s">
        <v>12</v>
      </c>
      <c r="B20">
        <f>SUM(B5:J5)+SUM(Vides!B5:J5)</f>
        <v>78974</v>
      </c>
      <c r="C20">
        <f t="shared" si="1"/>
        <v>78119</v>
      </c>
      <c r="D20" s="16">
        <f t="shared" si="0"/>
        <v>8774.8888888888887</v>
      </c>
      <c r="E20">
        <f t="shared" si="2"/>
        <v>0.98917365208802899</v>
      </c>
    </row>
    <row r="21" spans="1:5" x14ac:dyDescent="0.2">
      <c r="A21" s="1" t="s">
        <v>13</v>
      </c>
      <c r="B21">
        <f>SUM(B6:J6)+SUM(Vides!B6:J6)</f>
        <v>64731</v>
      </c>
      <c r="C21">
        <f t="shared" si="1"/>
        <v>48805</v>
      </c>
      <c r="D21" s="16">
        <f t="shared" si="0"/>
        <v>7192.333333333333</v>
      </c>
      <c r="E21">
        <f t="shared" si="2"/>
        <v>0.75396641485532434</v>
      </c>
    </row>
    <row r="22" spans="1:5" x14ac:dyDescent="0.2">
      <c r="A22" s="1" t="s">
        <v>14</v>
      </c>
      <c r="B22">
        <f>SUM(B7:J7)+SUM(Vides!B7:J7)</f>
        <v>213106</v>
      </c>
      <c r="C22">
        <f t="shared" si="1"/>
        <v>119388</v>
      </c>
      <c r="D22" s="16">
        <f t="shared" si="0"/>
        <v>23678.444444444445</v>
      </c>
      <c r="E22">
        <f t="shared" si="2"/>
        <v>0.56022824322168308</v>
      </c>
    </row>
    <row r="23" spans="1:5" x14ac:dyDescent="0.2">
      <c r="A23" s="1" t="s">
        <v>15</v>
      </c>
      <c r="B23">
        <f>SUM(B8:J8)+SUM(Vides!B8:J8)</f>
        <v>157031</v>
      </c>
      <c r="C23">
        <f t="shared" si="1"/>
        <v>143739</v>
      </c>
      <c r="D23" s="16">
        <f t="shared" si="0"/>
        <v>17447.888888888891</v>
      </c>
      <c r="E23">
        <f t="shared" si="2"/>
        <v>0.91535429310136218</v>
      </c>
    </row>
    <row r="24" spans="1:5" x14ac:dyDescent="0.2">
      <c r="A24" s="1" t="s">
        <v>16</v>
      </c>
      <c r="B24">
        <f>SUM(B9:J9)+SUM(Vides!B9:J9)</f>
        <v>54622</v>
      </c>
      <c r="C24">
        <f t="shared" si="1"/>
        <v>53078</v>
      </c>
      <c r="D24" s="16">
        <f t="shared" si="0"/>
        <v>6069.1111111111113</v>
      </c>
      <c r="E24">
        <f t="shared" si="2"/>
        <v>0.97173300135476548</v>
      </c>
    </row>
    <row r="25" spans="1:5" x14ac:dyDescent="0.2">
      <c r="A25" s="1" t="s">
        <v>17</v>
      </c>
      <c r="B25">
        <f>SUM(B10:J10)+SUM(Vides!B10:J10)</f>
        <v>38604</v>
      </c>
      <c r="C25">
        <f t="shared" si="1"/>
        <v>38494</v>
      </c>
      <c r="D25" s="16">
        <f t="shared" si="0"/>
        <v>4289.333333333333</v>
      </c>
      <c r="E25">
        <f t="shared" si="2"/>
        <v>0.99715055434669986</v>
      </c>
    </row>
    <row r="26" spans="1:5" x14ac:dyDescent="0.2">
      <c r="A26" s="1" t="s">
        <v>18</v>
      </c>
      <c r="B26">
        <f>SUM(B11:J11)+SUM(Vides!B11:J11)</f>
        <v>290161</v>
      </c>
      <c r="C26">
        <f t="shared" si="1"/>
        <v>266257</v>
      </c>
      <c r="D26" s="16">
        <f t="shared" si="0"/>
        <v>32240.111111111109</v>
      </c>
      <c r="E26">
        <f t="shared" si="2"/>
        <v>0.91761814992366308</v>
      </c>
    </row>
    <row r="27" spans="1:5" x14ac:dyDescent="0.2">
      <c r="A27" s="1" t="s">
        <v>19</v>
      </c>
      <c r="B27">
        <f>SUM(B12:J12)+SUM(Vides!B12:J12)</f>
        <v>40335</v>
      </c>
      <c r="C27">
        <f t="shared" si="1"/>
        <v>38931</v>
      </c>
      <c r="D27" s="16">
        <f t="shared" si="0"/>
        <v>4481.666666666667</v>
      </c>
      <c r="E27">
        <f t="shared" si="2"/>
        <v>0.9651915210115285</v>
      </c>
    </row>
    <row r="29" spans="1:5" x14ac:dyDescent="0.2">
      <c r="A29" s="1"/>
    </row>
    <row r="30" spans="1:5" x14ac:dyDescent="0.2">
      <c r="A30" s="1"/>
    </row>
    <row r="31" spans="1:5" x14ac:dyDescent="0.2">
      <c r="A31" s="1"/>
    </row>
    <row r="32" spans="1:5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="125" workbookViewId="0">
      <selection activeCell="O31" sqref="O31"/>
    </sheetView>
  </sheetViews>
  <sheetFormatPr baseColWidth="10" defaultColWidth="8.83203125" defaultRowHeight="15" x14ac:dyDescent="0.2"/>
  <cols>
    <col min="1" max="1" width="10.332031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20</v>
      </c>
      <c r="B2">
        <v>7000</v>
      </c>
      <c r="C2">
        <v>0</v>
      </c>
      <c r="D2">
        <v>7000</v>
      </c>
      <c r="E2">
        <v>7000</v>
      </c>
      <c r="F2">
        <v>7000</v>
      </c>
      <c r="G2">
        <v>0</v>
      </c>
      <c r="H2">
        <v>1260</v>
      </c>
      <c r="I2">
        <v>7000</v>
      </c>
      <c r="J2">
        <v>7000</v>
      </c>
    </row>
    <row r="3" spans="1:10" x14ac:dyDescent="0.2">
      <c r="A3" s="1" t="s">
        <v>21</v>
      </c>
      <c r="B3">
        <v>6000</v>
      </c>
      <c r="C3">
        <v>4425</v>
      </c>
      <c r="D3">
        <v>3345</v>
      </c>
      <c r="E3">
        <v>4308</v>
      </c>
      <c r="F3">
        <v>1507</v>
      </c>
      <c r="G3">
        <v>0</v>
      </c>
      <c r="H3">
        <v>358</v>
      </c>
      <c r="I3">
        <v>2730</v>
      </c>
      <c r="J3">
        <v>4710</v>
      </c>
    </row>
    <row r="4" spans="1:10" x14ac:dyDescent="0.2">
      <c r="A4" s="1" t="s">
        <v>22</v>
      </c>
      <c r="B4">
        <v>8000</v>
      </c>
      <c r="C4">
        <v>1848</v>
      </c>
      <c r="D4">
        <v>8000</v>
      </c>
      <c r="E4">
        <v>8000</v>
      </c>
      <c r="F4">
        <v>8000</v>
      </c>
      <c r="G4">
        <v>4740</v>
      </c>
      <c r="H4">
        <v>0</v>
      </c>
      <c r="I4">
        <v>8000</v>
      </c>
      <c r="J4">
        <v>8000</v>
      </c>
    </row>
    <row r="5" spans="1:10" x14ac:dyDescent="0.2">
      <c r="A5" s="1" t="s">
        <v>23</v>
      </c>
      <c r="B5">
        <v>0</v>
      </c>
      <c r="C5">
        <v>3101</v>
      </c>
      <c r="D5">
        <v>4000</v>
      </c>
      <c r="E5">
        <v>4000</v>
      </c>
      <c r="F5">
        <v>3886</v>
      </c>
      <c r="G5">
        <v>0</v>
      </c>
      <c r="H5">
        <v>0</v>
      </c>
      <c r="I5">
        <v>4000</v>
      </c>
      <c r="J5">
        <v>4000</v>
      </c>
    </row>
    <row r="6" spans="1:10" x14ac:dyDescent="0.2">
      <c r="A6" s="1" t="s">
        <v>24</v>
      </c>
      <c r="B6">
        <v>3456</v>
      </c>
      <c r="C6">
        <v>4603</v>
      </c>
      <c r="D6">
        <v>8000</v>
      </c>
      <c r="E6">
        <v>5477</v>
      </c>
      <c r="F6">
        <v>0</v>
      </c>
      <c r="G6">
        <v>0</v>
      </c>
      <c r="H6">
        <v>248</v>
      </c>
      <c r="I6">
        <v>3152</v>
      </c>
      <c r="J6">
        <v>8000</v>
      </c>
    </row>
    <row r="7" spans="1:10" x14ac:dyDescent="0.2">
      <c r="A7" s="1" t="s">
        <v>25</v>
      </c>
      <c r="B7">
        <v>7000</v>
      </c>
      <c r="C7">
        <v>4741</v>
      </c>
      <c r="D7">
        <v>6962</v>
      </c>
      <c r="E7">
        <v>3367</v>
      </c>
      <c r="F7">
        <v>0</v>
      </c>
      <c r="G7">
        <v>4623</v>
      </c>
      <c r="H7">
        <v>7000</v>
      </c>
      <c r="I7">
        <v>7000</v>
      </c>
      <c r="J7">
        <v>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zoomScale="190" zoomScaleNormal="190" workbookViewId="0">
      <selection activeCell="A2" sqref="A2:A7"/>
    </sheetView>
  </sheetViews>
  <sheetFormatPr baseColWidth="10" defaultColWidth="8.83203125" defaultRowHeight="15" x14ac:dyDescent="0.2"/>
  <cols>
    <col min="1" max="1" width="10.33203125" bestFit="1" customWidth="1"/>
    <col min="5" max="7" width="10.33203125" customWidth="1"/>
    <col min="8" max="8" width="10.33203125" bestFit="1" customWidth="1"/>
    <col min="9" max="10" width="10.33203125" customWidth="1"/>
  </cols>
  <sheetData>
    <row r="1" spans="1:10" x14ac:dyDescent="0.2">
      <c r="B1" s="1" t="s">
        <v>0</v>
      </c>
    </row>
    <row r="2" spans="1:10" x14ac:dyDescent="0.2">
      <c r="A2" s="1" t="s">
        <v>20</v>
      </c>
      <c r="B2">
        <v>26971</v>
      </c>
    </row>
    <row r="3" spans="1:10" x14ac:dyDescent="0.2">
      <c r="A3" s="1" t="s">
        <v>21</v>
      </c>
      <c r="B3">
        <v>9745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</row>
    <row r="4" spans="1:10" x14ac:dyDescent="0.2">
      <c r="A4" s="1" t="s">
        <v>22</v>
      </c>
      <c r="B4">
        <v>6769</v>
      </c>
      <c r="D4" s="4" t="s">
        <v>0</v>
      </c>
      <c r="E4">
        <v>26971</v>
      </c>
      <c r="F4">
        <v>9745</v>
      </c>
      <c r="G4">
        <v>6769</v>
      </c>
      <c r="H4">
        <v>0</v>
      </c>
      <c r="I4">
        <v>3399</v>
      </c>
      <c r="J4">
        <v>10616</v>
      </c>
    </row>
    <row r="5" spans="1:10" x14ac:dyDescent="0.2">
      <c r="A5" s="1" t="s">
        <v>23</v>
      </c>
      <c r="B5">
        <v>0</v>
      </c>
    </row>
    <row r="6" spans="1:10" x14ac:dyDescent="0.2">
      <c r="A6" s="1" t="s">
        <v>24</v>
      </c>
      <c r="B6">
        <v>3399</v>
      </c>
    </row>
    <row r="7" spans="1:10" x14ac:dyDescent="0.2">
      <c r="A7" s="1" t="s">
        <v>25</v>
      </c>
      <c r="B7">
        <v>10616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BF92-23BB-1840-A2AC-666F4F7A1C35}">
  <dimension ref="A1:J12"/>
  <sheetViews>
    <sheetView zoomScale="150" workbookViewId="0">
      <selection activeCell="K17" sqref="K17"/>
    </sheetView>
  </sheetViews>
  <sheetFormatPr baseColWidth="10" defaultRowHeight="15" x14ac:dyDescent="0.2"/>
  <cols>
    <col min="1" max="1" width="18.83203125" bestFit="1" customWidth="1"/>
  </cols>
  <sheetData>
    <row r="1" spans="1:10" x14ac:dyDescent="0.2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</row>
    <row r="2" spans="1:10" x14ac:dyDescent="0.2">
      <c r="A2" s="8" t="s">
        <v>9</v>
      </c>
      <c r="B2">
        <v>10516</v>
      </c>
      <c r="C2">
        <v>11025</v>
      </c>
      <c r="D2">
        <v>6932</v>
      </c>
      <c r="E2">
        <v>7718</v>
      </c>
      <c r="F2">
        <v>11183</v>
      </c>
      <c r="G2">
        <v>16828</v>
      </c>
      <c r="H2">
        <v>13172</v>
      </c>
      <c r="I2">
        <v>14012</v>
      </c>
      <c r="J2" s="9">
        <v>7738</v>
      </c>
    </row>
    <row r="3" spans="1:10" x14ac:dyDescent="0.2">
      <c r="A3" s="8" t="s">
        <v>10</v>
      </c>
      <c r="B3">
        <v>5394</v>
      </c>
      <c r="C3">
        <v>7645</v>
      </c>
      <c r="D3">
        <v>4611</v>
      </c>
      <c r="E3">
        <v>6203</v>
      </c>
      <c r="F3">
        <v>11997</v>
      </c>
      <c r="G3">
        <v>7053</v>
      </c>
      <c r="H3">
        <v>8759</v>
      </c>
      <c r="I3">
        <v>4656</v>
      </c>
      <c r="J3" s="9">
        <v>3302</v>
      </c>
    </row>
    <row r="4" spans="1:10" x14ac:dyDescent="0.2">
      <c r="A4" s="8" t="s">
        <v>11</v>
      </c>
      <c r="B4">
        <v>14824</v>
      </c>
      <c r="C4">
        <v>11681</v>
      </c>
      <c r="D4">
        <v>9539</v>
      </c>
      <c r="E4">
        <v>11023</v>
      </c>
      <c r="F4">
        <v>18568</v>
      </c>
      <c r="G4">
        <v>21813</v>
      </c>
      <c r="H4">
        <v>25569</v>
      </c>
      <c r="I4">
        <v>21965</v>
      </c>
      <c r="J4" s="9">
        <v>18920</v>
      </c>
    </row>
    <row r="5" spans="1:10" x14ac:dyDescent="0.2">
      <c r="A5" s="8" t="s">
        <v>12</v>
      </c>
      <c r="B5">
        <v>8745</v>
      </c>
      <c r="C5">
        <v>10639</v>
      </c>
      <c r="D5">
        <v>9131</v>
      </c>
      <c r="E5">
        <v>5849</v>
      </c>
      <c r="F5">
        <v>9821</v>
      </c>
      <c r="G5">
        <v>9986</v>
      </c>
      <c r="H5">
        <v>9347</v>
      </c>
      <c r="I5">
        <v>7380</v>
      </c>
      <c r="J5" s="9">
        <v>7860</v>
      </c>
    </row>
    <row r="6" spans="1:10" x14ac:dyDescent="0.2">
      <c r="A6" s="8" t="s">
        <v>13</v>
      </c>
      <c r="B6">
        <v>8616</v>
      </c>
      <c r="C6">
        <v>7653</v>
      </c>
      <c r="D6">
        <v>2941</v>
      </c>
      <c r="E6">
        <v>4187</v>
      </c>
      <c r="F6">
        <v>7716</v>
      </c>
      <c r="G6">
        <v>4994</v>
      </c>
      <c r="H6">
        <v>4676</v>
      </c>
      <c r="I6">
        <v>4327</v>
      </c>
      <c r="J6" s="9">
        <v>3695</v>
      </c>
    </row>
    <row r="7" spans="1:10" x14ac:dyDescent="0.2">
      <c r="A7" s="8" t="s">
        <v>14</v>
      </c>
      <c r="B7">
        <v>11395</v>
      </c>
      <c r="C7">
        <v>16358</v>
      </c>
      <c r="D7">
        <v>8764</v>
      </c>
      <c r="E7">
        <v>11864</v>
      </c>
      <c r="F7">
        <v>17669</v>
      </c>
      <c r="G7">
        <v>13873</v>
      </c>
      <c r="H7">
        <v>14448</v>
      </c>
      <c r="I7">
        <v>8552</v>
      </c>
      <c r="J7" s="9">
        <v>16465</v>
      </c>
    </row>
    <row r="8" spans="1:10" x14ac:dyDescent="0.2">
      <c r="A8" s="8" t="s">
        <v>15</v>
      </c>
      <c r="B8">
        <v>14153</v>
      </c>
      <c r="C8">
        <v>16194</v>
      </c>
      <c r="D8">
        <v>12077</v>
      </c>
      <c r="E8">
        <v>12437</v>
      </c>
      <c r="F8">
        <v>16544</v>
      </c>
      <c r="G8">
        <v>19782</v>
      </c>
      <c r="H8">
        <v>24253</v>
      </c>
      <c r="I8">
        <v>18395</v>
      </c>
      <c r="J8" s="9">
        <v>14157</v>
      </c>
    </row>
    <row r="9" spans="1:10" x14ac:dyDescent="0.2">
      <c r="A9" s="8" t="s">
        <v>16</v>
      </c>
      <c r="B9">
        <v>6202</v>
      </c>
      <c r="C9">
        <v>5337</v>
      </c>
      <c r="D9">
        <v>3428</v>
      </c>
      <c r="E9">
        <v>4141</v>
      </c>
      <c r="F9">
        <v>8195</v>
      </c>
      <c r="G9">
        <v>9133</v>
      </c>
      <c r="H9">
        <v>11754</v>
      </c>
      <c r="I9">
        <v>5428</v>
      </c>
      <c r="J9" s="9">
        <v>4164</v>
      </c>
    </row>
    <row r="10" spans="1:10" x14ac:dyDescent="0.2">
      <c r="A10" s="8" t="s">
        <v>17</v>
      </c>
      <c r="B10">
        <v>4684</v>
      </c>
      <c r="C10">
        <v>4019</v>
      </c>
      <c r="D10">
        <v>3467</v>
      </c>
      <c r="E10">
        <v>3250</v>
      </c>
      <c r="F10">
        <v>3479</v>
      </c>
      <c r="G10">
        <v>4705</v>
      </c>
      <c r="H10">
        <v>5532</v>
      </c>
      <c r="I10">
        <v>6122</v>
      </c>
      <c r="J10" s="9">
        <v>4890</v>
      </c>
    </row>
    <row r="11" spans="1:10" x14ac:dyDescent="0.2">
      <c r="A11" s="8" t="s">
        <v>18</v>
      </c>
      <c r="B11">
        <v>29932</v>
      </c>
      <c r="C11">
        <v>44609</v>
      </c>
      <c r="D11">
        <v>31181</v>
      </c>
      <c r="E11">
        <v>21566</v>
      </c>
      <c r="F11">
        <v>27297</v>
      </c>
      <c r="G11">
        <v>34791</v>
      </c>
      <c r="H11">
        <v>43013</v>
      </c>
      <c r="I11">
        <v>21533</v>
      </c>
      <c r="J11" s="9">
        <v>19957</v>
      </c>
    </row>
    <row r="12" spans="1:10" x14ac:dyDescent="0.2">
      <c r="A12" s="10" t="s">
        <v>19</v>
      </c>
      <c r="B12">
        <v>3741</v>
      </c>
      <c r="C12" s="11">
        <v>4032</v>
      </c>
      <c r="D12" s="11">
        <v>4200</v>
      </c>
      <c r="E12" s="11">
        <v>3770</v>
      </c>
      <c r="F12" s="11">
        <v>5473</v>
      </c>
      <c r="G12" s="11">
        <v>5405</v>
      </c>
      <c r="H12" s="11">
        <v>4752</v>
      </c>
      <c r="I12" s="11">
        <v>3436</v>
      </c>
      <c r="J12" s="12">
        <v>5066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8C68-4051-EF41-8896-1AF013DFDE9F}">
  <dimension ref="A1:L55"/>
  <sheetViews>
    <sheetView topLeftCell="A9" zoomScaleNormal="140" workbookViewId="0">
      <selection activeCell="B36" sqref="B36"/>
    </sheetView>
  </sheetViews>
  <sheetFormatPr baseColWidth="10" defaultRowHeight="15" x14ac:dyDescent="0.2"/>
  <cols>
    <col min="1" max="1" width="21" bestFit="1" customWidth="1"/>
    <col min="12" max="12" width="19" bestFit="1" customWidth="1"/>
  </cols>
  <sheetData>
    <row r="1" spans="1:12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</row>
    <row r="2" spans="1:12" x14ac:dyDescent="0.2">
      <c r="A2" s="8" t="s">
        <v>9</v>
      </c>
      <c r="B2">
        <v>102</v>
      </c>
      <c r="C2">
        <v>119</v>
      </c>
      <c r="D2">
        <v>76</v>
      </c>
      <c r="E2">
        <v>104</v>
      </c>
      <c r="F2">
        <v>112</v>
      </c>
      <c r="G2">
        <v>243</v>
      </c>
      <c r="H2">
        <v>155</v>
      </c>
      <c r="I2">
        <v>118</v>
      </c>
      <c r="J2" s="9">
        <v>88</v>
      </c>
    </row>
    <row r="3" spans="1:12" x14ac:dyDescent="0.2">
      <c r="A3" s="8" t="s">
        <v>10</v>
      </c>
      <c r="B3">
        <v>104</v>
      </c>
      <c r="C3">
        <v>134</v>
      </c>
      <c r="D3">
        <v>79</v>
      </c>
      <c r="E3">
        <v>131</v>
      </c>
      <c r="F3">
        <v>373</v>
      </c>
      <c r="G3">
        <v>338</v>
      </c>
      <c r="H3">
        <v>308</v>
      </c>
      <c r="I3">
        <v>121</v>
      </c>
      <c r="J3" s="9">
        <v>72</v>
      </c>
    </row>
    <row r="4" spans="1:12" x14ac:dyDescent="0.2">
      <c r="A4" s="8" t="s">
        <v>11</v>
      </c>
      <c r="B4">
        <v>147</v>
      </c>
      <c r="C4">
        <v>126</v>
      </c>
      <c r="D4">
        <v>100</v>
      </c>
      <c r="E4">
        <v>136</v>
      </c>
      <c r="F4">
        <v>130</v>
      </c>
      <c r="G4">
        <v>163</v>
      </c>
      <c r="H4">
        <v>232</v>
      </c>
      <c r="I4">
        <v>155</v>
      </c>
      <c r="J4" s="9">
        <v>182</v>
      </c>
    </row>
    <row r="5" spans="1:12" x14ac:dyDescent="0.2">
      <c r="A5" s="8" t="s">
        <v>12</v>
      </c>
      <c r="B5">
        <v>112</v>
      </c>
      <c r="C5">
        <v>133</v>
      </c>
      <c r="D5">
        <v>63</v>
      </c>
      <c r="E5">
        <v>58</v>
      </c>
      <c r="F5">
        <v>131</v>
      </c>
      <c r="G5">
        <v>287</v>
      </c>
      <c r="H5">
        <v>300</v>
      </c>
      <c r="I5">
        <v>108</v>
      </c>
      <c r="J5" s="9">
        <v>79</v>
      </c>
    </row>
    <row r="6" spans="1:12" x14ac:dyDescent="0.2">
      <c r="A6" s="8" t="s">
        <v>13</v>
      </c>
      <c r="B6">
        <v>183</v>
      </c>
      <c r="C6">
        <v>286</v>
      </c>
      <c r="D6">
        <v>88</v>
      </c>
      <c r="E6">
        <v>114</v>
      </c>
      <c r="F6">
        <v>121</v>
      </c>
      <c r="G6">
        <v>99</v>
      </c>
      <c r="H6">
        <v>73</v>
      </c>
      <c r="I6">
        <v>61</v>
      </c>
      <c r="J6" s="9">
        <v>125</v>
      </c>
    </row>
    <row r="7" spans="1:12" x14ac:dyDescent="0.2">
      <c r="A7" s="8" t="s">
        <v>14</v>
      </c>
      <c r="B7">
        <v>82</v>
      </c>
      <c r="C7">
        <v>110</v>
      </c>
      <c r="D7">
        <v>76</v>
      </c>
      <c r="E7">
        <v>80</v>
      </c>
      <c r="F7">
        <v>106</v>
      </c>
      <c r="G7">
        <v>110</v>
      </c>
      <c r="H7">
        <v>142</v>
      </c>
      <c r="I7">
        <v>77</v>
      </c>
      <c r="J7" s="9">
        <v>105</v>
      </c>
    </row>
    <row r="8" spans="1:12" x14ac:dyDescent="0.2">
      <c r="A8" s="8" t="s">
        <v>15</v>
      </c>
      <c r="B8">
        <v>195</v>
      </c>
      <c r="C8">
        <v>128</v>
      </c>
      <c r="D8">
        <v>167</v>
      </c>
      <c r="E8">
        <v>121</v>
      </c>
      <c r="F8">
        <v>225</v>
      </c>
      <c r="G8">
        <v>365</v>
      </c>
      <c r="H8">
        <v>579</v>
      </c>
      <c r="I8">
        <v>517</v>
      </c>
      <c r="J8" s="9">
        <v>161</v>
      </c>
    </row>
    <row r="9" spans="1:12" x14ac:dyDescent="0.2">
      <c r="A9" s="8" t="s">
        <v>16</v>
      </c>
      <c r="B9">
        <v>107</v>
      </c>
      <c r="C9">
        <v>71</v>
      </c>
      <c r="D9">
        <v>69</v>
      </c>
      <c r="E9">
        <v>69</v>
      </c>
      <c r="F9">
        <v>132</v>
      </c>
      <c r="G9">
        <v>198</v>
      </c>
      <c r="H9">
        <v>191</v>
      </c>
      <c r="I9">
        <v>135</v>
      </c>
      <c r="J9" s="9">
        <v>78</v>
      </c>
    </row>
    <row r="10" spans="1:12" x14ac:dyDescent="0.2">
      <c r="A10" s="8" t="s">
        <v>17</v>
      </c>
      <c r="B10">
        <v>583</v>
      </c>
      <c r="C10">
        <v>175</v>
      </c>
      <c r="D10">
        <v>119</v>
      </c>
      <c r="E10">
        <v>163</v>
      </c>
      <c r="F10">
        <v>271</v>
      </c>
      <c r="G10">
        <v>236</v>
      </c>
      <c r="H10">
        <v>523</v>
      </c>
      <c r="I10">
        <v>520</v>
      </c>
      <c r="J10" s="9">
        <v>514</v>
      </c>
    </row>
    <row r="11" spans="1:12" x14ac:dyDescent="0.2">
      <c r="A11" s="8" t="s">
        <v>18</v>
      </c>
      <c r="B11">
        <v>359</v>
      </c>
      <c r="C11">
        <v>539</v>
      </c>
      <c r="D11">
        <v>171</v>
      </c>
      <c r="E11">
        <v>255</v>
      </c>
      <c r="F11">
        <v>568</v>
      </c>
      <c r="G11">
        <v>1102</v>
      </c>
      <c r="H11">
        <v>1053</v>
      </c>
      <c r="I11">
        <v>271</v>
      </c>
      <c r="J11" s="9">
        <v>270</v>
      </c>
    </row>
    <row r="12" spans="1:12" x14ac:dyDescent="0.2">
      <c r="A12" s="10" t="s">
        <v>19</v>
      </c>
      <c r="B12" s="11">
        <v>273</v>
      </c>
      <c r="C12" s="11">
        <v>258</v>
      </c>
      <c r="D12" s="11">
        <v>192</v>
      </c>
      <c r="E12" s="11">
        <v>308</v>
      </c>
      <c r="F12" s="11">
        <v>418</v>
      </c>
      <c r="G12" s="11">
        <v>735</v>
      </c>
      <c r="H12" s="11">
        <v>449</v>
      </c>
      <c r="I12" s="11">
        <v>268</v>
      </c>
      <c r="J12" s="12">
        <v>883</v>
      </c>
    </row>
    <row r="16" spans="1:12" x14ac:dyDescent="0.2">
      <c r="A16" t="s">
        <v>33</v>
      </c>
      <c r="L16" t="s">
        <v>37</v>
      </c>
    </row>
    <row r="17" spans="1:12" x14ac:dyDescent="0.2">
      <c r="A17" s="8" t="s">
        <v>9</v>
      </c>
      <c r="B17">
        <f>B2-$B$31</f>
        <v>60</v>
      </c>
      <c r="C17">
        <f t="shared" ref="C17:J17" si="0">C2-$B$31</f>
        <v>77</v>
      </c>
      <c r="D17">
        <f t="shared" si="0"/>
        <v>34</v>
      </c>
      <c r="E17">
        <f t="shared" si="0"/>
        <v>62</v>
      </c>
      <c r="F17">
        <f t="shared" si="0"/>
        <v>70</v>
      </c>
      <c r="G17">
        <f t="shared" si="0"/>
        <v>201</v>
      </c>
      <c r="H17">
        <f t="shared" si="0"/>
        <v>113</v>
      </c>
      <c r="I17">
        <f t="shared" si="0"/>
        <v>76</v>
      </c>
      <c r="J17">
        <f t="shared" si="0"/>
        <v>46</v>
      </c>
      <c r="L17" s="16">
        <f>AVERAGE(B17:J17)</f>
        <v>82.111111111111114</v>
      </c>
    </row>
    <row r="18" spans="1:12" x14ac:dyDescent="0.2">
      <c r="A18" s="8" t="s">
        <v>10</v>
      </c>
      <c r="B18">
        <f>B3-$B$32</f>
        <v>70</v>
      </c>
      <c r="C18">
        <f t="shared" ref="C18:J18" si="1">C3-$B$32</f>
        <v>100</v>
      </c>
      <c r="D18">
        <f t="shared" si="1"/>
        <v>45</v>
      </c>
      <c r="E18">
        <f t="shared" si="1"/>
        <v>97</v>
      </c>
      <c r="F18">
        <f t="shared" si="1"/>
        <v>339</v>
      </c>
      <c r="G18">
        <f t="shared" si="1"/>
        <v>304</v>
      </c>
      <c r="H18">
        <f t="shared" si="1"/>
        <v>274</v>
      </c>
      <c r="I18">
        <f t="shared" si="1"/>
        <v>87</v>
      </c>
      <c r="J18">
        <f t="shared" si="1"/>
        <v>38</v>
      </c>
      <c r="L18" s="16">
        <f>AVERAGE(B18:J18)</f>
        <v>150.44444444444446</v>
      </c>
    </row>
    <row r="19" spans="1:12" x14ac:dyDescent="0.2">
      <c r="A19" s="8" t="s">
        <v>11</v>
      </c>
      <c r="B19">
        <f>B4-$B33</f>
        <v>117</v>
      </c>
      <c r="C19">
        <f t="shared" ref="C19:J19" si="2">C4-$B33</f>
        <v>96</v>
      </c>
      <c r="D19">
        <f t="shared" si="2"/>
        <v>70</v>
      </c>
      <c r="E19">
        <f t="shared" si="2"/>
        <v>106</v>
      </c>
      <c r="F19">
        <f t="shared" si="2"/>
        <v>100</v>
      </c>
      <c r="G19">
        <f t="shared" si="2"/>
        <v>133</v>
      </c>
      <c r="H19">
        <f t="shared" si="2"/>
        <v>202</v>
      </c>
      <c r="I19">
        <f t="shared" si="2"/>
        <v>125</v>
      </c>
      <c r="J19">
        <f t="shared" si="2"/>
        <v>152</v>
      </c>
      <c r="L19" s="16">
        <f t="shared" ref="L19:L27" si="3">AVERAGE(B19:J19)</f>
        <v>122.33333333333333</v>
      </c>
    </row>
    <row r="20" spans="1:12" x14ac:dyDescent="0.2">
      <c r="A20" s="8" t="s">
        <v>12</v>
      </c>
      <c r="B20">
        <f t="shared" ref="B20:J27" si="4">B5-$B34</f>
        <v>82</v>
      </c>
      <c r="C20">
        <f t="shared" si="4"/>
        <v>103</v>
      </c>
      <c r="D20">
        <f t="shared" si="4"/>
        <v>33</v>
      </c>
      <c r="E20">
        <f t="shared" si="4"/>
        <v>28</v>
      </c>
      <c r="F20">
        <f t="shared" si="4"/>
        <v>101</v>
      </c>
      <c r="G20">
        <f t="shared" si="4"/>
        <v>257</v>
      </c>
      <c r="H20">
        <f t="shared" si="4"/>
        <v>270</v>
      </c>
      <c r="I20">
        <f t="shared" si="4"/>
        <v>78</v>
      </c>
      <c r="J20">
        <f t="shared" si="4"/>
        <v>49</v>
      </c>
      <c r="L20" s="16">
        <f t="shared" si="3"/>
        <v>111.22222222222223</v>
      </c>
    </row>
    <row r="21" spans="1:12" x14ac:dyDescent="0.2">
      <c r="A21" s="8" t="s">
        <v>13</v>
      </c>
      <c r="B21">
        <f t="shared" si="4"/>
        <v>151</v>
      </c>
      <c r="C21">
        <f t="shared" si="4"/>
        <v>254</v>
      </c>
      <c r="D21">
        <f t="shared" si="4"/>
        <v>56</v>
      </c>
      <c r="E21">
        <f t="shared" si="4"/>
        <v>82</v>
      </c>
      <c r="F21">
        <f t="shared" si="4"/>
        <v>89</v>
      </c>
      <c r="G21">
        <f t="shared" si="4"/>
        <v>67</v>
      </c>
      <c r="H21">
        <f t="shared" si="4"/>
        <v>41</v>
      </c>
      <c r="I21">
        <f t="shared" si="4"/>
        <v>29</v>
      </c>
      <c r="J21">
        <f t="shared" si="4"/>
        <v>93</v>
      </c>
      <c r="L21" s="16">
        <f t="shared" si="3"/>
        <v>95.777777777777771</v>
      </c>
    </row>
    <row r="22" spans="1:12" x14ac:dyDescent="0.2">
      <c r="A22" s="8" t="s">
        <v>14</v>
      </c>
      <c r="B22">
        <f t="shared" si="4"/>
        <v>54</v>
      </c>
      <c r="C22">
        <f t="shared" si="4"/>
        <v>82</v>
      </c>
      <c r="D22">
        <f t="shared" si="4"/>
        <v>48</v>
      </c>
      <c r="E22">
        <f t="shared" si="4"/>
        <v>52</v>
      </c>
      <c r="F22">
        <f t="shared" si="4"/>
        <v>78</v>
      </c>
      <c r="G22">
        <f t="shared" si="4"/>
        <v>82</v>
      </c>
      <c r="H22">
        <f t="shared" si="4"/>
        <v>114</v>
      </c>
      <c r="I22">
        <f t="shared" si="4"/>
        <v>49</v>
      </c>
      <c r="J22">
        <f t="shared" si="4"/>
        <v>77</v>
      </c>
      <c r="L22" s="16">
        <f t="shared" si="3"/>
        <v>70.666666666666671</v>
      </c>
    </row>
    <row r="23" spans="1:12" x14ac:dyDescent="0.2">
      <c r="A23" s="8" t="s">
        <v>15</v>
      </c>
      <c r="B23">
        <f t="shared" si="4"/>
        <v>167</v>
      </c>
      <c r="C23">
        <f t="shared" si="4"/>
        <v>100</v>
      </c>
      <c r="D23">
        <f t="shared" si="4"/>
        <v>139</v>
      </c>
      <c r="E23">
        <f t="shared" si="4"/>
        <v>93</v>
      </c>
      <c r="F23">
        <f t="shared" si="4"/>
        <v>197</v>
      </c>
      <c r="G23">
        <f t="shared" si="4"/>
        <v>337</v>
      </c>
      <c r="H23">
        <f t="shared" si="4"/>
        <v>551</v>
      </c>
      <c r="I23">
        <f t="shared" si="4"/>
        <v>489</v>
      </c>
      <c r="J23">
        <f t="shared" si="4"/>
        <v>133</v>
      </c>
      <c r="L23" s="16">
        <f t="shared" si="3"/>
        <v>245.11111111111111</v>
      </c>
    </row>
    <row r="24" spans="1:12" x14ac:dyDescent="0.2">
      <c r="A24" s="8" t="s">
        <v>16</v>
      </c>
      <c r="B24">
        <f t="shared" si="4"/>
        <v>65</v>
      </c>
      <c r="C24">
        <f t="shared" si="4"/>
        <v>29</v>
      </c>
      <c r="D24">
        <f t="shared" si="4"/>
        <v>27</v>
      </c>
      <c r="E24">
        <f t="shared" si="4"/>
        <v>27</v>
      </c>
      <c r="F24">
        <f t="shared" si="4"/>
        <v>90</v>
      </c>
      <c r="G24">
        <f t="shared" si="4"/>
        <v>156</v>
      </c>
      <c r="H24">
        <f t="shared" si="4"/>
        <v>149</v>
      </c>
      <c r="I24">
        <f t="shared" si="4"/>
        <v>93</v>
      </c>
      <c r="J24">
        <f t="shared" si="4"/>
        <v>36</v>
      </c>
      <c r="L24" s="16">
        <f>AVERAGE(B24:J24)</f>
        <v>74.666666666666671</v>
      </c>
    </row>
    <row r="25" spans="1:12" x14ac:dyDescent="0.2">
      <c r="A25" s="8" t="s">
        <v>17</v>
      </c>
      <c r="B25">
        <f t="shared" si="4"/>
        <v>563</v>
      </c>
      <c r="C25">
        <f t="shared" si="4"/>
        <v>155</v>
      </c>
      <c r="D25">
        <f t="shared" si="4"/>
        <v>99</v>
      </c>
      <c r="E25">
        <f t="shared" si="4"/>
        <v>143</v>
      </c>
      <c r="F25">
        <f t="shared" si="4"/>
        <v>251</v>
      </c>
      <c r="G25">
        <f t="shared" si="4"/>
        <v>216</v>
      </c>
      <c r="H25">
        <f t="shared" si="4"/>
        <v>503</v>
      </c>
      <c r="I25">
        <f t="shared" si="4"/>
        <v>500</v>
      </c>
      <c r="J25">
        <f t="shared" si="4"/>
        <v>494</v>
      </c>
      <c r="L25" s="16">
        <f t="shared" si="3"/>
        <v>324.88888888888891</v>
      </c>
    </row>
    <row r="26" spans="1:12" x14ac:dyDescent="0.2">
      <c r="A26" s="8" t="s">
        <v>18</v>
      </c>
      <c r="B26">
        <f t="shared" si="4"/>
        <v>329</v>
      </c>
      <c r="C26">
        <f t="shared" si="4"/>
        <v>509</v>
      </c>
      <c r="D26">
        <f t="shared" si="4"/>
        <v>141</v>
      </c>
      <c r="E26">
        <f t="shared" si="4"/>
        <v>225</v>
      </c>
      <c r="F26">
        <f t="shared" si="4"/>
        <v>538</v>
      </c>
      <c r="G26">
        <f t="shared" si="4"/>
        <v>1072</v>
      </c>
      <c r="H26">
        <f t="shared" si="4"/>
        <v>1023</v>
      </c>
      <c r="I26">
        <f t="shared" si="4"/>
        <v>241</v>
      </c>
      <c r="J26">
        <f t="shared" si="4"/>
        <v>240</v>
      </c>
      <c r="L26" s="16">
        <f t="shared" si="3"/>
        <v>479.77777777777777</v>
      </c>
    </row>
    <row r="27" spans="1:12" x14ac:dyDescent="0.2">
      <c r="A27" s="10" t="s">
        <v>19</v>
      </c>
      <c r="B27">
        <f t="shared" si="4"/>
        <v>241</v>
      </c>
      <c r="C27">
        <f t="shared" si="4"/>
        <v>226</v>
      </c>
      <c r="D27">
        <f t="shared" si="4"/>
        <v>160</v>
      </c>
      <c r="E27">
        <f t="shared" si="4"/>
        <v>276</v>
      </c>
      <c r="F27">
        <f t="shared" si="4"/>
        <v>386</v>
      </c>
      <c r="G27">
        <f t="shared" si="4"/>
        <v>703</v>
      </c>
      <c r="H27">
        <f t="shared" si="4"/>
        <v>417</v>
      </c>
      <c r="I27">
        <f t="shared" si="4"/>
        <v>236</v>
      </c>
      <c r="J27">
        <f t="shared" si="4"/>
        <v>851</v>
      </c>
      <c r="L27" s="16">
        <f t="shared" si="3"/>
        <v>388.44444444444446</v>
      </c>
    </row>
    <row r="30" spans="1:12" x14ac:dyDescent="0.2">
      <c r="A30" t="s">
        <v>34</v>
      </c>
    </row>
    <row r="31" spans="1:12" x14ac:dyDescent="0.2">
      <c r="A31" s="8" t="s">
        <v>9</v>
      </c>
      <c r="B31">
        <v>42</v>
      </c>
    </row>
    <row r="32" spans="1:12" x14ac:dyDescent="0.2">
      <c r="A32" s="8" t="s">
        <v>10</v>
      </c>
      <c r="B32">
        <v>34</v>
      </c>
    </row>
    <row r="33" spans="1:12" x14ac:dyDescent="0.2">
      <c r="A33" s="8" t="s">
        <v>11</v>
      </c>
      <c r="B33">
        <v>30</v>
      </c>
    </row>
    <row r="34" spans="1:12" x14ac:dyDescent="0.2">
      <c r="A34" s="8" t="s">
        <v>12</v>
      </c>
      <c r="B34">
        <v>30</v>
      </c>
    </row>
    <row r="35" spans="1:12" x14ac:dyDescent="0.2">
      <c r="A35" s="8" t="s">
        <v>13</v>
      </c>
      <c r="B35">
        <v>32</v>
      </c>
    </row>
    <row r="36" spans="1:12" x14ac:dyDescent="0.2">
      <c r="A36" s="8" t="s">
        <v>14</v>
      </c>
      <c r="B36">
        <v>28</v>
      </c>
    </row>
    <row r="37" spans="1:12" x14ac:dyDescent="0.2">
      <c r="A37" s="8" t="s">
        <v>15</v>
      </c>
      <c r="B37">
        <v>28</v>
      </c>
    </row>
    <row r="38" spans="1:12" x14ac:dyDescent="0.2">
      <c r="A38" s="8" t="s">
        <v>16</v>
      </c>
      <c r="B38">
        <v>42</v>
      </c>
    </row>
    <row r="39" spans="1:12" x14ac:dyDescent="0.2">
      <c r="A39" s="8" t="s">
        <v>17</v>
      </c>
      <c r="B39">
        <v>20</v>
      </c>
    </row>
    <row r="40" spans="1:12" x14ac:dyDescent="0.2">
      <c r="A40" s="8" t="s">
        <v>18</v>
      </c>
      <c r="B40">
        <v>30</v>
      </c>
    </row>
    <row r="41" spans="1:12" x14ac:dyDescent="0.2">
      <c r="A41" s="10" t="s">
        <v>19</v>
      </c>
      <c r="B41">
        <v>32</v>
      </c>
    </row>
    <row r="44" spans="1:12" x14ac:dyDescent="0.2">
      <c r="A44" t="s">
        <v>39</v>
      </c>
      <c r="L44" t="s">
        <v>54</v>
      </c>
    </row>
    <row r="45" spans="1:12" x14ac:dyDescent="0.2">
      <c r="A45" s="8" t="s">
        <v>9</v>
      </c>
      <c r="B45">
        <f>Vides!B2*Revenus!$B31</f>
        <v>0</v>
      </c>
      <c r="C45">
        <f>Vides!C2*Revenus!$B31</f>
        <v>0</v>
      </c>
      <c r="D45">
        <f>Vides!D2*Revenus!$B31</f>
        <v>0</v>
      </c>
      <c r="E45">
        <f>Vides!E2*Revenus!$B31</f>
        <v>0</v>
      </c>
      <c r="F45">
        <f>Vides!F2*Revenus!$B31</f>
        <v>0</v>
      </c>
      <c r="G45">
        <f>Vides!G2*Revenus!$B31</f>
        <v>0</v>
      </c>
      <c r="H45">
        <f>Vides!H2*Revenus!$B31</f>
        <v>0</v>
      </c>
      <c r="I45">
        <f>Vides!I2*Revenus!$B31</f>
        <v>0</v>
      </c>
      <c r="J45">
        <f>Vides!J2*Revenus!$B31</f>
        <v>0</v>
      </c>
      <c r="L45">
        <f>SUM(B45:J45)</f>
        <v>0</v>
      </c>
    </row>
    <row r="46" spans="1:12" x14ac:dyDescent="0.2">
      <c r="A46" s="8" t="s">
        <v>10</v>
      </c>
      <c r="B46">
        <f>Vides!B3*Revenus!$B32</f>
        <v>0</v>
      </c>
      <c r="C46">
        <f>Vides!C3*Revenus!$B32</f>
        <v>0</v>
      </c>
      <c r="D46">
        <f>Vides!D3*Revenus!$B32</f>
        <v>60996</v>
      </c>
      <c r="E46">
        <f>Vides!E3*Revenus!$B32</f>
        <v>0</v>
      </c>
      <c r="F46">
        <f>Vides!F3*Revenus!$B32</f>
        <v>0</v>
      </c>
      <c r="G46">
        <f>Vides!G3*Revenus!$B32</f>
        <v>0</v>
      </c>
      <c r="H46">
        <f>Vides!H3*Revenus!$B32</f>
        <v>0</v>
      </c>
      <c r="I46">
        <f>Vides!I3*Revenus!$B32</f>
        <v>0</v>
      </c>
      <c r="J46">
        <f>Vides!J3*Revenus!$B32</f>
        <v>0</v>
      </c>
      <c r="L46">
        <f t="shared" ref="L46:L55" si="5">SUM(B46:J46)</f>
        <v>60996</v>
      </c>
    </row>
    <row r="47" spans="1:12" x14ac:dyDescent="0.2">
      <c r="A47" s="8" t="s">
        <v>11</v>
      </c>
      <c r="B47">
        <f>Vides!B4*Revenus!$B33</f>
        <v>577110</v>
      </c>
      <c r="C47">
        <f>Vides!C4*Revenus!$B33</f>
        <v>645840</v>
      </c>
      <c r="D47">
        <f>Vides!D4*Revenus!$B33</f>
        <v>763830</v>
      </c>
      <c r="E47">
        <f>Vides!E4*Revenus!$B33</f>
        <v>563880</v>
      </c>
      <c r="F47">
        <f>Vides!F4*Revenus!$B33</f>
        <v>223500</v>
      </c>
      <c r="G47">
        <f>Vides!G4*Revenus!$B33</f>
        <v>253410</v>
      </c>
      <c r="H47">
        <f>Vides!H4*Revenus!$B33</f>
        <v>66000</v>
      </c>
      <c r="I47">
        <f>Vides!I4*Revenus!$B33</f>
        <v>389220</v>
      </c>
      <c r="J47">
        <f>Vides!J4*Revenus!$B33</f>
        <v>131430</v>
      </c>
      <c r="L47">
        <f t="shared" si="5"/>
        <v>3614220</v>
      </c>
    </row>
    <row r="48" spans="1:12" x14ac:dyDescent="0.2">
      <c r="A48" s="8" t="s">
        <v>12</v>
      </c>
      <c r="B48">
        <f>Vides!B5*Revenus!$B34</f>
        <v>0</v>
      </c>
      <c r="C48">
        <f>Vides!C5*Revenus!$B34</f>
        <v>0</v>
      </c>
      <c r="D48">
        <f>Vides!D5*Revenus!$B34</f>
        <v>0</v>
      </c>
      <c r="E48">
        <f>Vides!E5*Revenus!$B34</f>
        <v>25650</v>
      </c>
      <c r="F48">
        <f>Vides!F5*Revenus!$B34</f>
        <v>0</v>
      </c>
      <c r="G48">
        <f>Vides!G5*Revenus!$B34</f>
        <v>0</v>
      </c>
      <c r="H48">
        <f>Vides!H5*Revenus!$B34</f>
        <v>0</v>
      </c>
      <c r="I48">
        <f>Vides!I5*Revenus!$B34</f>
        <v>0</v>
      </c>
      <c r="J48">
        <f>Vides!J5*Revenus!$B34</f>
        <v>0</v>
      </c>
      <c r="L48">
        <f t="shared" si="5"/>
        <v>25650</v>
      </c>
    </row>
    <row r="49" spans="1:12" x14ac:dyDescent="0.2">
      <c r="A49" s="8" t="s">
        <v>13</v>
      </c>
      <c r="B49">
        <f>Vides!B6*Revenus!$B35</f>
        <v>0</v>
      </c>
      <c r="C49">
        <f>Vides!C6*Revenus!$B35</f>
        <v>0</v>
      </c>
      <c r="D49">
        <f>Vides!D6*Revenus!$B35</f>
        <v>79456</v>
      </c>
      <c r="E49">
        <f>Vides!E6*Revenus!$B35</f>
        <v>186016</v>
      </c>
      <c r="F49">
        <f>Vides!F6*Revenus!$B35</f>
        <v>59328</v>
      </c>
      <c r="G49">
        <f>Vides!G6*Revenus!$B35</f>
        <v>12256</v>
      </c>
      <c r="H49">
        <f>Vides!H6*Revenus!$B35</f>
        <v>0</v>
      </c>
      <c r="I49">
        <f>Vides!I6*Revenus!$B35</f>
        <v>141824</v>
      </c>
      <c r="J49">
        <f>Vides!J6*Revenus!$B35</f>
        <v>30752</v>
      </c>
      <c r="L49">
        <f t="shared" si="5"/>
        <v>509632</v>
      </c>
    </row>
    <row r="50" spans="1:12" x14ac:dyDescent="0.2">
      <c r="A50" s="8" t="s">
        <v>14</v>
      </c>
      <c r="B50">
        <f>Vides!B7*Revenus!$B36</f>
        <v>240940</v>
      </c>
      <c r="C50">
        <f>Vides!C7*Revenus!$B36</f>
        <v>92680</v>
      </c>
      <c r="D50">
        <f>Vides!D7*Revenus!$B36</f>
        <v>397152</v>
      </c>
      <c r="E50">
        <f>Vides!E7*Revenus!$B36</f>
        <v>157836</v>
      </c>
      <c r="F50">
        <f>Vides!F7*Revenus!$B36</f>
        <v>345268</v>
      </c>
      <c r="G50">
        <f>Vides!G7*Revenus!$B36</f>
        <v>451556</v>
      </c>
      <c r="H50">
        <f>Vides!H7*Revenus!$B36</f>
        <v>299908</v>
      </c>
      <c r="I50">
        <f>Vides!I7*Revenus!$B36</f>
        <v>339472</v>
      </c>
      <c r="J50">
        <f>Vides!J7*Revenus!$B36</f>
        <v>299292</v>
      </c>
      <c r="L50">
        <f t="shared" si="5"/>
        <v>2624104</v>
      </c>
    </row>
    <row r="51" spans="1:12" x14ac:dyDescent="0.2">
      <c r="A51" s="8" t="s">
        <v>15</v>
      </c>
      <c r="B51">
        <f>Vides!B8*Revenus!$B37</f>
        <v>0</v>
      </c>
      <c r="C51">
        <f>Vides!C8*Revenus!$B37</f>
        <v>0</v>
      </c>
      <c r="D51">
        <f>Vides!D8*Revenus!$B37</f>
        <v>0</v>
      </c>
      <c r="E51">
        <f>Vides!E8*Revenus!$B37</f>
        <v>208572</v>
      </c>
      <c r="F51">
        <f>Vides!F8*Revenus!$B37</f>
        <v>0</v>
      </c>
      <c r="G51">
        <f>Vides!G8*Revenus!$B37</f>
        <v>0</v>
      </c>
      <c r="H51">
        <f>Vides!H8*Revenus!$B37</f>
        <v>0</v>
      </c>
      <c r="I51">
        <f>Vides!I8*Revenus!$B37</f>
        <v>0</v>
      </c>
      <c r="J51">
        <f>Vides!J8*Revenus!$B37</f>
        <v>163604</v>
      </c>
      <c r="L51">
        <f t="shared" si="5"/>
        <v>372176</v>
      </c>
    </row>
    <row r="52" spans="1:12" x14ac:dyDescent="0.2">
      <c r="A52" s="8" t="s">
        <v>16</v>
      </c>
      <c r="B52">
        <f>Vides!B9*Revenus!$B38</f>
        <v>0</v>
      </c>
      <c r="C52">
        <f>Vides!C9*Revenus!$B38</f>
        <v>0</v>
      </c>
      <c r="D52">
        <f>Vides!D9*Revenus!$B38</f>
        <v>0</v>
      </c>
      <c r="E52">
        <f>Vides!E9*Revenus!$B38</f>
        <v>64848</v>
      </c>
      <c r="F52">
        <f>Vides!F9*Revenus!$B38</f>
        <v>0</v>
      </c>
      <c r="G52">
        <f>Vides!G9*Revenus!$B38</f>
        <v>0</v>
      </c>
      <c r="H52">
        <f>Vides!H9*Revenus!$B38</f>
        <v>0</v>
      </c>
      <c r="I52">
        <f>Vides!I9*Revenus!$B38</f>
        <v>0</v>
      </c>
      <c r="J52">
        <f>Vides!J9*Revenus!$B38</f>
        <v>0</v>
      </c>
      <c r="L52">
        <f t="shared" si="5"/>
        <v>64848</v>
      </c>
    </row>
    <row r="53" spans="1:12" x14ac:dyDescent="0.2">
      <c r="A53" s="8" t="s">
        <v>17</v>
      </c>
      <c r="B53">
        <f>Vides!B10*Revenus!$B39</f>
        <v>0</v>
      </c>
      <c r="C53">
        <f>Vides!C10*Revenus!$B39</f>
        <v>0</v>
      </c>
      <c r="D53">
        <f>Vides!D10*Revenus!$B39</f>
        <v>0</v>
      </c>
      <c r="E53">
        <f>Vides!E10*Revenus!$B39</f>
        <v>0</v>
      </c>
      <c r="F53">
        <f>Vides!F10*Revenus!$B39</f>
        <v>0</v>
      </c>
      <c r="G53">
        <f>Vides!G10*Revenus!$B39</f>
        <v>0</v>
      </c>
      <c r="H53">
        <f>Vides!H10*Revenus!$B39</f>
        <v>0</v>
      </c>
      <c r="I53">
        <f>Vides!I10*Revenus!$B39</f>
        <v>0</v>
      </c>
      <c r="J53">
        <f>Vides!J10*Revenus!$B39</f>
        <v>2200</v>
      </c>
      <c r="L53">
        <f t="shared" si="5"/>
        <v>2200</v>
      </c>
    </row>
    <row r="54" spans="1:12" x14ac:dyDescent="0.2">
      <c r="A54" s="8" t="s">
        <v>18</v>
      </c>
      <c r="B54">
        <f>Vides!B11*Revenus!$B40</f>
        <v>0</v>
      </c>
      <c r="C54">
        <f>Vides!C11*Revenus!$B40</f>
        <v>0</v>
      </c>
      <c r="D54">
        <f>Vides!D11*Revenus!$B40</f>
        <v>0</v>
      </c>
      <c r="E54">
        <f>Vides!E11*Revenus!$B40</f>
        <v>397380</v>
      </c>
      <c r="F54">
        <f>Vides!F11*Revenus!$B40</f>
        <v>0</v>
      </c>
      <c r="G54">
        <f>Vides!G11*Revenus!$B40</f>
        <v>0</v>
      </c>
      <c r="H54">
        <f>Vides!H11*Revenus!$B40</f>
        <v>0</v>
      </c>
      <c r="I54">
        <f>Vides!I11*Revenus!$B40</f>
        <v>0</v>
      </c>
      <c r="J54">
        <f>Vides!J11*Revenus!$B40</f>
        <v>319740</v>
      </c>
      <c r="L54">
        <f t="shared" si="5"/>
        <v>717120</v>
      </c>
    </row>
    <row r="55" spans="1:12" x14ac:dyDescent="0.2">
      <c r="A55" s="10" t="s">
        <v>19</v>
      </c>
      <c r="B55">
        <f>Vides!B12*Revenus!$B41</f>
        <v>0</v>
      </c>
      <c r="C55">
        <f>Vides!C12*Revenus!$B41</f>
        <v>0</v>
      </c>
      <c r="D55">
        <f>Vides!D12*Revenus!$B41</f>
        <v>0</v>
      </c>
      <c r="E55">
        <f>Vides!E12*Revenus!$B41</f>
        <v>0</v>
      </c>
      <c r="F55">
        <f>Vides!F12*Revenus!$B41</f>
        <v>0</v>
      </c>
      <c r="G55">
        <f>Vides!G12*Revenus!$B41</f>
        <v>0</v>
      </c>
      <c r="H55">
        <f>Vides!H12*Revenus!$B41</f>
        <v>0</v>
      </c>
      <c r="I55">
        <f>Vides!I12*Revenus!$B41</f>
        <v>44928</v>
      </c>
      <c r="J55">
        <f>Vides!J12*Revenus!$B41</f>
        <v>0</v>
      </c>
      <c r="L55">
        <f t="shared" si="5"/>
        <v>44928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9FE8-DC68-1642-A49E-A63960846ADE}">
  <dimension ref="A1:F7"/>
  <sheetViews>
    <sheetView zoomScale="150" workbookViewId="0">
      <selection activeCell="F10" sqref="F10"/>
    </sheetView>
  </sheetViews>
  <sheetFormatPr baseColWidth="10" defaultRowHeight="15" x14ac:dyDescent="0.2"/>
  <sheetData>
    <row r="1" spans="1:6" ht="80" x14ac:dyDescent="0.2">
      <c r="A1" s="13"/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</row>
    <row r="2" spans="1:6" x14ac:dyDescent="0.2">
      <c r="A2" s="8" t="s">
        <v>20</v>
      </c>
      <c r="B2">
        <v>30000</v>
      </c>
      <c r="C2">
        <v>20</v>
      </c>
      <c r="D2">
        <v>75</v>
      </c>
      <c r="E2">
        <v>7000</v>
      </c>
      <c r="F2" s="9">
        <v>2</v>
      </c>
    </row>
    <row r="3" spans="1:6" x14ac:dyDescent="0.2">
      <c r="A3" s="8" t="s">
        <v>21</v>
      </c>
      <c r="B3">
        <v>5000</v>
      </c>
      <c r="C3">
        <v>10</v>
      </c>
      <c r="D3">
        <v>90</v>
      </c>
      <c r="E3">
        <v>6000</v>
      </c>
      <c r="F3" s="9">
        <v>6</v>
      </c>
    </row>
    <row r="4" spans="1:6" x14ac:dyDescent="0.2">
      <c r="A4" s="8" t="s">
        <v>22</v>
      </c>
      <c r="B4">
        <v>50000</v>
      </c>
      <c r="C4">
        <v>10</v>
      </c>
      <c r="D4">
        <v>85</v>
      </c>
      <c r="E4">
        <v>8000</v>
      </c>
      <c r="F4" s="9">
        <v>2</v>
      </c>
    </row>
    <row r="5" spans="1:6" x14ac:dyDescent="0.2">
      <c r="A5" s="8" t="s">
        <v>23</v>
      </c>
      <c r="B5">
        <v>20000</v>
      </c>
      <c r="C5">
        <v>18</v>
      </c>
      <c r="D5">
        <v>80</v>
      </c>
      <c r="E5">
        <v>4000</v>
      </c>
      <c r="F5" s="9">
        <v>3</v>
      </c>
    </row>
    <row r="6" spans="1:6" x14ac:dyDescent="0.2">
      <c r="A6" s="8" t="s">
        <v>24</v>
      </c>
      <c r="B6">
        <v>10000</v>
      </c>
      <c r="C6">
        <v>22</v>
      </c>
      <c r="D6">
        <v>80</v>
      </c>
      <c r="E6">
        <v>8000</v>
      </c>
      <c r="F6" s="9">
        <v>4</v>
      </c>
    </row>
    <row r="7" spans="1:6" x14ac:dyDescent="0.2">
      <c r="A7" s="10" t="s">
        <v>25</v>
      </c>
      <c r="B7" s="11">
        <v>5000</v>
      </c>
      <c r="C7" s="11">
        <v>14</v>
      </c>
      <c r="D7" s="11">
        <v>50</v>
      </c>
      <c r="E7" s="11">
        <v>7000</v>
      </c>
      <c r="F7" s="1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ED19-B107-764D-BAEA-6905663F0561}">
  <dimension ref="A1:B12"/>
  <sheetViews>
    <sheetView zoomScale="125" workbookViewId="0">
      <selection activeCell="H19" sqref="H19"/>
    </sheetView>
  </sheetViews>
  <sheetFormatPr baseColWidth="10" defaultRowHeight="15" x14ac:dyDescent="0.2"/>
  <cols>
    <col min="1" max="1" width="18.83203125" bestFit="1" customWidth="1"/>
  </cols>
  <sheetData>
    <row r="1" spans="1:2" ht="32" x14ac:dyDescent="0.2">
      <c r="A1" s="5"/>
      <c r="B1" s="15" t="s">
        <v>31</v>
      </c>
    </row>
    <row r="2" spans="1:2" x14ac:dyDescent="0.2">
      <c r="A2" s="8" t="s">
        <v>9</v>
      </c>
      <c r="B2" s="9">
        <v>15000</v>
      </c>
    </row>
    <row r="3" spans="1:2" x14ac:dyDescent="0.2">
      <c r="A3" s="8" t="s">
        <v>10</v>
      </c>
      <c r="B3" s="9">
        <v>10000</v>
      </c>
    </row>
    <row r="4" spans="1:2" x14ac:dyDescent="0.2">
      <c r="A4" s="8" t="s">
        <v>11</v>
      </c>
      <c r="B4" s="9">
        <v>35000</v>
      </c>
    </row>
    <row r="5" spans="1:2" x14ac:dyDescent="0.2">
      <c r="A5" s="8" t="s">
        <v>12</v>
      </c>
      <c r="B5" s="9">
        <v>10000</v>
      </c>
    </row>
    <row r="6" spans="1:2" x14ac:dyDescent="0.2">
      <c r="A6" s="8" t="s">
        <v>13</v>
      </c>
      <c r="B6" s="9">
        <v>10000</v>
      </c>
    </row>
    <row r="7" spans="1:2" x14ac:dyDescent="0.2">
      <c r="A7" s="8" t="s">
        <v>14</v>
      </c>
      <c r="B7" s="9">
        <v>30000</v>
      </c>
    </row>
    <row r="8" spans="1:2" x14ac:dyDescent="0.2">
      <c r="A8" s="8" t="s">
        <v>15</v>
      </c>
      <c r="B8" s="9">
        <v>20000</v>
      </c>
    </row>
    <row r="9" spans="1:2" x14ac:dyDescent="0.2">
      <c r="A9" s="8" t="s">
        <v>16</v>
      </c>
      <c r="B9" s="9">
        <v>10000</v>
      </c>
    </row>
    <row r="10" spans="1:2" x14ac:dyDescent="0.2">
      <c r="A10" s="8" t="s">
        <v>17</v>
      </c>
      <c r="B10" s="9">
        <v>5000</v>
      </c>
    </row>
    <row r="11" spans="1:2" x14ac:dyDescent="0.2">
      <c r="A11" s="8" t="s">
        <v>18</v>
      </c>
      <c r="B11" s="9">
        <v>40000</v>
      </c>
    </row>
    <row r="12" spans="1:2" x14ac:dyDescent="0.2">
      <c r="A12" s="10" t="s">
        <v>19</v>
      </c>
      <c r="B12" s="1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C516-458E-3743-936A-3A906A50B26A}">
  <dimension ref="A2:Z89"/>
  <sheetViews>
    <sheetView topLeftCell="A26" workbookViewId="0">
      <selection activeCell="N40" sqref="N40"/>
    </sheetView>
  </sheetViews>
  <sheetFormatPr baseColWidth="10" defaultRowHeight="15" x14ac:dyDescent="0.2"/>
  <cols>
    <col min="1" max="1" width="21.5" bestFit="1" customWidth="1"/>
    <col min="2" max="2" width="13.5" bestFit="1" customWidth="1"/>
    <col min="3" max="3" width="13.6640625" bestFit="1" customWidth="1"/>
    <col min="13" max="13" width="12.6640625" bestFit="1" customWidth="1"/>
    <col min="16" max="17" width="18.83203125" bestFit="1" customWidth="1"/>
    <col min="18" max="18" width="15.33203125" bestFit="1" customWidth="1"/>
    <col min="19" max="19" width="14.5" bestFit="1" customWidth="1"/>
    <col min="20" max="20" width="17.1640625" bestFit="1" customWidth="1"/>
    <col min="21" max="22" width="20" bestFit="1" customWidth="1"/>
    <col min="23" max="23" width="15.6640625" bestFit="1" customWidth="1"/>
    <col min="24" max="24" width="15.1640625" bestFit="1" customWidth="1"/>
    <col min="25" max="25" width="16.1640625" bestFit="1" customWidth="1"/>
    <col min="26" max="26" width="14.83203125" bestFit="1" customWidth="1"/>
  </cols>
  <sheetData>
    <row r="2" spans="1:12" x14ac:dyDescent="0.2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7" t="s">
        <v>8</v>
      </c>
      <c r="L2" t="s">
        <v>32</v>
      </c>
    </row>
    <row r="3" spans="1:12" x14ac:dyDescent="0.2">
      <c r="A3" t="s">
        <v>35</v>
      </c>
    </row>
    <row r="4" spans="1:12" x14ac:dyDescent="0.2">
      <c r="A4" s="1" t="s">
        <v>9</v>
      </c>
      <c r="B4">
        <f>Pleins!B2*Revenus!B2</f>
        <v>1072632</v>
      </c>
      <c r="C4">
        <f>Pleins!C2*Revenus!C2</f>
        <v>1311975</v>
      </c>
      <c r="D4">
        <f>Pleins!D2*Revenus!D2</f>
        <v>526832</v>
      </c>
      <c r="E4">
        <f>Pleins!E2*Revenus!E2</f>
        <v>802672</v>
      </c>
      <c r="F4">
        <f>Pleins!F2*Revenus!F2</f>
        <v>1252496</v>
      </c>
      <c r="G4">
        <f>Pleins!G2*Revenus!G2</f>
        <v>3645000</v>
      </c>
      <c r="H4">
        <f>Pleins!H2*Revenus!H2</f>
        <v>2041660</v>
      </c>
      <c r="I4">
        <f>Pleins!I2*Revenus!I2</f>
        <v>1653416</v>
      </c>
      <c r="J4">
        <f>Pleins!J2*Revenus!J2</f>
        <v>680944</v>
      </c>
      <c r="L4">
        <f>SUM(B4:J4)</f>
        <v>12987627</v>
      </c>
    </row>
    <row r="5" spans="1:12" x14ac:dyDescent="0.2">
      <c r="A5" s="1" t="s">
        <v>10</v>
      </c>
      <c r="B5">
        <f>Pleins!B3*Revenus!B3</f>
        <v>560976</v>
      </c>
      <c r="C5">
        <f>Pleins!C3*Revenus!C3</f>
        <v>1024430</v>
      </c>
      <c r="D5">
        <f>Pleins!D3*Revenus!D3</f>
        <v>364269</v>
      </c>
      <c r="E5">
        <f>Pleins!E3*Revenus!E3</f>
        <v>812593</v>
      </c>
      <c r="F5">
        <f>Pleins!F3*Revenus!F3</f>
        <v>3730000</v>
      </c>
      <c r="G5">
        <f>Pleins!G3*Revenus!G3</f>
        <v>2383914</v>
      </c>
      <c r="H5">
        <f>Pleins!H3*Revenus!H3</f>
        <v>2697772</v>
      </c>
      <c r="I5">
        <f>Pleins!I3*Revenus!I3</f>
        <v>563376</v>
      </c>
      <c r="J5">
        <f>Pleins!J3*Revenus!J3</f>
        <v>237744</v>
      </c>
      <c r="L5">
        <f t="shared" ref="L5:L14" si="0">SUM(B5:J5)</f>
        <v>12375074</v>
      </c>
    </row>
    <row r="6" spans="1:12" x14ac:dyDescent="0.2">
      <c r="A6" s="1" t="s">
        <v>11</v>
      </c>
      <c r="B6">
        <f>Pleins!B4*Revenus!B4</f>
        <v>2179128</v>
      </c>
      <c r="C6">
        <f>Pleins!C4*Revenus!C4</f>
        <v>1471806</v>
      </c>
      <c r="D6">
        <f>Pleins!D4*Revenus!D4</f>
        <v>953900</v>
      </c>
      <c r="E6">
        <f>Pleins!E4*Revenus!E4</f>
        <v>1499128</v>
      </c>
      <c r="F6">
        <f>Pleins!F4*Revenus!F4</f>
        <v>2413840</v>
      </c>
      <c r="G6">
        <f>Pleins!G4*Revenus!G4</f>
        <v>3555519</v>
      </c>
      <c r="H6">
        <f>Pleins!H4*Revenus!H4</f>
        <v>5932008</v>
      </c>
      <c r="I6">
        <f>Pleins!I4*Revenus!I4</f>
        <v>3404575</v>
      </c>
      <c r="J6">
        <f>Pleins!J4*Revenus!J4</f>
        <v>3443440</v>
      </c>
      <c r="L6">
        <f t="shared" si="0"/>
        <v>24853344</v>
      </c>
    </row>
    <row r="7" spans="1:12" x14ac:dyDescent="0.2">
      <c r="A7" s="1" t="s">
        <v>12</v>
      </c>
      <c r="B7">
        <f>Pleins!B5*Revenus!B5</f>
        <v>979440</v>
      </c>
      <c r="C7">
        <f>Pleins!C5*Revenus!C5</f>
        <v>1330000</v>
      </c>
      <c r="D7">
        <f>Pleins!D5*Revenus!D5</f>
        <v>575253</v>
      </c>
      <c r="E7">
        <f>Pleins!E5*Revenus!E5</f>
        <v>339242</v>
      </c>
      <c r="F7">
        <f>Pleins!F5*Revenus!F5</f>
        <v>1286551</v>
      </c>
      <c r="G7">
        <f>Pleins!G5*Revenus!G5</f>
        <v>2865982</v>
      </c>
      <c r="H7">
        <f>Pleins!H5*Revenus!H5</f>
        <v>2804100</v>
      </c>
      <c r="I7">
        <f>Pleins!I5*Revenus!I5</f>
        <v>797040</v>
      </c>
      <c r="J7">
        <f>Pleins!J5*Revenus!J5</f>
        <v>620940</v>
      </c>
      <c r="L7">
        <f t="shared" si="0"/>
        <v>11598548</v>
      </c>
    </row>
    <row r="8" spans="1:12" x14ac:dyDescent="0.2">
      <c r="A8" s="1" t="s">
        <v>13</v>
      </c>
      <c r="B8">
        <f>Pleins!B6*Revenus!B6</f>
        <v>1576728</v>
      </c>
      <c r="C8">
        <f>Pleins!C6*Revenus!C6</f>
        <v>2188758</v>
      </c>
      <c r="D8">
        <f>Pleins!D6*Revenus!D6</f>
        <v>258808</v>
      </c>
      <c r="E8">
        <f>Pleins!E6*Revenus!E6</f>
        <v>477318</v>
      </c>
      <c r="F8">
        <f>Pleins!F6*Revenus!F6</f>
        <v>933636</v>
      </c>
      <c r="G8">
        <f>Pleins!G6*Revenus!G6</f>
        <v>494406</v>
      </c>
      <c r="H8">
        <f>Pleins!H6*Revenus!H6</f>
        <v>341348</v>
      </c>
      <c r="I8">
        <f>Pleins!I6*Revenus!I6</f>
        <v>263947</v>
      </c>
      <c r="J8">
        <f>Pleins!J6*Revenus!J6</f>
        <v>461875</v>
      </c>
      <c r="L8">
        <f t="shared" si="0"/>
        <v>6996824</v>
      </c>
    </row>
    <row r="9" spans="1:12" x14ac:dyDescent="0.2">
      <c r="A9" s="1" t="s">
        <v>14</v>
      </c>
      <c r="B9">
        <f>Pleins!B7*Revenus!B7</f>
        <v>934390</v>
      </c>
      <c r="C9">
        <f>Pleins!C7*Revenus!C7</f>
        <v>1799380</v>
      </c>
      <c r="D9">
        <f>Pleins!D7*Revenus!D7</f>
        <v>666064</v>
      </c>
      <c r="E9">
        <f>Pleins!E7*Revenus!E7</f>
        <v>949120</v>
      </c>
      <c r="F9">
        <f>Pleins!F7*Revenus!F7</f>
        <v>1872914</v>
      </c>
      <c r="G9">
        <f>Pleins!G7*Revenus!G7</f>
        <v>1526030</v>
      </c>
      <c r="H9">
        <f>Pleins!H7*Revenus!H7</f>
        <v>2051616</v>
      </c>
      <c r="I9">
        <f>Pleins!I7*Revenus!I7</f>
        <v>658504</v>
      </c>
      <c r="J9">
        <f>Pleins!J7*Revenus!J7</f>
        <v>1728825</v>
      </c>
      <c r="L9">
        <f t="shared" si="0"/>
        <v>12186843</v>
      </c>
    </row>
    <row r="10" spans="1:12" x14ac:dyDescent="0.2">
      <c r="A10" s="1" t="s">
        <v>15</v>
      </c>
      <c r="B10">
        <f>Pleins!B8*Revenus!B8</f>
        <v>2759835</v>
      </c>
      <c r="C10">
        <f>Pleins!C8*Revenus!C8</f>
        <v>2072832</v>
      </c>
      <c r="D10">
        <f>Pleins!D8*Revenus!D8</f>
        <v>2016859</v>
      </c>
      <c r="E10">
        <f>Pleins!E8*Revenus!E8</f>
        <v>1504877</v>
      </c>
      <c r="F10">
        <f>Pleins!F8*Revenus!F8</f>
        <v>3722400</v>
      </c>
      <c r="G10">
        <f>Pleins!G8*Revenus!G8</f>
        <v>7220430</v>
      </c>
      <c r="H10">
        <f>Pleins!H8*Revenus!H8</f>
        <v>11580000</v>
      </c>
      <c r="I10">
        <f>Pleins!I8*Revenus!I8</f>
        <v>9510215</v>
      </c>
      <c r="J10">
        <f>Pleins!J8*Revenus!J8</f>
        <v>2279277</v>
      </c>
      <c r="L10">
        <f t="shared" si="0"/>
        <v>42666725</v>
      </c>
    </row>
    <row r="11" spans="1:12" x14ac:dyDescent="0.2">
      <c r="A11" s="1" t="s">
        <v>16</v>
      </c>
      <c r="B11">
        <f>Pleins!B9*Revenus!B9</f>
        <v>663614</v>
      </c>
      <c r="C11">
        <f>Pleins!C9*Revenus!C9</f>
        <v>378927</v>
      </c>
      <c r="D11">
        <f>Pleins!D9*Revenus!D9</f>
        <v>236532</v>
      </c>
      <c r="E11">
        <f>Pleins!E9*Revenus!E9</f>
        <v>285729</v>
      </c>
      <c r="F11">
        <f>Pleins!F9*Revenus!F9</f>
        <v>1081740</v>
      </c>
      <c r="G11">
        <f>Pleins!G9*Revenus!G9</f>
        <v>1224234</v>
      </c>
      <c r="H11">
        <f>Pleins!H9*Revenus!H9</f>
        <v>1910000</v>
      </c>
      <c r="I11">
        <f>Pleins!I9*Revenus!I9</f>
        <v>732780</v>
      </c>
      <c r="J11">
        <f>Pleins!J9*Revenus!J9</f>
        <v>324792</v>
      </c>
      <c r="L11">
        <f t="shared" si="0"/>
        <v>6838348</v>
      </c>
    </row>
    <row r="12" spans="1:12" x14ac:dyDescent="0.2">
      <c r="A12" s="1" t="s">
        <v>17</v>
      </c>
      <c r="B12">
        <f>Pleins!B10*Revenus!B10</f>
        <v>2730772</v>
      </c>
      <c r="C12">
        <f>Pleins!C10*Revenus!C10</f>
        <v>703325</v>
      </c>
      <c r="D12">
        <f>Pleins!D10*Revenus!D10</f>
        <v>412573</v>
      </c>
      <c r="E12">
        <f>Pleins!E10*Revenus!E10</f>
        <v>529750</v>
      </c>
      <c r="F12">
        <f>Pleins!F10*Revenus!F10</f>
        <v>942809</v>
      </c>
      <c r="G12">
        <f>Pleins!G10*Revenus!G10</f>
        <v>1110380</v>
      </c>
      <c r="H12">
        <f>Pleins!H10*Revenus!H10</f>
        <v>2615000</v>
      </c>
      <c r="I12">
        <f>Pleins!I10*Revenus!I10</f>
        <v>2600000</v>
      </c>
      <c r="J12">
        <f>Pleins!J10*Revenus!J10</f>
        <v>2513460</v>
      </c>
      <c r="L12">
        <f t="shared" si="0"/>
        <v>14158069</v>
      </c>
    </row>
    <row r="13" spans="1:12" x14ac:dyDescent="0.2">
      <c r="A13" s="1" t="s">
        <v>18</v>
      </c>
      <c r="B13">
        <f>Pleins!B11*Revenus!B11</f>
        <v>10745588</v>
      </c>
      <c r="C13">
        <f>Pleins!C11*Revenus!C11</f>
        <v>21560000</v>
      </c>
      <c r="D13">
        <f>Pleins!D11*Revenus!D11</f>
        <v>5331951</v>
      </c>
      <c r="E13">
        <f>Pleins!E11*Revenus!E11</f>
        <v>5499330</v>
      </c>
      <c r="F13">
        <f>Pleins!F11*Revenus!F11</f>
        <v>15504696</v>
      </c>
      <c r="G13">
        <f>Pleins!G11*Revenus!G11</f>
        <v>38339682</v>
      </c>
      <c r="H13">
        <f>Pleins!H11*Revenus!H11</f>
        <v>42120000</v>
      </c>
      <c r="I13">
        <f>Pleins!I11*Revenus!I11</f>
        <v>5835443</v>
      </c>
      <c r="J13">
        <f>Pleins!J11*Revenus!J11</f>
        <v>5388390</v>
      </c>
      <c r="L13">
        <f t="shared" si="0"/>
        <v>150325080</v>
      </c>
    </row>
    <row r="14" spans="1:12" x14ac:dyDescent="0.2">
      <c r="A14" s="1" t="s">
        <v>19</v>
      </c>
      <c r="B14">
        <f>Pleins!B12*Revenus!B12</f>
        <v>1021293</v>
      </c>
      <c r="C14">
        <f>Pleins!C12*Revenus!C12</f>
        <v>1040256</v>
      </c>
      <c r="D14">
        <f>Pleins!D12*Revenus!D12</f>
        <v>806400</v>
      </c>
      <c r="E14">
        <f>Pleins!E12*Revenus!E12</f>
        <v>1161160</v>
      </c>
      <c r="F14">
        <f>Pleins!F12*Revenus!F12</f>
        <v>2090000</v>
      </c>
      <c r="G14">
        <f>Pleins!G12*Revenus!G12</f>
        <v>3675000</v>
      </c>
      <c r="H14">
        <f>Pleins!H12*Revenus!H12</f>
        <v>2133648</v>
      </c>
      <c r="I14">
        <f>Pleins!I12*Revenus!I12</f>
        <v>920848</v>
      </c>
      <c r="J14">
        <f>Pleins!J12*Revenus!J12</f>
        <v>4415000</v>
      </c>
      <c r="L14">
        <f t="shared" si="0"/>
        <v>17263605</v>
      </c>
    </row>
    <row r="16" spans="1:12" x14ac:dyDescent="0.2">
      <c r="L16">
        <f>SUM(L4:L14)</f>
        <v>312250087</v>
      </c>
    </row>
    <row r="21" spans="1:13" x14ac:dyDescent="0.2">
      <c r="A21" t="s">
        <v>36</v>
      </c>
      <c r="B21" s="6" t="s">
        <v>0</v>
      </c>
      <c r="C21" s="6" t="s">
        <v>1</v>
      </c>
      <c r="D21" s="6" t="s">
        <v>2</v>
      </c>
      <c r="E21" s="6" t="s">
        <v>3</v>
      </c>
      <c r="F21" s="6" t="s">
        <v>4</v>
      </c>
      <c r="G21" s="6" t="s">
        <v>5</v>
      </c>
      <c r="H21" s="6" t="s">
        <v>6</v>
      </c>
      <c r="I21" s="6" t="s">
        <v>7</v>
      </c>
      <c r="J21" s="7" t="s">
        <v>8</v>
      </c>
      <c r="L21" t="s">
        <v>32</v>
      </c>
      <c r="M21" t="s">
        <v>43</v>
      </c>
    </row>
    <row r="22" spans="1:13" x14ac:dyDescent="0.2">
      <c r="A22" s="1" t="s">
        <v>9</v>
      </c>
      <c r="B22">
        <f>Pleins!B2*Revenus!B17-Revenus!B45</f>
        <v>630960</v>
      </c>
      <c r="C22">
        <f>Pleins!C2*Revenus!C17-Revenus!C45</f>
        <v>848925</v>
      </c>
      <c r="D22">
        <f>Pleins!D2*Revenus!D17-Revenus!D45</f>
        <v>235688</v>
      </c>
      <c r="E22">
        <f>Pleins!E2*Revenus!E17-Revenus!E45</f>
        <v>478516</v>
      </c>
      <c r="F22">
        <f>Pleins!F2*Revenus!F17-Revenus!F45</f>
        <v>782810</v>
      </c>
      <c r="G22">
        <f>Pleins!G2*Revenus!G17-Revenus!G45</f>
        <v>3015000</v>
      </c>
      <c r="H22">
        <f>Pleins!H2*Revenus!H17-Revenus!H45</f>
        <v>1488436</v>
      </c>
      <c r="I22">
        <f>Pleins!I2*Revenus!I17-Revenus!I45</f>
        <v>1064912</v>
      </c>
      <c r="J22">
        <f>Pleins!J2*Revenus!J17-Revenus!J45</f>
        <v>355948</v>
      </c>
      <c r="L22">
        <f>SUM(B22:J22)</f>
        <v>8901195</v>
      </c>
      <c r="M22" s="16">
        <f>AVERAGE(B22:J22)</f>
        <v>989021.66666666663</v>
      </c>
    </row>
    <row r="23" spans="1:13" x14ac:dyDescent="0.2">
      <c r="A23" s="1" t="s">
        <v>10</v>
      </c>
      <c r="B23">
        <f>Pleins!B3*Revenus!B18-Revenus!B46</f>
        <v>377580</v>
      </c>
      <c r="C23">
        <f>Pleins!C3*Revenus!C18-Revenus!C46</f>
        <v>764500</v>
      </c>
      <c r="D23">
        <f>Pleins!D3*Revenus!D18-Revenus!D46</f>
        <v>146499</v>
      </c>
      <c r="E23">
        <f>Pleins!E3*Revenus!E18-Revenus!E46</f>
        <v>601691</v>
      </c>
      <c r="F23">
        <f>Pleins!F3*Revenus!F18-Revenus!F46</f>
        <v>3390000</v>
      </c>
      <c r="G23">
        <f>Pleins!G3*Revenus!G18-Revenus!G46</f>
        <v>2144112</v>
      </c>
      <c r="H23">
        <f>Pleins!H3*Revenus!H18-Revenus!H46</f>
        <v>2399966</v>
      </c>
      <c r="I23">
        <f>Pleins!I3*Revenus!I18-Revenus!I46</f>
        <v>405072</v>
      </c>
      <c r="J23">
        <f>Pleins!J3*Revenus!J18-Revenus!J46</f>
        <v>125476</v>
      </c>
      <c r="L23">
        <f t="shared" ref="L23:L31" si="1">SUM(B23:J23)</f>
        <v>10354896</v>
      </c>
      <c r="M23" s="16">
        <f t="shared" ref="M23:M30" si="2">AVERAGE(B23:J23)</f>
        <v>1150544</v>
      </c>
    </row>
    <row r="24" spans="1:13" x14ac:dyDescent="0.2">
      <c r="A24" s="1" t="s">
        <v>11</v>
      </c>
      <c r="B24">
        <f>Pleins!B4*Revenus!B19-Revenus!B47</f>
        <v>1157298</v>
      </c>
      <c r="C24">
        <f>Pleins!C4*Revenus!C19-Revenus!C47</f>
        <v>475536</v>
      </c>
      <c r="D24">
        <f>Pleins!D4*Revenus!D19-Revenus!D47</f>
        <v>-96100</v>
      </c>
      <c r="E24">
        <f>Pleins!E4*Revenus!E19-Revenus!E47</f>
        <v>604558</v>
      </c>
      <c r="F24">
        <f>Pleins!F4*Revenus!F19-Revenus!F47</f>
        <v>1633300</v>
      </c>
      <c r="G24">
        <f>Pleins!G4*Revenus!G19-Revenus!G47</f>
        <v>2647719</v>
      </c>
      <c r="H24">
        <f>Pleins!H4*Revenus!H19-Revenus!H47</f>
        <v>5098938</v>
      </c>
      <c r="I24">
        <f>Pleins!I4*Revenus!I19-Revenus!I47</f>
        <v>2356405</v>
      </c>
      <c r="J24">
        <f>Pleins!J4*Revenus!J19-Revenus!J47</f>
        <v>2744410</v>
      </c>
      <c r="L24">
        <f t="shared" si="1"/>
        <v>16622064</v>
      </c>
      <c r="M24" s="16">
        <f t="shared" si="2"/>
        <v>1846896</v>
      </c>
    </row>
    <row r="25" spans="1:13" x14ac:dyDescent="0.2">
      <c r="A25" s="1" t="s">
        <v>12</v>
      </c>
      <c r="B25">
        <f>Pleins!B5*Revenus!B20-Revenus!B48</f>
        <v>717090</v>
      </c>
      <c r="C25">
        <f>Pleins!C5*Revenus!C20-Revenus!C48</f>
        <v>1030000</v>
      </c>
      <c r="D25">
        <f>Pleins!D5*Revenus!D20-Revenus!D48</f>
        <v>301323</v>
      </c>
      <c r="E25">
        <f>Pleins!E5*Revenus!E20-Revenus!E48</f>
        <v>138122</v>
      </c>
      <c r="F25">
        <f>Pleins!F5*Revenus!F20-Revenus!F48</f>
        <v>991921</v>
      </c>
      <c r="G25">
        <f>Pleins!G5*Revenus!G20-Revenus!G48</f>
        <v>2566402</v>
      </c>
      <c r="H25">
        <f>Pleins!H5*Revenus!H20-Revenus!H48</f>
        <v>2523690</v>
      </c>
      <c r="I25">
        <f>Pleins!I5*Revenus!I20-Revenus!I48</f>
        <v>575640</v>
      </c>
      <c r="J25">
        <f>Pleins!J5*Revenus!J20-Revenus!J48</f>
        <v>385140</v>
      </c>
      <c r="L25">
        <f t="shared" si="1"/>
        <v>9229328</v>
      </c>
      <c r="M25" s="16">
        <f t="shared" si="2"/>
        <v>1025480.8888888889</v>
      </c>
    </row>
    <row r="26" spans="1:13" x14ac:dyDescent="0.2">
      <c r="A26" s="1" t="s">
        <v>13</v>
      </c>
      <c r="B26">
        <f>Pleins!B6*Revenus!B21-Revenus!B49</f>
        <v>1301016</v>
      </c>
      <c r="C26">
        <f>Pleins!C6*Revenus!C21-Revenus!C49</f>
        <v>1943862</v>
      </c>
      <c r="D26">
        <f>Pleins!D6*Revenus!D21-Revenus!D49</f>
        <v>85240</v>
      </c>
      <c r="E26">
        <f>Pleins!E6*Revenus!E21-Revenus!E49</f>
        <v>157318</v>
      </c>
      <c r="F26">
        <f>Pleins!F6*Revenus!F21-Revenus!F49</f>
        <v>627396</v>
      </c>
      <c r="G26">
        <f>Pleins!G6*Revenus!G21-Revenus!G49</f>
        <v>322342</v>
      </c>
      <c r="H26">
        <f>Pleins!H6*Revenus!H21-Revenus!H49</f>
        <v>191716</v>
      </c>
      <c r="I26">
        <f>Pleins!I6*Revenus!I21-Revenus!I49</f>
        <v>-16341</v>
      </c>
      <c r="J26">
        <f>Pleins!J6*Revenus!J21-Revenus!J49</f>
        <v>312883</v>
      </c>
      <c r="L26">
        <f t="shared" si="1"/>
        <v>4925432</v>
      </c>
      <c r="M26" s="16">
        <f t="shared" si="2"/>
        <v>547270.22222222225</v>
      </c>
    </row>
    <row r="27" spans="1:13" x14ac:dyDescent="0.2">
      <c r="A27" s="1" t="s">
        <v>14</v>
      </c>
      <c r="B27">
        <f>Pleins!B7*Revenus!B22-Revenus!B50</f>
        <v>374390</v>
      </c>
      <c r="C27">
        <f>Pleins!C7*Revenus!C22-Revenus!C50</f>
        <v>1248676</v>
      </c>
      <c r="D27">
        <f>Pleins!D7*Revenus!D22-Revenus!D50</f>
        <v>23520</v>
      </c>
      <c r="E27">
        <f>Pleins!E7*Revenus!E22-Revenus!E50</f>
        <v>459092</v>
      </c>
      <c r="F27">
        <f>Pleins!F7*Revenus!F22-Revenus!F50</f>
        <v>1032914</v>
      </c>
      <c r="G27">
        <f>Pleins!G7*Revenus!G22-Revenus!G50</f>
        <v>686030</v>
      </c>
      <c r="H27">
        <f>Pleins!H7*Revenus!H22-Revenus!H50</f>
        <v>1347164</v>
      </c>
      <c r="I27">
        <f>Pleins!I7*Revenus!I22-Revenus!I50</f>
        <v>79576</v>
      </c>
      <c r="J27">
        <f>Pleins!J7*Revenus!J22-Revenus!J50</f>
        <v>968513</v>
      </c>
      <c r="L27">
        <f t="shared" si="1"/>
        <v>6219875</v>
      </c>
      <c r="M27" s="16">
        <f t="shared" si="2"/>
        <v>691097.22222222225</v>
      </c>
    </row>
    <row r="28" spans="1:13" x14ac:dyDescent="0.2">
      <c r="A28" s="1" t="s">
        <v>15</v>
      </c>
      <c r="B28">
        <f>Pleins!B8*Revenus!B23-Revenus!B51</f>
        <v>2363551</v>
      </c>
      <c r="C28">
        <f>Pleins!C8*Revenus!C23-Revenus!C51</f>
        <v>1619400</v>
      </c>
      <c r="D28">
        <f>Pleins!D8*Revenus!D23-Revenus!D51</f>
        <v>1678703</v>
      </c>
      <c r="E28">
        <f>Pleins!E8*Revenus!E23-Revenus!E51</f>
        <v>948069</v>
      </c>
      <c r="F28">
        <f>Pleins!F8*Revenus!F23-Revenus!F51</f>
        <v>3259168</v>
      </c>
      <c r="G28">
        <f>Pleins!G8*Revenus!G23-Revenus!G51</f>
        <v>6666534</v>
      </c>
      <c r="H28">
        <f>Pleins!H8*Revenus!H23-Revenus!H51</f>
        <v>11020000</v>
      </c>
      <c r="I28">
        <f>Pleins!I8*Revenus!I23-Revenus!I51</f>
        <v>8995155</v>
      </c>
      <c r="J28">
        <f>Pleins!J8*Revenus!J23-Revenus!J51</f>
        <v>1719277</v>
      </c>
      <c r="L28">
        <f t="shared" si="1"/>
        <v>38269857</v>
      </c>
      <c r="M28" s="16">
        <f t="shared" si="2"/>
        <v>4252206.333333333</v>
      </c>
    </row>
    <row r="29" spans="1:13" x14ac:dyDescent="0.2">
      <c r="A29" s="1" t="s">
        <v>16</v>
      </c>
      <c r="B29">
        <f>Pleins!B9*Revenus!B24-Revenus!B52</f>
        <v>403130</v>
      </c>
      <c r="C29">
        <f>Pleins!C9*Revenus!C24-Revenus!C52</f>
        <v>154773</v>
      </c>
      <c r="D29">
        <f>Pleins!D9*Revenus!D24-Revenus!D52</f>
        <v>92556</v>
      </c>
      <c r="E29">
        <f>Pleins!E9*Revenus!E24-Revenus!E52</f>
        <v>46959</v>
      </c>
      <c r="F29">
        <f>Pleins!F9*Revenus!F24-Revenus!F52</f>
        <v>737550</v>
      </c>
      <c r="G29">
        <f>Pleins!G9*Revenus!G24-Revenus!G52</f>
        <v>964548</v>
      </c>
      <c r="H29">
        <f>Pleins!H9*Revenus!H24-Revenus!H52</f>
        <v>1490000</v>
      </c>
      <c r="I29">
        <f>Pleins!I9*Revenus!I24-Revenus!I52</f>
        <v>504804</v>
      </c>
      <c r="J29">
        <f>Pleins!J9*Revenus!J24-Revenus!J52</f>
        <v>149904</v>
      </c>
      <c r="L29">
        <f t="shared" si="1"/>
        <v>4544224</v>
      </c>
      <c r="M29" s="16">
        <f t="shared" si="2"/>
        <v>504913.77777777775</v>
      </c>
    </row>
    <row r="30" spans="1:13" x14ac:dyDescent="0.2">
      <c r="A30" s="1" t="s">
        <v>17</v>
      </c>
      <c r="B30">
        <f>Pleins!B10*Revenus!B25-Revenus!B53</f>
        <v>2637092</v>
      </c>
      <c r="C30">
        <f>Pleins!C10*Revenus!C25-Revenus!C53</f>
        <v>622945</v>
      </c>
      <c r="D30">
        <f>Pleins!D10*Revenus!D25-Revenus!D53</f>
        <v>343233</v>
      </c>
      <c r="E30">
        <f>Pleins!E10*Revenus!E25-Revenus!E53</f>
        <v>464750</v>
      </c>
      <c r="F30">
        <f>Pleins!F10*Revenus!F25-Revenus!F53</f>
        <v>873229</v>
      </c>
      <c r="G30">
        <f>Pleins!G10*Revenus!G25-Revenus!G53</f>
        <v>1016280</v>
      </c>
      <c r="H30">
        <f>Pleins!H10*Revenus!H25-Revenus!H53</f>
        <v>2515000</v>
      </c>
      <c r="I30">
        <f>Pleins!I10*Revenus!I25-Revenus!I53</f>
        <v>2500000</v>
      </c>
      <c r="J30">
        <f>Pleins!J10*Revenus!J25-Revenus!J53</f>
        <v>2413460</v>
      </c>
      <c r="L30">
        <f t="shared" si="1"/>
        <v>13385989</v>
      </c>
      <c r="M30" s="16">
        <f t="shared" si="2"/>
        <v>1487332.111111111</v>
      </c>
    </row>
    <row r="31" spans="1:13" x14ac:dyDescent="0.2">
      <c r="A31" s="1" t="s">
        <v>18</v>
      </c>
      <c r="B31">
        <f>Pleins!B11*Revenus!B26-Revenus!B54</f>
        <v>9847628</v>
      </c>
      <c r="C31">
        <f>Pleins!C11*Revenus!C26-Revenus!C54</f>
        <v>20360000</v>
      </c>
      <c r="D31">
        <f>Pleins!D11*Revenus!D26-Revenus!D54</f>
        <v>4396521</v>
      </c>
      <c r="E31">
        <f>Pleins!E11*Revenus!E26-Revenus!E54</f>
        <v>4454970</v>
      </c>
      <c r="F31">
        <f>Pleins!F11*Revenus!F26-Revenus!F54</f>
        <v>14685786</v>
      </c>
      <c r="G31">
        <f>Pleins!G11*Revenus!G26-Revenus!G54</f>
        <v>37295952</v>
      </c>
      <c r="H31">
        <f>Pleins!H11*Revenus!H26-Revenus!H54</f>
        <v>40920000</v>
      </c>
      <c r="I31">
        <f>Pleins!I11*Revenus!I26-Revenus!I54</f>
        <v>5189453</v>
      </c>
      <c r="J31">
        <f>Pleins!J11*Revenus!J26-Revenus!J54</f>
        <v>4469940</v>
      </c>
      <c r="L31">
        <f t="shared" si="1"/>
        <v>141620250</v>
      </c>
      <c r="M31" s="16">
        <f>AVERAGE(B31:J31)</f>
        <v>15735583.333333334</v>
      </c>
    </row>
    <row r="32" spans="1:13" x14ac:dyDescent="0.2">
      <c r="A32" s="1" t="s">
        <v>19</v>
      </c>
      <c r="B32">
        <f>Pleins!B12*Revenus!B27-Revenus!B55</f>
        <v>901581</v>
      </c>
      <c r="C32">
        <f>Pleins!C12*Revenus!C27-Revenus!C55</f>
        <v>911232</v>
      </c>
      <c r="D32">
        <f>Pleins!D12*Revenus!D27-Revenus!D55</f>
        <v>672000</v>
      </c>
      <c r="E32">
        <f>Pleins!E12*Revenus!E27-Revenus!E55</f>
        <v>1040520</v>
      </c>
      <c r="F32">
        <f>Pleins!F12*Revenus!F27-Revenus!F55</f>
        <v>1930000</v>
      </c>
      <c r="G32">
        <f>Pleins!G12*Revenus!G27-Revenus!G55</f>
        <v>3515000</v>
      </c>
      <c r="H32">
        <f>Pleins!H12*Revenus!H27-Revenus!H55</f>
        <v>1981584</v>
      </c>
      <c r="I32">
        <f>Pleins!I12*Revenus!I27-Revenus!I55</f>
        <v>765968</v>
      </c>
      <c r="J32">
        <f>Pleins!J12*Revenus!J27-Revenus!J55</f>
        <v>4255000</v>
      </c>
      <c r="L32">
        <f>SUM(B32:J32)</f>
        <v>15972885</v>
      </c>
      <c r="M32" s="16">
        <f>AVERAGE(B32:J32)</f>
        <v>1774765</v>
      </c>
    </row>
    <row r="33" spans="1:12" x14ac:dyDescent="0.2">
      <c r="A33" s="23" t="s">
        <v>32</v>
      </c>
      <c r="B33" s="6">
        <f>SUM(B22:B32)</f>
        <v>20711316</v>
      </c>
      <c r="C33" s="6">
        <f t="shared" ref="C33:J33" si="3">SUM(C22:C32)</f>
        <v>29979849</v>
      </c>
      <c r="D33" s="6">
        <f t="shared" si="3"/>
        <v>7879183</v>
      </c>
      <c r="E33" s="6">
        <f t="shared" si="3"/>
        <v>9394565</v>
      </c>
      <c r="F33" s="6">
        <f t="shared" si="3"/>
        <v>29944074</v>
      </c>
      <c r="G33" s="6">
        <f t="shared" si="3"/>
        <v>60839919</v>
      </c>
      <c r="H33" s="6">
        <f t="shared" si="3"/>
        <v>70976494</v>
      </c>
      <c r="I33" s="6">
        <f t="shared" si="3"/>
        <v>22420644</v>
      </c>
      <c r="J33" s="6">
        <f t="shared" si="3"/>
        <v>17899951</v>
      </c>
    </row>
    <row r="34" spans="1:12" x14ac:dyDescent="0.2">
      <c r="L34">
        <f>SUM(L22:L32)</f>
        <v>270045995</v>
      </c>
    </row>
    <row r="36" spans="1:12" x14ac:dyDescent="0.2">
      <c r="A36" s="17"/>
      <c r="B36" t="s">
        <v>41</v>
      </c>
      <c r="C36" t="s">
        <v>44</v>
      </c>
      <c r="D36" t="s">
        <v>45</v>
      </c>
      <c r="E36" t="s">
        <v>42</v>
      </c>
      <c r="F36" t="s">
        <v>48</v>
      </c>
      <c r="G36" t="s">
        <v>49</v>
      </c>
      <c r="H36" t="s">
        <v>51</v>
      </c>
    </row>
    <row r="37" spans="1:12" x14ac:dyDescent="0.2">
      <c r="A37" s="1" t="s">
        <v>9</v>
      </c>
      <c r="B37" s="16" cm="1">
        <f t="array" ref="B37:B47">Pleins!D17:D27</f>
        <v>10810.666666666666</v>
      </c>
      <c r="C37" s="16" cm="1">
        <f t="array" ref="C37:C47">Pleins!B17:B27</f>
        <v>97296</v>
      </c>
      <c r="D37">
        <f>SUM(Pleins!B2:J2)</f>
        <v>97296</v>
      </c>
      <c r="E37" s="16">
        <f t="shared" ref="E37:E47" si="4">L22/D37</f>
        <v>91.48572397631969</v>
      </c>
      <c r="F37" s="16" cm="1">
        <f t="array" ref="F37:F47">Pleins!E17:E27</f>
        <v>1</v>
      </c>
      <c r="G37">
        <v>6158.9589999999998</v>
      </c>
      <c r="H37" s="16">
        <f t="shared" ref="H37:H47" si="5">C37/$C$49</f>
        <v>2.5203605843953993</v>
      </c>
    </row>
    <row r="38" spans="1:12" x14ac:dyDescent="0.2">
      <c r="A38" s="1" t="s">
        <v>10</v>
      </c>
      <c r="B38" s="16">
        <v>6601.8888888888887</v>
      </c>
      <c r="C38" s="16">
        <v>59417</v>
      </c>
      <c r="D38">
        <f>SUM(Pleins!B3:J3)</f>
        <v>57623</v>
      </c>
      <c r="E38" s="16">
        <f t="shared" si="4"/>
        <v>179.70074449438593</v>
      </c>
      <c r="F38" s="16">
        <v>0.96980662100072368</v>
      </c>
      <c r="G38">
        <v>17462.990000000002</v>
      </c>
      <c r="H38" s="16">
        <f t="shared" si="5"/>
        <v>1.539141021655787</v>
      </c>
    </row>
    <row r="39" spans="1:12" x14ac:dyDescent="0.2">
      <c r="A39" s="1" t="s">
        <v>11</v>
      </c>
      <c r="B39" s="16">
        <v>30486.222222222223</v>
      </c>
      <c r="C39" s="16">
        <v>274376</v>
      </c>
      <c r="D39">
        <f>SUM(Pleins!B4:J4)</f>
        <v>153902</v>
      </c>
      <c r="E39" s="16">
        <f t="shared" si="4"/>
        <v>108.00421047159881</v>
      </c>
      <c r="F39" s="16">
        <v>0.56091640668280029</v>
      </c>
      <c r="G39">
        <v>17778.419999999998</v>
      </c>
      <c r="H39" s="16">
        <f t="shared" si="5"/>
        <v>7.1074500051808105</v>
      </c>
    </row>
    <row r="40" spans="1:12" x14ac:dyDescent="0.2">
      <c r="A40" s="1" t="s">
        <v>12</v>
      </c>
      <c r="B40" s="16">
        <v>8774.8888888888887</v>
      </c>
      <c r="C40" s="16">
        <v>78974</v>
      </c>
      <c r="D40">
        <f>SUM(Pleins!B5:J5)</f>
        <v>78119</v>
      </c>
      <c r="E40" s="16">
        <f t="shared" si="4"/>
        <v>118.14447189544157</v>
      </c>
      <c r="F40" s="16">
        <v>0.98917365208802899</v>
      </c>
      <c r="G40">
        <v>11165.63</v>
      </c>
      <c r="H40" s="16">
        <f t="shared" si="5"/>
        <v>2.0457465547611648</v>
      </c>
    </row>
    <row r="41" spans="1:12" x14ac:dyDescent="0.2">
      <c r="A41" s="1" t="s">
        <v>13</v>
      </c>
      <c r="B41" s="16">
        <v>7192.333333333333</v>
      </c>
      <c r="C41" s="16">
        <v>64731</v>
      </c>
      <c r="D41">
        <f>SUM(Pleins!B6:J6)</f>
        <v>48805</v>
      </c>
      <c r="E41" s="16">
        <f t="shared" si="4"/>
        <v>100.92064337670321</v>
      </c>
      <c r="F41" s="16">
        <v>0.75396641485532434</v>
      </c>
      <c r="G41">
        <v>14030.26</v>
      </c>
      <c r="H41" s="16">
        <f t="shared" si="5"/>
        <v>1.676795150761579</v>
      </c>
    </row>
    <row r="42" spans="1:12" x14ac:dyDescent="0.2">
      <c r="A42" s="1" t="s">
        <v>14</v>
      </c>
      <c r="B42" s="16">
        <v>23678.444444444445</v>
      </c>
      <c r="C42" s="16">
        <v>213106</v>
      </c>
      <c r="D42">
        <f>SUM(Pleins!B7:J7)</f>
        <v>119388</v>
      </c>
      <c r="E42" s="16">
        <f t="shared" si="4"/>
        <v>52.097991422923577</v>
      </c>
      <c r="F42" s="16">
        <v>0.56022824322168308</v>
      </c>
      <c r="G42">
        <v>29628.02</v>
      </c>
      <c r="H42" s="16">
        <f t="shared" si="5"/>
        <v>5.5203087762926124</v>
      </c>
    </row>
    <row r="43" spans="1:12" x14ac:dyDescent="0.2">
      <c r="A43" s="1" t="s">
        <v>15</v>
      </c>
      <c r="B43" s="16">
        <v>17447.888888888891</v>
      </c>
      <c r="C43" s="16">
        <v>157031</v>
      </c>
      <c r="D43">
        <f>SUM(Pleins!B8:J8)</f>
        <v>143739</v>
      </c>
      <c r="E43" s="16">
        <f t="shared" si="4"/>
        <v>266.24546573998708</v>
      </c>
      <c r="F43" s="16">
        <v>0.91535429310136218</v>
      </c>
      <c r="G43">
        <v>29628.02</v>
      </c>
      <c r="H43" s="16">
        <f t="shared" si="5"/>
        <v>4.067739094394363</v>
      </c>
    </row>
    <row r="44" spans="1:12" x14ac:dyDescent="0.2">
      <c r="A44" s="1" t="s">
        <v>16</v>
      </c>
      <c r="B44" s="16">
        <v>6069.1111111111113</v>
      </c>
      <c r="C44" s="16">
        <v>54622</v>
      </c>
      <c r="D44">
        <f>SUM(Pleins!B9:J9)</f>
        <v>53078</v>
      </c>
      <c r="E44" s="16">
        <f t="shared" si="4"/>
        <v>85.614077395531112</v>
      </c>
      <c r="F44" s="16">
        <v>0.97173300135476548</v>
      </c>
      <c r="G44">
        <v>6158.9589999999998</v>
      </c>
      <c r="H44" s="16">
        <f t="shared" si="5"/>
        <v>1.414931095223293</v>
      </c>
    </row>
    <row r="45" spans="1:12" x14ac:dyDescent="0.2">
      <c r="A45" s="1" t="s">
        <v>17</v>
      </c>
      <c r="B45" s="16">
        <v>4289.333333333333</v>
      </c>
      <c r="C45" s="16">
        <v>38604</v>
      </c>
      <c r="D45">
        <f>SUM(Pleins!B10:J10)</f>
        <v>38494</v>
      </c>
      <c r="E45" s="16">
        <f t="shared" si="4"/>
        <v>347.74221956668572</v>
      </c>
      <c r="F45" s="16">
        <v>0.99715055434669986</v>
      </c>
      <c r="G45">
        <v>9279.4779999999992</v>
      </c>
      <c r="H45" s="16">
        <f t="shared" si="5"/>
        <v>1</v>
      </c>
    </row>
    <row r="46" spans="1:12" x14ac:dyDescent="0.2">
      <c r="A46" s="1" t="s">
        <v>18</v>
      </c>
      <c r="B46" s="16">
        <v>32240.111111111109</v>
      </c>
      <c r="C46" s="16">
        <v>290161</v>
      </c>
      <c r="D46">
        <f>SUM(Pleins!B11:J11)</f>
        <v>266257</v>
      </c>
      <c r="E46" s="16">
        <f t="shared" si="4"/>
        <v>531.89305821067614</v>
      </c>
      <c r="F46" s="16">
        <v>0.91761814992366308</v>
      </c>
      <c r="G46">
        <v>17778.419999999998</v>
      </c>
      <c r="H46" s="16">
        <f t="shared" si="5"/>
        <v>7.5163454564293852</v>
      </c>
    </row>
    <row r="47" spans="1:12" x14ac:dyDescent="0.2">
      <c r="A47" s="1" t="s">
        <v>19</v>
      </c>
      <c r="B47" s="16">
        <v>4481.666666666667</v>
      </c>
      <c r="C47" s="16">
        <v>40335</v>
      </c>
      <c r="D47">
        <f>SUM(Pleins!B12:J12)</f>
        <v>38931</v>
      </c>
      <c r="E47" s="16">
        <f t="shared" si="4"/>
        <v>410.2870463127071</v>
      </c>
      <c r="F47" s="16">
        <v>0.9651915210115285</v>
      </c>
      <c r="G47">
        <v>14376.27</v>
      </c>
      <c r="H47" s="16">
        <f t="shared" si="5"/>
        <v>1.0448399129623873</v>
      </c>
    </row>
    <row r="49" spans="1:26" x14ac:dyDescent="0.2">
      <c r="C49" s="16">
        <f>MIN(_xlfn.ANCHORARRAY(C37))</f>
        <v>38604</v>
      </c>
      <c r="P49" s="1"/>
      <c r="Q49" s="1"/>
    </row>
    <row r="50" spans="1:26" x14ac:dyDescent="0.2">
      <c r="B50" s="20" t="s">
        <v>50</v>
      </c>
      <c r="C50" s="21" t="s">
        <v>52</v>
      </c>
      <c r="D50" s="21" t="s">
        <v>53</v>
      </c>
    </row>
    <row r="51" spans="1:26" x14ac:dyDescent="0.2">
      <c r="A51" s="1" t="s">
        <v>9</v>
      </c>
      <c r="B51" s="16">
        <f t="shared" ref="B51:B61" si="6">M22/G37</f>
        <v>160.58260278509186</v>
      </c>
      <c r="C51">
        <f t="shared" ref="C51:C61" si="7">B51/H37</f>
        <v>63.714138278199378</v>
      </c>
      <c r="D51" s="16">
        <f t="shared" ref="D51:D61" si="8">C51/$C$63</f>
        <v>0.397513063844112</v>
      </c>
    </row>
    <row r="52" spans="1:26" x14ac:dyDescent="0.2">
      <c r="A52" s="1" t="s">
        <v>10</v>
      </c>
      <c r="B52" s="16">
        <f t="shared" si="6"/>
        <v>65.884708174258819</v>
      </c>
      <c r="C52">
        <f t="shared" si="7"/>
        <v>42.806154372638929</v>
      </c>
      <c r="D52" s="16">
        <f t="shared" si="8"/>
        <v>0.26706797009093319</v>
      </c>
    </row>
    <row r="53" spans="1:26" x14ac:dyDescent="0.2">
      <c r="A53" s="1" t="s">
        <v>11</v>
      </c>
      <c r="B53" s="16">
        <f t="shared" si="6"/>
        <v>103.88414718518294</v>
      </c>
      <c r="C53">
        <f t="shared" si="7"/>
        <v>14.616233263611985</v>
      </c>
      <c r="D53" s="16">
        <f t="shared" si="8"/>
        <v>9.1190806679506506E-2</v>
      </c>
      <c r="P53" s="3" t="s">
        <v>9</v>
      </c>
      <c r="Q53" s="3" t="s">
        <v>10</v>
      </c>
      <c r="R53" s="3" t="s">
        <v>11</v>
      </c>
      <c r="S53" s="3" t="s">
        <v>12</v>
      </c>
      <c r="T53" s="3" t="s">
        <v>13</v>
      </c>
      <c r="U53" s="3" t="s">
        <v>14</v>
      </c>
      <c r="V53" s="3" t="s">
        <v>15</v>
      </c>
      <c r="W53" s="3" t="s">
        <v>16</v>
      </c>
      <c r="X53" s="3" t="s">
        <v>17</v>
      </c>
      <c r="Y53" s="3" t="s">
        <v>18</v>
      </c>
      <c r="Z53" s="3" t="s">
        <v>19</v>
      </c>
    </row>
    <row r="54" spans="1:26" x14ac:dyDescent="0.2">
      <c r="A54" s="1" t="s">
        <v>12</v>
      </c>
      <c r="B54" s="16">
        <f t="shared" si="6"/>
        <v>91.84263573921838</v>
      </c>
      <c r="C54">
        <f t="shared" si="7"/>
        <v>44.894435004897637</v>
      </c>
      <c r="D54" s="16">
        <f t="shared" si="8"/>
        <v>0.28009677115029735</v>
      </c>
      <c r="O54" s="22" t="s">
        <v>56</v>
      </c>
      <c r="P54" s="16">
        <f>E37</f>
        <v>91.48572397631969</v>
      </c>
      <c r="Q54" s="16">
        <f>E38</f>
        <v>179.70074449438593</v>
      </c>
      <c r="R54" s="16">
        <f>E39</f>
        <v>108.00421047159881</v>
      </c>
      <c r="S54" s="16">
        <f>E40</f>
        <v>118.14447189544157</v>
      </c>
      <c r="T54" s="16">
        <f>E41</f>
        <v>100.92064337670321</v>
      </c>
      <c r="U54" s="16">
        <f>E42</f>
        <v>52.097991422923577</v>
      </c>
      <c r="V54" s="16">
        <f>E43</f>
        <v>266.24546573998708</v>
      </c>
      <c r="W54" s="16">
        <f>E44</f>
        <v>85.614077395531112</v>
      </c>
      <c r="X54" s="16">
        <f>E45</f>
        <v>347.74221956668572</v>
      </c>
      <c r="Y54" s="16">
        <f>E46</f>
        <v>531.89305821067614</v>
      </c>
      <c r="Z54" s="16">
        <f>E47</f>
        <v>410.2870463127071</v>
      </c>
    </row>
    <row r="55" spans="1:26" x14ac:dyDescent="0.2">
      <c r="A55" s="1" t="s">
        <v>13</v>
      </c>
      <c r="B55" s="16">
        <f t="shared" si="6"/>
        <v>39.006420566847815</v>
      </c>
      <c r="C55">
        <f t="shared" si="7"/>
        <v>23.262484119859003</v>
      </c>
      <c r="D55" s="16">
        <f t="shared" si="8"/>
        <v>0.1451348411043987</v>
      </c>
    </row>
    <row r="56" spans="1:26" x14ac:dyDescent="0.2">
      <c r="A56" s="1" t="s">
        <v>14</v>
      </c>
      <c r="B56" s="16">
        <f t="shared" si="6"/>
        <v>23.325798423999384</v>
      </c>
      <c r="C56">
        <f t="shared" si="7"/>
        <v>4.2254517580925555</v>
      </c>
      <c r="D56" s="16">
        <f t="shared" si="8"/>
        <v>2.6362630334115074E-2</v>
      </c>
    </row>
    <row r="57" spans="1:26" x14ac:dyDescent="0.2">
      <c r="A57" s="1" t="s">
        <v>15</v>
      </c>
      <c r="B57" s="16">
        <f t="shared" si="6"/>
        <v>143.51976046098704</v>
      </c>
      <c r="C57">
        <f t="shared" si="7"/>
        <v>35.282439982143295</v>
      </c>
      <c r="D57" s="16">
        <f t="shared" si="8"/>
        <v>0.22012745045626228</v>
      </c>
    </row>
    <row r="58" spans="1:26" x14ac:dyDescent="0.2">
      <c r="A58" s="1" t="s">
        <v>16</v>
      </c>
      <c r="B58" s="16">
        <f t="shared" si="6"/>
        <v>81.980376517813767</v>
      </c>
      <c r="C58">
        <f t="shared" si="7"/>
        <v>57.939483268530672</v>
      </c>
      <c r="D58" s="16">
        <f t="shared" si="8"/>
        <v>0.36148494092556677</v>
      </c>
      <c r="P58" s="3" t="str" cm="1">
        <f t="array" ref="P58:U59">U53:Z54</f>
        <v>Los-Angeles - Hongkong</v>
      </c>
      <c r="Q58" s="3" t="str">
        <v>Hongkong - Los-Angeles</v>
      </c>
      <c r="R58" s="3" t="str">
        <v>New-York - Anvers</v>
      </c>
      <c r="S58" s="3" t="str">
        <v>Hongkong - Dubai</v>
      </c>
      <c r="T58" s="3" t="str">
        <v>Hongkong - Anvers</v>
      </c>
      <c r="U58" s="3" t="str">
        <v>New-York - Dubai</v>
      </c>
    </row>
    <row r="59" spans="1:26" x14ac:dyDescent="0.2">
      <c r="A59" s="1" t="s">
        <v>17</v>
      </c>
      <c r="B59" s="16">
        <f t="shared" si="6"/>
        <v>160.28187265610319</v>
      </c>
      <c r="C59">
        <f t="shared" si="7"/>
        <v>160.28187265610319</v>
      </c>
      <c r="D59" s="16">
        <f t="shared" si="8"/>
        <v>1</v>
      </c>
      <c r="O59" s="22" t="s">
        <v>57</v>
      </c>
      <c r="P59" s="16">
        <v>52.097991422923577</v>
      </c>
      <c r="Q59" s="16">
        <v>266.24546573998708</v>
      </c>
      <c r="R59" s="16">
        <v>85.614077395531112</v>
      </c>
      <c r="S59" s="16">
        <v>347.74221956668572</v>
      </c>
      <c r="T59" s="16">
        <v>531.89305821067614</v>
      </c>
      <c r="U59" s="16">
        <v>410.2870463127071</v>
      </c>
    </row>
    <row r="60" spans="1:26" x14ac:dyDescent="0.2">
      <c r="A60" s="1" t="s">
        <v>18</v>
      </c>
      <c r="B60" s="16">
        <f t="shared" si="6"/>
        <v>885.09458845799213</v>
      </c>
      <c r="C60">
        <f t="shared" si="7"/>
        <v>117.75597510634555</v>
      </c>
      <c r="D60" s="16">
        <f t="shared" si="8"/>
        <v>0.73468055466883553</v>
      </c>
    </row>
    <row r="61" spans="1:26" x14ac:dyDescent="0.2">
      <c r="A61" s="1" t="s">
        <v>19</v>
      </c>
      <c r="B61" s="16">
        <f t="shared" si="6"/>
        <v>123.45100641543321</v>
      </c>
      <c r="C61">
        <f t="shared" si="7"/>
        <v>118.15303462653735</v>
      </c>
      <c r="D61" s="16">
        <f t="shared" si="8"/>
        <v>0.73715781247479917</v>
      </c>
    </row>
    <row r="63" spans="1:26" x14ac:dyDescent="0.2">
      <c r="C63">
        <f>MAX(C51:C61)</f>
        <v>160.28187265610319</v>
      </c>
    </row>
    <row r="89" spans="17:17" x14ac:dyDescent="0.2">
      <c r="Q89" t="s">
        <v>58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B5F4-6983-6B4F-BF91-E2F6B085ED7A}">
  <dimension ref="A1:L20"/>
  <sheetViews>
    <sheetView tabSelected="1" zoomScale="125" workbookViewId="0">
      <selection activeCell="M22" sqref="M22"/>
    </sheetView>
  </sheetViews>
  <sheetFormatPr baseColWidth="10" defaultRowHeight="15" x14ac:dyDescent="0.2"/>
  <cols>
    <col min="1" max="1" width="21.1640625" bestFit="1" customWidth="1"/>
  </cols>
  <sheetData>
    <row r="1" spans="1:12" x14ac:dyDescent="0.2">
      <c r="A1" t="s">
        <v>78</v>
      </c>
    </row>
    <row r="3" spans="1:12" x14ac:dyDescent="0.2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7" t="s">
        <v>8</v>
      </c>
    </row>
    <row r="4" spans="1:12" x14ac:dyDescent="0.2">
      <c r="A4" t="str" cm="1">
        <f t="array" ref="A4:L15">Revenus!A44:L55</f>
        <v>Coût des conteneurs vides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tr">
        <v xml:space="preserve">Coût total du transport </v>
      </c>
    </row>
    <row r="5" spans="1:12" x14ac:dyDescent="0.2">
      <c r="A5" t="str">
        <v>Anvers-New-York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tr">
        <v>Anvers-Santos</v>
      </c>
      <c r="B6">
        <v>0</v>
      </c>
      <c r="C6">
        <v>0</v>
      </c>
      <c r="D6">
        <v>60996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60996</v>
      </c>
    </row>
    <row r="7" spans="1:12" x14ac:dyDescent="0.2">
      <c r="A7" t="str">
        <v>Anvers-Hongkong</v>
      </c>
      <c r="B7">
        <v>577110</v>
      </c>
      <c r="C7">
        <v>645840</v>
      </c>
      <c r="D7">
        <v>763830</v>
      </c>
      <c r="E7">
        <v>563880</v>
      </c>
      <c r="F7">
        <v>223500</v>
      </c>
      <c r="G7">
        <v>253410</v>
      </c>
      <c r="H7">
        <v>66000</v>
      </c>
      <c r="I7">
        <v>389220</v>
      </c>
      <c r="J7">
        <v>131430</v>
      </c>
      <c r="K7">
        <v>0</v>
      </c>
      <c r="L7">
        <v>3614220</v>
      </c>
    </row>
    <row r="8" spans="1:12" x14ac:dyDescent="0.2">
      <c r="A8" t="str">
        <v>Dubai-Anvers</v>
      </c>
      <c r="B8">
        <v>0</v>
      </c>
      <c r="C8">
        <v>0</v>
      </c>
      <c r="D8">
        <v>0</v>
      </c>
      <c r="E8">
        <v>25650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25650</v>
      </c>
    </row>
    <row r="9" spans="1:12" x14ac:dyDescent="0.2">
      <c r="A9" t="str">
        <v>Santos - Los-Angeles</v>
      </c>
      <c r="B9">
        <v>0</v>
      </c>
      <c r="C9">
        <v>0</v>
      </c>
      <c r="D9">
        <v>79456</v>
      </c>
      <c r="E9">
        <v>186016</v>
      </c>
      <c r="F9">
        <v>59328</v>
      </c>
      <c r="G9">
        <v>12256</v>
      </c>
      <c r="H9">
        <v>0</v>
      </c>
      <c r="I9">
        <v>141824</v>
      </c>
      <c r="J9">
        <v>30752</v>
      </c>
      <c r="K9">
        <v>0</v>
      </c>
      <c r="L9">
        <v>509632</v>
      </c>
    </row>
    <row r="10" spans="1:12" x14ac:dyDescent="0.2">
      <c r="A10" t="str">
        <v>Los-Angeles - Hongkong</v>
      </c>
      <c r="B10">
        <v>240940</v>
      </c>
      <c r="C10">
        <v>92680</v>
      </c>
      <c r="D10">
        <v>397152</v>
      </c>
      <c r="E10">
        <v>157836</v>
      </c>
      <c r="F10">
        <v>345268</v>
      </c>
      <c r="G10">
        <v>451556</v>
      </c>
      <c r="H10">
        <v>299908</v>
      </c>
      <c r="I10">
        <v>339472</v>
      </c>
      <c r="J10">
        <v>299292</v>
      </c>
      <c r="K10">
        <v>0</v>
      </c>
      <c r="L10">
        <v>2624104</v>
      </c>
    </row>
    <row r="11" spans="1:12" x14ac:dyDescent="0.2">
      <c r="A11" t="str">
        <v>Hongkong - Los-Angeles</v>
      </c>
      <c r="B11">
        <v>0</v>
      </c>
      <c r="C11">
        <v>0</v>
      </c>
      <c r="D11">
        <v>0</v>
      </c>
      <c r="E11">
        <v>208572</v>
      </c>
      <c r="F11">
        <v>0</v>
      </c>
      <c r="G11">
        <v>0</v>
      </c>
      <c r="H11">
        <v>0</v>
      </c>
      <c r="I11">
        <v>0</v>
      </c>
      <c r="J11">
        <v>163604</v>
      </c>
      <c r="K11">
        <v>0</v>
      </c>
      <c r="L11">
        <v>372176</v>
      </c>
    </row>
    <row r="12" spans="1:12" x14ac:dyDescent="0.2">
      <c r="A12" t="str">
        <v>New-York - Anvers</v>
      </c>
      <c r="B12">
        <v>0</v>
      </c>
      <c r="C12">
        <v>0</v>
      </c>
      <c r="D12">
        <v>0</v>
      </c>
      <c r="E12">
        <v>64848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64848</v>
      </c>
    </row>
    <row r="13" spans="1:12" x14ac:dyDescent="0.2">
      <c r="A13" t="str">
        <v>Hongkong - Dubai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2200</v>
      </c>
      <c r="K13">
        <v>0</v>
      </c>
      <c r="L13">
        <v>2200</v>
      </c>
    </row>
    <row r="14" spans="1:12" x14ac:dyDescent="0.2">
      <c r="A14" t="str">
        <v>Hongkong - Anvers</v>
      </c>
      <c r="B14">
        <v>0</v>
      </c>
      <c r="C14">
        <v>0</v>
      </c>
      <c r="D14">
        <v>0</v>
      </c>
      <c r="E14">
        <v>397380</v>
      </c>
      <c r="F14">
        <v>0</v>
      </c>
      <c r="G14">
        <v>0</v>
      </c>
      <c r="H14">
        <v>0</v>
      </c>
      <c r="I14">
        <v>0</v>
      </c>
      <c r="J14">
        <v>319740</v>
      </c>
      <c r="K14">
        <v>0</v>
      </c>
      <c r="L14">
        <v>717120</v>
      </c>
    </row>
    <row r="15" spans="1:12" x14ac:dyDescent="0.2">
      <c r="A15" t="str">
        <v>New-York - Dubai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44928</v>
      </c>
      <c r="J15">
        <v>0</v>
      </c>
      <c r="K15">
        <v>0</v>
      </c>
      <c r="L15">
        <v>44928</v>
      </c>
    </row>
    <row r="17" spans="11:12" x14ac:dyDescent="0.2">
      <c r="L17">
        <f>SUM(L5:L15)</f>
        <v>8035874</v>
      </c>
    </row>
    <row r="18" spans="11:12" x14ac:dyDescent="0.2">
      <c r="K18" t="s">
        <v>108</v>
      </c>
      <c r="L18">
        <f>Vides!K14</f>
        <v>273021</v>
      </c>
    </row>
    <row r="20" spans="11:12" x14ac:dyDescent="0.2">
      <c r="L20">
        <f>L17/L18</f>
        <v>29.433171807296876</v>
      </c>
    </row>
  </sheetData>
  <conditionalFormatting sqref="B4:J15">
    <cfRule type="top10" dxfId="4" priority="1" rank="10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E453-BFFD-9540-AC44-641F54FF7A82}">
  <dimension ref="A1:M133"/>
  <sheetViews>
    <sheetView zoomScale="125" zoomScaleNormal="150" workbookViewId="0">
      <selection activeCell="L108" sqref="L108"/>
    </sheetView>
  </sheetViews>
  <sheetFormatPr baseColWidth="10" defaultRowHeight="15" x14ac:dyDescent="0.2"/>
  <cols>
    <col min="1" max="1" width="26" bestFit="1" customWidth="1"/>
    <col min="2" max="2" width="20.1640625" bestFit="1" customWidth="1"/>
    <col min="3" max="3" width="10" customWidth="1"/>
    <col min="4" max="4" width="9.83203125" customWidth="1"/>
    <col min="5" max="5" width="7.1640625" customWidth="1"/>
    <col min="6" max="6" width="10.83203125" bestFit="1" customWidth="1"/>
    <col min="7" max="7" width="10.1640625" bestFit="1" customWidth="1"/>
    <col min="8" max="8" width="10.5" bestFit="1" customWidth="1"/>
    <col min="9" max="10" width="10.1640625" bestFit="1" customWidth="1"/>
    <col min="11" max="11" width="11.6640625" bestFit="1" customWidth="1"/>
    <col min="13" max="13" width="12.1640625" bestFit="1" customWidth="1"/>
  </cols>
  <sheetData>
    <row r="1" spans="1:10" x14ac:dyDescent="0.2">
      <c r="F1" t="s">
        <v>65</v>
      </c>
      <c r="H1" s="21" t="s">
        <v>66</v>
      </c>
      <c r="J1" t="s">
        <v>74</v>
      </c>
    </row>
    <row r="2" spans="1:10" x14ac:dyDescent="0.2">
      <c r="C2">
        <v>49460</v>
      </c>
      <c r="D2">
        <v>49461</v>
      </c>
      <c r="F2">
        <v>35000</v>
      </c>
    </row>
    <row r="3" spans="1:10" x14ac:dyDescent="0.2">
      <c r="B3" s="24" t="s">
        <v>11</v>
      </c>
      <c r="D3">
        <v>269033345</v>
      </c>
      <c r="F3">
        <v>264968871</v>
      </c>
      <c r="H3">
        <f>D3-F3</f>
        <v>4064474</v>
      </c>
      <c r="J3" s="16">
        <f>'Question 2'!F39</f>
        <v>0.56091640668280029</v>
      </c>
    </row>
    <row r="5" spans="1:10" x14ac:dyDescent="0.2">
      <c r="A5" s="27" t="s">
        <v>70</v>
      </c>
    </row>
    <row r="6" spans="1:10" x14ac:dyDescent="0.2">
      <c r="A6" t="s">
        <v>67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x14ac:dyDescent="0.2">
      <c r="A7" s="1" t="s">
        <v>9</v>
      </c>
      <c r="B7">
        <v>10516</v>
      </c>
      <c r="C7">
        <v>11025</v>
      </c>
      <c r="D7">
        <v>6932</v>
      </c>
      <c r="E7">
        <v>7718</v>
      </c>
      <c r="F7">
        <v>11183</v>
      </c>
      <c r="G7">
        <v>15000</v>
      </c>
      <c r="H7">
        <v>13172</v>
      </c>
      <c r="I7">
        <v>14012</v>
      </c>
      <c r="J7">
        <v>7738</v>
      </c>
    </row>
    <row r="8" spans="1:10" x14ac:dyDescent="0.2">
      <c r="A8" s="1" t="s">
        <v>10</v>
      </c>
      <c r="B8">
        <v>5394</v>
      </c>
      <c r="C8">
        <v>7645</v>
      </c>
      <c r="D8">
        <v>4611</v>
      </c>
      <c r="E8">
        <v>6203</v>
      </c>
      <c r="F8">
        <v>10000</v>
      </c>
      <c r="G8">
        <v>7053</v>
      </c>
      <c r="H8">
        <v>8759</v>
      </c>
      <c r="I8">
        <v>4656</v>
      </c>
      <c r="J8">
        <v>3302</v>
      </c>
    </row>
    <row r="9" spans="1:10" x14ac:dyDescent="0.2">
      <c r="A9" s="2" t="s">
        <v>11</v>
      </c>
      <c r="B9" s="26">
        <v>14824</v>
      </c>
      <c r="C9" s="26">
        <v>11681</v>
      </c>
      <c r="D9" s="26">
        <v>9539</v>
      </c>
      <c r="E9" s="26">
        <v>11023</v>
      </c>
      <c r="F9" s="26">
        <v>18568</v>
      </c>
      <c r="G9" s="26">
        <v>21813</v>
      </c>
      <c r="H9" s="26">
        <v>25569</v>
      </c>
      <c r="I9" s="26">
        <v>21965</v>
      </c>
      <c r="J9" s="26">
        <v>18920</v>
      </c>
    </row>
    <row r="10" spans="1:10" x14ac:dyDescent="0.2">
      <c r="A10" s="1" t="s">
        <v>12</v>
      </c>
      <c r="B10">
        <v>8745</v>
      </c>
      <c r="C10">
        <v>10000</v>
      </c>
      <c r="D10">
        <v>9131</v>
      </c>
      <c r="E10">
        <v>5849</v>
      </c>
      <c r="F10">
        <v>9821</v>
      </c>
      <c r="G10">
        <v>9986</v>
      </c>
      <c r="H10">
        <v>9347</v>
      </c>
      <c r="I10">
        <v>7380</v>
      </c>
      <c r="J10">
        <v>7860</v>
      </c>
    </row>
    <row r="11" spans="1:10" x14ac:dyDescent="0.2">
      <c r="A11" s="1" t="s">
        <v>13</v>
      </c>
      <c r="B11">
        <v>8616</v>
      </c>
      <c r="C11">
        <v>7653</v>
      </c>
      <c r="D11">
        <v>2941</v>
      </c>
      <c r="E11">
        <v>4187</v>
      </c>
      <c r="F11">
        <v>7716</v>
      </c>
      <c r="G11">
        <v>4994</v>
      </c>
      <c r="H11">
        <v>4676</v>
      </c>
      <c r="I11">
        <v>4327</v>
      </c>
      <c r="J11">
        <v>3695</v>
      </c>
    </row>
    <row r="12" spans="1:10" x14ac:dyDescent="0.2">
      <c r="A12" s="1" t="s">
        <v>14</v>
      </c>
      <c r="B12">
        <v>11395</v>
      </c>
      <c r="C12">
        <v>16358</v>
      </c>
      <c r="D12">
        <v>8764</v>
      </c>
      <c r="E12">
        <v>11864</v>
      </c>
      <c r="F12">
        <v>17669</v>
      </c>
      <c r="G12">
        <v>13873</v>
      </c>
      <c r="H12">
        <v>14448</v>
      </c>
      <c r="I12">
        <v>8552</v>
      </c>
      <c r="J12">
        <v>16465</v>
      </c>
    </row>
    <row r="13" spans="1:10" x14ac:dyDescent="0.2">
      <c r="A13" s="1" t="s">
        <v>15</v>
      </c>
      <c r="B13">
        <v>14153</v>
      </c>
      <c r="C13">
        <v>16194</v>
      </c>
      <c r="D13">
        <v>12077</v>
      </c>
      <c r="E13">
        <v>12437</v>
      </c>
      <c r="F13">
        <v>16544</v>
      </c>
      <c r="G13">
        <v>19782</v>
      </c>
      <c r="H13">
        <v>20000</v>
      </c>
      <c r="I13">
        <v>18395</v>
      </c>
      <c r="J13">
        <v>14157</v>
      </c>
    </row>
    <row r="14" spans="1:10" x14ac:dyDescent="0.2">
      <c r="A14" s="1" t="s">
        <v>16</v>
      </c>
      <c r="B14">
        <v>6202</v>
      </c>
      <c r="C14">
        <v>5337</v>
      </c>
      <c r="D14">
        <v>3428</v>
      </c>
      <c r="E14">
        <v>4141</v>
      </c>
      <c r="F14">
        <v>8195</v>
      </c>
      <c r="G14">
        <v>7727</v>
      </c>
      <c r="H14">
        <v>10000</v>
      </c>
      <c r="I14">
        <v>5428</v>
      </c>
      <c r="J14">
        <v>4164</v>
      </c>
    </row>
    <row r="15" spans="1:10" x14ac:dyDescent="0.2">
      <c r="A15" s="1" t="s">
        <v>17</v>
      </c>
      <c r="B15">
        <v>4684</v>
      </c>
      <c r="C15">
        <v>4019</v>
      </c>
      <c r="D15">
        <v>3467</v>
      </c>
      <c r="E15">
        <v>3250</v>
      </c>
      <c r="F15">
        <v>3479</v>
      </c>
      <c r="G15">
        <v>4705</v>
      </c>
      <c r="H15">
        <v>5000</v>
      </c>
      <c r="I15">
        <v>5000</v>
      </c>
      <c r="J15">
        <v>4890</v>
      </c>
    </row>
    <row r="16" spans="1:10" x14ac:dyDescent="0.2">
      <c r="A16" s="1" t="s">
        <v>18</v>
      </c>
      <c r="B16">
        <v>29932</v>
      </c>
      <c r="C16">
        <v>40000</v>
      </c>
      <c r="D16">
        <v>31181</v>
      </c>
      <c r="E16">
        <v>21566</v>
      </c>
      <c r="F16">
        <v>27297</v>
      </c>
      <c r="G16">
        <v>34791</v>
      </c>
      <c r="H16">
        <v>40000</v>
      </c>
      <c r="I16">
        <v>21533</v>
      </c>
      <c r="J16">
        <v>19957</v>
      </c>
    </row>
    <row r="17" spans="1:11" x14ac:dyDescent="0.2">
      <c r="A17" s="1" t="s">
        <v>19</v>
      </c>
      <c r="B17">
        <v>3741</v>
      </c>
      <c r="C17">
        <v>4032</v>
      </c>
      <c r="D17">
        <v>4200</v>
      </c>
      <c r="E17">
        <v>3770</v>
      </c>
      <c r="F17">
        <v>5000</v>
      </c>
      <c r="G17">
        <v>5000</v>
      </c>
      <c r="H17">
        <v>4752</v>
      </c>
      <c r="I17">
        <v>3436</v>
      </c>
      <c r="J17">
        <v>5000</v>
      </c>
    </row>
    <row r="19" spans="1:11" x14ac:dyDescent="0.2">
      <c r="A19" s="17" t="s">
        <v>59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</row>
    <row r="20" spans="1:11" x14ac:dyDescent="0.2">
      <c r="A20" s="1" t="s">
        <v>9</v>
      </c>
      <c r="B20">
        <f>B7*Revenus!B17-B39*Revenus!B31</f>
        <v>630960</v>
      </c>
      <c r="C20">
        <f>C7*Revenus!C17-C39*Revenus!C31</f>
        <v>848925</v>
      </c>
      <c r="D20">
        <f>D7*Revenus!D17-D39*Revenus!D31</f>
        <v>235688</v>
      </c>
      <c r="E20">
        <f>E7*Revenus!E17-E39*Revenus!E31</f>
        <v>478516</v>
      </c>
      <c r="F20">
        <f>F7*Revenus!F17-F39*Revenus!F31</f>
        <v>782810</v>
      </c>
      <c r="G20">
        <f>G7*Revenus!G17-G39*Revenus!G31</f>
        <v>3015000</v>
      </c>
      <c r="H20">
        <f>H7*Revenus!H17-H39*Revenus!H31</f>
        <v>1488436</v>
      </c>
      <c r="I20">
        <f>I7*Revenus!I17-I39*Revenus!I31</f>
        <v>1064912</v>
      </c>
      <c r="J20">
        <f>J7*Revenus!J17-J39*Revenus!J31</f>
        <v>355948</v>
      </c>
    </row>
    <row r="21" spans="1:11" x14ac:dyDescent="0.2">
      <c r="A21" s="1" t="s">
        <v>10</v>
      </c>
      <c r="B21">
        <f>B8*Revenus!B18-B40*Revenus!B32</f>
        <v>377580</v>
      </c>
      <c r="C21">
        <f>C8*Revenus!C18-C40*Revenus!C32</f>
        <v>764500</v>
      </c>
      <c r="D21">
        <f>D8*Revenus!D18-D40*Revenus!D32</f>
        <v>207495</v>
      </c>
      <c r="E21">
        <f>E8*Revenus!E18-E40*Revenus!E32</f>
        <v>601691</v>
      </c>
      <c r="F21">
        <f>F8*Revenus!F18-F40*Revenus!F32</f>
        <v>3390000</v>
      </c>
      <c r="G21">
        <f>G8*Revenus!G18-G40*Revenus!G32</f>
        <v>2144112</v>
      </c>
      <c r="H21">
        <f>H8*Revenus!H18-H40*Revenus!H32</f>
        <v>2399966</v>
      </c>
      <c r="I21">
        <f>I8*Revenus!I18-I40*Revenus!I32</f>
        <v>405072</v>
      </c>
      <c r="J21">
        <f>J8*Revenus!J18-J40*Revenus!J32</f>
        <v>125476</v>
      </c>
    </row>
    <row r="22" spans="1:11" x14ac:dyDescent="0.2">
      <c r="A22" s="2" t="s">
        <v>11</v>
      </c>
      <c r="B22" s="26">
        <f>B9*Revenus!B19</f>
        <v>1734408</v>
      </c>
      <c r="C22" s="26">
        <f>C9*Revenus!C19</f>
        <v>1121376</v>
      </c>
      <c r="D22" s="26">
        <f>D9*Revenus!D19</f>
        <v>667730</v>
      </c>
      <c r="E22" s="26">
        <f>E9*Revenus!E19</f>
        <v>1168438</v>
      </c>
      <c r="F22" s="26">
        <f>F9*Revenus!F19</f>
        <v>1856800</v>
      </c>
      <c r="G22" s="26">
        <f>G9*Revenus!G19</f>
        <v>2901129</v>
      </c>
      <c r="H22" s="26">
        <f>H9*Revenus!H19</f>
        <v>5164938</v>
      </c>
      <c r="I22" s="26">
        <f>I9*Revenus!I19</f>
        <v>2745625</v>
      </c>
      <c r="J22" s="26">
        <f>J9*Revenus!J19</f>
        <v>2875840</v>
      </c>
    </row>
    <row r="23" spans="1:11" x14ac:dyDescent="0.2">
      <c r="A23" s="1" t="s">
        <v>12</v>
      </c>
      <c r="B23">
        <f>B10*Revenus!B20-'Question 3.2'!B42*Revenus!B34</f>
        <v>717090</v>
      </c>
      <c r="C23">
        <f>C10*Revenus!C20-'Question 3.2'!C42*Revenus!C34</f>
        <v>1030000</v>
      </c>
      <c r="D23">
        <f>D10*Revenus!D20-'Question 3.2'!D42*Revenus!D34</f>
        <v>301323</v>
      </c>
      <c r="E23">
        <f>E10*Revenus!E20-'Question 3.2'!E42*Revenus!E34</f>
        <v>163772</v>
      </c>
      <c r="F23">
        <f>F10*Revenus!F20-'Question 3.2'!F42*Revenus!F34</f>
        <v>991921</v>
      </c>
      <c r="G23">
        <f>G10*Revenus!G20-'Question 3.2'!G42*Revenus!G34</f>
        <v>2566402</v>
      </c>
      <c r="H23">
        <f>H10*Revenus!H20-'Question 3.2'!H42*Revenus!H34</f>
        <v>2523690</v>
      </c>
      <c r="I23">
        <f>I10*Revenus!I20-'Question 3.2'!I42*Revenus!I34</f>
        <v>575640</v>
      </c>
      <c r="J23">
        <f>J10*Revenus!J20-'Question 3.2'!J42*Revenus!J34</f>
        <v>385140</v>
      </c>
    </row>
    <row r="24" spans="1:11" x14ac:dyDescent="0.2">
      <c r="A24" s="1" t="s">
        <v>13</v>
      </c>
      <c r="B24">
        <f>B11*Revenus!B21-'Question 3.2'!B43*Revenus!B35</f>
        <v>1301016</v>
      </c>
      <c r="C24">
        <f>C11*Revenus!C21-'Question 3.2'!C43*Revenus!C35</f>
        <v>1943862</v>
      </c>
      <c r="D24">
        <f>D11*Revenus!D21-'Question 3.2'!D43*Revenus!D35</f>
        <v>164696</v>
      </c>
      <c r="E24">
        <f>E11*Revenus!E21-'Question 3.2'!E43*Revenus!E35</f>
        <v>343334</v>
      </c>
      <c r="F24">
        <f>F11*Revenus!F21-'Question 3.2'!F43*Revenus!F35</f>
        <v>686724</v>
      </c>
      <c r="G24">
        <f>G11*Revenus!G21-'Question 3.2'!G43*Revenus!G35</f>
        <v>334598</v>
      </c>
      <c r="H24">
        <f>H11*Revenus!H21-'Question 3.2'!H43*Revenus!H35</f>
        <v>191716</v>
      </c>
      <c r="I24">
        <f>I11*Revenus!I21-'Question 3.2'!I43*Revenus!I35</f>
        <v>125483</v>
      </c>
      <c r="J24">
        <f>J11*Revenus!J21-'Question 3.2'!J43*Revenus!J35</f>
        <v>343635</v>
      </c>
    </row>
    <row r="25" spans="1:11" x14ac:dyDescent="0.2">
      <c r="A25" s="1" t="s">
        <v>14</v>
      </c>
      <c r="B25">
        <f>B12*Revenus!B22-'Question 3.2'!B44*Revenus!B36</f>
        <v>407458</v>
      </c>
      <c r="C25">
        <f>C12*Revenus!C22-'Question 3.2'!C44*Revenus!C36</f>
        <v>1341356</v>
      </c>
      <c r="D25">
        <f>D12*Revenus!D22-'Question 3.2'!D44*Revenus!D36</f>
        <v>420672</v>
      </c>
      <c r="E25">
        <f>E12*Revenus!E22-'Question 3.2'!E44*Revenus!E36</f>
        <v>616928</v>
      </c>
      <c r="F25">
        <f>F12*Revenus!F22-'Question 3.2'!F44*Revenus!F36</f>
        <v>1378182</v>
      </c>
      <c r="G25">
        <f>G12*Revenus!G22-'Question 3.2'!G44*Revenus!G36</f>
        <v>1137586</v>
      </c>
      <c r="H25">
        <f>H12*Revenus!H22-'Question 3.2'!H44*Revenus!H36</f>
        <v>1647072</v>
      </c>
      <c r="I25">
        <f>I12*Revenus!I22-'Question 3.2'!I44*Revenus!I36</f>
        <v>419048</v>
      </c>
      <c r="J25">
        <f>J12*Revenus!J22-'Question 3.2'!J44*Revenus!J36</f>
        <v>1267805</v>
      </c>
    </row>
    <row r="26" spans="1:11" x14ac:dyDescent="0.2">
      <c r="A26" s="1" t="s">
        <v>15</v>
      </c>
      <c r="B26">
        <f>B13*Revenus!B23-'Question 3.2'!B45*Revenus!B37</f>
        <v>2363551</v>
      </c>
      <c r="C26">
        <f>C13*Revenus!C23-'Question 3.2'!C45*Revenus!C37</f>
        <v>1619400</v>
      </c>
      <c r="D26">
        <f>D13*Revenus!D23-'Question 3.2'!D45*Revenus!D37</f>
        <v>1678703</v>
      </c>
      <c r="E26">
        <f>E13*Revenus!E23-'Question 3.2'!E45*Revenus!E37</f>
        <v>1156641</v>
      </c>
      <c r="F26">
        <f>F13*Revenus!F23-'Question 3.2'!F45*Revenus!F37</f>
        <v>3259168</v>
      </c>
      <c r="G26">
        <f>G13*Revenus!G23-'Question 3.2'!G45*Revenus!G37</f>
        <v>6666534</v>
      </c>
      <c r="H26">
        <f>H13*Revenus!H23-'Question 3.2'!H45*Revenus!H37</f>
        <v>11020000</v>
      </c>
      <c r="I26">
        <f>I13*Revenus!I23-'Question 3.2'!I45*Revenus!I37</f>
        <v>8995155</v>
      </c>
      <c r="J26">
        <f>J13*Revenus!J23-'Question 3.2'!J45*Revenus!J37</f>
        <v>1882881</v>
      </c>
    </row>
    <row r="27" spans="1:11" x14ac:dyDescent="0.2">
      <c r="A27" s="1" t="s">
        <v>16</v>
      </c>
      <c r="B27">
        <f>B14*Revenus!B24-'Question 3.2'!B46*Revenus!B38</f>
        <v>403130</v>
      </c>
      <c r="C27">
        <f>C14*Revenus!C24-'Question 3.2'!C46*Revenus!C38</f>
        <v>154773</v>
      </c>
      <c r="D27">
        <f>D14*Revenus!D24-'Question 3.2'!D46*Revenus!D38</f>
        <v>92556</v>
      </c>
      <c r="E27">
        <f>E14*Revenus!E24-'Question 3.2'!E46*Revenus!E38</f>
        <v>111807</v>
      </c>
      <c r="F27">
        <f>F14*Revenus!F24-'Question 3.2'!F46*Revenus!F38</f>
        <v>737550</v>
      </c>
      <c r="G27">
        <f>G14*Revenus!G24-'Question 3.2'!G46*Revenus!G38</f>
        <v>1205412</v>
      </c>
      <c r="H27">
        <f>H14*Revenus!H24-'Question 3.2'!H46*Revenus!H38</f>
        <v>1490000</v>
      </c>
      <c r="I27">
        <f>I14*Revenus!I24-'Question 3.2'!I46*Revenus!I38</f>
        <v>504804</v>
      </c>
      <c r="J27">
        <f>J14*Revenus!J24-'Question 3.2'!J46*Revenus!J38</f>
        <v>149904</v>
      </c>
    </row>
    <row r="28" spans="1:11" x14ac:dyDescent="0.2">
      <c r="A28" s="1" t="s">
        <v>17</v>
      </c>
      <c r="B28">
        <f>B15*Revenus!B25-'Question 3.2'!B47*Revenus!B39</f>
        <v>2630772</v>
      </c>
      <c r="C28">
        <f>C15*Revenus!C25-'Question 3.2'!C47*Revenus!C39</f>
        <v>622945</v>
      </c>
      <c r="D28">
        <f>D15*Revenus!D25-'Question 3.2'!D47*Revenus!D39</f>
        <v>343233</v>
      </c>
      <c r="E28">
        <f>E15*Revenus!E25-'Question 3.2'!E47*Revenus!E39</f>
        <v>464750</v>
      </c>
      <c r="F28">
        <f>F15*Revenus!F25-'Question 3.2'!F47*Revenus!F39</f>
        <v>873229</v>
      </c>
      <c r="G28">
        <f>G15*Revenus!G25-'Question 3.2'!G47*Revenus!G39</f>
        <v>1016280</v>
      </c>
      <c r="H28">
        <f>H15*Revenus!H25-'Question 3.2'!H47*Revenus!H39</f>
        <v>2515000</v>
      </c>
      <c r="I28">
        <f>I15*Revenus!I25-'Question 3.2'!I47*Revenus!I39</f>
        <v>2500000</v>
      </c>
      <c r="J28">
        <f>J15*Revenus!J25-'Question 3.2'!J47*Revenus!J39</f>
        <v>2415660</v>
      </c>
    </row>
    <row r="29" spans="1:11" x14ac:dyDescent="0.2">
      <c r="A29" s="1" t="s">
        <v>18</v>
      </c>
      <c r="B29">
        <f>B16*Revenus!B26-'Question 3.2'!B48*Revenus!B40</f>
        <v>9847628</v>
      </c>
      <c r="C29">
        <f>C16*Revenus!C26-'Question 3.2'!C48*Revenus!C40</f>
        <v>20360000</v>
      </c>
      <c r="D29">
        <f>D16*Revenus!D26-'Question 3.2'!D48*Revenus!D40</f>
        <v>4396521</v>
      </c>
      <c r="E29">
        <f>E16*Revenus!E26-'Question 3.2'!E48*Revenus!E40</f>
        <v>4852350</v>
      </c>
      <c r="F29">
        <f>F16*Revenus!F26-'Question 3.2'!F48*Revenus!F40</f>
        <v>14685786</v>
      </c>
      <c r="G29">
        <f>G16*Revenus!G26-'Question 3.2'!G48*Revenus!G40</f>
        <v>37295952</v>
      </c>
      <c r="H29">
        <f>H16*Revenus!H26-'Question 3.2'!H48*Revenus!H40</f>
        <v>40920000</v>
      </c>
      <c r="I29">
        <f>I16*Revenus!I26-'Question 3.2'!I48*Revenus!I40</f>
        <v>5189453</v>
      </c>
      <c r="J29">
        <f>J16*Revenus!J26-'Question 3.2'!J48*Revenus!J40</f>
        <v>4789680</v>
      </c>
    </row>
    <row r="30" spans="1:11" x14ac:dyDescent="0.2">
      <c r="A30" s="1" t="s">
        <v>19</v>
      </c>
      <c r="B30">
        <f>B17*Revenus!B27-'Question 3.2'!B49*Revenus!B41</f>
        <v>901581</v>
      </c>
      <c r="C30">
        <f>C17*Revenus!C27-'Question 3.2'!C49*Revenus!C41</f>
        <v>911232</v>
      </c>
      <c r="D30">
        <f>D17*Revenus!D27-'Question 3.2'!D49*Revenus!D41</f>
        <v>672000</v>
      </c>
      <c r="E30">
        <f>E17*Revenus!E27-'Question 3.2'!E49*Revenus!E41</f>
        <v>1040520</v>
      </c>
      <c r="F30">
        <f>F17*Revenus!F27-'Question 3.2'!F49*Revenus!F41</f>
        <v>1930000</v>
      </c>
      <c r="G30">
        <f>G17*Revenus!G27-'Question 3.2'!G49*Revenus!G41</f>
        <v>3515000</v>
      </c>
      <c r="H30">
        <f>H17*Revenus!H27-'Question 3.2'!H49*Revenus!H41</f>
        <v>1981584</v>
      </c>
      <c r="I30">
        <f>I17*Revenus!I27-'Question 3.2'!I49*Revenus!I41</f>
        <v>810896</v>
      </c>
      <c r="J30">
        <f>J17*Revenus!J27-'Question 3.2'!J49*Revenus!J41</f>
        <v>4255000</v>
      </c>
    </row>
    <row r="31" spans="1:11" x14ac:dyDescent="0.2">
      <c r="A31" s="23" t="s">
        <v>60</v>
      </c>
      <c r="B31">
        <f>SUM(B20:B30)</f>
        <v>21315174</v>
      </c>
      <c r="C31">
        <f t="shared" ref="C31:J31" si="0">SUM(C20:C30)</f>
        <v>30718369</v>
      </c>
      <c r="D31">
        <f t="shared" si="0"/>
        <v>9180617</v>
      </c>
      <c r="E31">
        <f t="shared" si="0"/>
        <v>10998747</v>
      </c>
      <c r="F31">
        <f t="shared" si="0"/>
        <v>30572170</v>
      </c>
      <c r="G31">
        <f t="shared" si="0"/>
        <v>61798005</v>
      </c>
      <c r="H31">
        <f t="shared" si="0"/>
        <v>71342402</v>
      </c>
      <c r="I31">
        <f t="shared" si="0"/>
        <v>23336088</v>
      </c>
      <c r="J31">
        <f t="shared" si="0"/>
        <v>18846969</v>
      </c>
    </row>
    <row r="32" spans="1:11" x14ac:dyDescent="0.2">
      <c r="A32" s="23" t="s">
        <v>61</v>
      </c>
      <c r="B32" cm="1">
        <f t="array" ref="B32:J32">'Question 2'!B33:J33</f>
        <v>20711316</v>
      </c>
      <c r="C32">
        <v>29979849</v>
      </c>
      <c r="D32">
        <v>7879183</v>
      </c>
      <c r="E32">
        <v>9394565</v>
      </c>
      <c r="F32">
        <v>29944074</v>
      </c>
      <c r="G32">
        <v>60839919</v>
      </c>
      <c r="H32">
        <v>70976494</v>
      </c>
      <c r="I32">
        <v>22420644</v>
      </c>
      <c r="J32">
        <v>17899951</v>
      </c>
      <c r="K32" s="21" t="s">
        <v>64</v>
      </c>
    </row>
    <row r="33" spans="1:13" x14ac:dyDescent="0.2">
      <c r="A33" s="23" t="s">
        <v>62</v>
      </c>
      <c r="B33">
        <f>B31-B32</f>
        <v>603858</v>
      </c>
      <c r="C33">
        <f t="shared" ref="C33:J33" si="1">C31-C32</f>
        <v>738520</v>
      </c>
      <c r="D33">
        <f t="shared" si="1"/>
        <v>1301434</v>
      </c>
      <c r="E33">
        <f t="shared" si="1"/>
        <v>1604182</v>
      </c>
      <c r="F33">
        <f t="shared" si="1"/>
        <v>628096</v>
      </c>
      <c r="G33">
        <f t="shared" si="1"/>
        <v>958086</v>
      </c>
      <c r="H33">
        <f t="shared" si="1"/>
        <v>365908</v>
      </c>
      <c r="I33">
        <f t="shared" si="1"/>
        <v>915444</v>
      </c>
      <c r="J33">
        <f t="shared" si="1"/>
        <v>947018</v>
      </c>
      <c r="K33">
        <f>SUM(B33:J33)</f>
        <v>8062546</v>
      </c>
    </row>
    <row r="38" spans="1:13" x14ac:dyDescent="0.2">
      <c r="A38" t="s">
        <v>63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</row>
    <row r="39" spans="1:13" x14ac:dyDescent="0.2">
      <c r="A39" s="1" t="s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3" x14ac:dyDescent="0.2">
      <c r="A40" s="1" t="s">
        <v>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73</v>
      </c>
      <c r="L40" t="s">
        <v>72</v>
      </c>
      <c r="M40" t="s">
        <v>71</v>
      </c>
    </row>
    <row r="41" spans="1:13" x14ac:dyDescent="0.2">
      <c r="A41" s="2" t="s">
        <v>11</v>
      </c>
      <c r="B41" s="26">
        <v>34636</v>
      </c>
      <c r="C41" s="26">
        <v>14528</v>
      </c>
      <c r="D41" s="26">
        <v>34255</v>
      </c>
      <c r="E41" s="26">
        <v>23661</v>
      </c>
      <c r="F41" s="26">
        <v>11033</v>
      </c>
      <c r="G41" s="26">
        <v>10829</v>
      </c>
      <c r="H41" s="26">
        <v>5004</v>
      </c>
      <c r="I41" s="26">
        <v>11714</v>
      </c>
      <c r="J41" s="26">
        <v>22185</v>
      </c>
      <c r="K41">
        <f>SUM(B41:J41)</f>
        <v>167845</v>
      </c>
      <c r="L41">
        <f>H3/K41</f>
        <v>24.215639429235306</v>
      </c>
      <c r="M41">
        <f>L41-M42</f>
        <v>-5.7843605707646937</v>
      </c>
    </row>
    <row r="42" spans="1:13" x14ac:dyDescent="0.2">
      <c r="A42" s="1" t="s">
        <v>12</v>
      </c>
      <c r="B42">
        <v>0</v>
      </c>
      <c r="C42">
        <v>0</v>
      </c>
      <c r="D42">
        <v>0</v>
      </c>
      <c r="E42">
        <v>794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107</v>
      </c>
      <c r="L42" t="s">
        <v>55</v>
      </c>
      <c r="M42">
        <v>30</v>
      </c>
    </row>
    <row r="43" spans="1:13" x14ac:dyDescent="0.2">
      <c r="A43" s="1" t="s">
        <v>13</v>
      </c>
      <c r="B43">
        <v>0</v>
      </c>
      <c r="C43">
        <v>0</v>
      </c>
      <c r="D43">
        <v>0</v>
      </c>
      <c r="E43">
        <v>5813</v>
      </c>
      <c r="F43">
        <v>98</v>
      </c>
      <c r="G43">
        <v>383</v>
      </c>
      <c r="H43">
        <v>0</v>
      </c>
      <c r="I43">
        <v>4432</v>
      </c>
      <c r="J43">
        <v>961</v>
      </c>
      <c r="K43">
        <f>H3</f>
        <v>4064474</v>
      </c>
      <c r="L43" s="16">
        <f>J3</f>
        <v>0.56091640668280029</v>
      </c>
    </row>
    <row r="44" spans="1:13" x14ac:dyDescent="0.2">
      <c r="A44" s="1" t="s">
        <v>14</v>
      </c>
      <c r="B44">
        <v>7424</v>
      </c>
      <c r="C44">
        <v>7592</v>
      </c>
      <c r="D44">
        <v>11083</v>
      </c>
      <c r="E44">
        <v>3154</v>
      </c>
      <c r="F44">
        <v>12008</v>
      </c>
      <c r="G44">
        <v>10485</v>
      </c>
      <c r="H44">
        <v>10711</v>
      </c>
      <c r="I44">
        <v>12124</v>
      </c>
      <c r="J44">
        <v>10689</v>
      </c>
    </row>
    <row r="45" spans="1:13" x14ac:dyDescent="0.2">
      <c r="A45" s="1" t="s">
        <v>15</v>
      </c>
      <c r="B45">
        <v>0</v>
      </c>
      <c r="C45">
        <v>0</v>
      </c>
      <c r="D45">
        <v>0</v>
      </c>
      <c r="E45">
        <v>3240</v>
      </c>
      <c r="F45">
        <v>0</v>
      </c>
      <c r="G45">
        <v>0</v>
      </c>
      <c r="H45">
        <v>0</v>
      </c>
      <c r="I45">
        <v>0</v>
      </c>
      <c r="J45">
        <v>5843</v>
      </c>
    </row>
    <row r="46" spans="1:13" x14ac:dyDescent="0.2">
      <c r="A46" s="1" t="s">
        <v>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3" x14ac:dyDescent="0.2">
      <c r="A47" s="1" t="s">
        <v>17</v>
      </c>
      <c r="B47">
        <v>316</v>
      </c>
      <c r="C47">
        <v>981</v>
      </c>
      <c r="D47">
        <v>1533</v>
      </c>
      <c r="E47">
        <v>1750</v>
      </c>
      <c r="F47">
        <v>0</v>
      </c>
      <c r="G47">
        <v>0</v>
      </c>
      <c r="H47">
        <v>0</v>
      </c>
      <c r="I47">
        <v>0</v>
      </c>
      <c r="J47">
        <v>110</v>
      </c>
    </row>
    <row r="48" spans="1:13" x14ac:dyDescent="0.2">
      <c r="A48" s="1" t="s">
        <v>18</v>
      </c>
      <c r="B48">
        <v>0</v>
      </c>
      <c r="C48">
        <v>0</v>
      </c>
      <c r="D48">
        <v>4865</v>
      </c>
      <c r="E48">
        <v>18434</v>
      </c>
      <c r="F48">
        <v>2382</v>
      </c>
      <c r="G48">
        <v>0</v>
      </c>
      <c r="H48">
        <v>0</v>
      </c>
      <c r="I48">
        <v>10804</v>
      </c>
      <c r="J48">
        <v>1398</v>
      </c>
    </row>
    <row r="49" spans="1:13" x14ac:dyDescent="0.2">
      <c r="A49" s="1" t="s">
        <v>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1404</v>
      </c>
      <c r="J49">
        <v>0</v>
      </c>
    </row>
    <row r="52" spans="1:13" x14ac:dyDescent="0.2"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8</v>
      </c>
    </row>
    <row r="53" spans="1:13" x14ac:dyDescent="0.2">
      <c r="A53" t="s">
        <v>69</v>
      </c>
      <c r="B53">
        <v>265891263</v>
      </c>
      <c r="C53">
        <v>265614711</v>
      </c>
      <c r="D53">
        <v>266012560</v>
      </c>
      <c r="E53">
        <v>265533853</v>
      </c>
      <c r="F53">
        <v>265477707</v>
      </c>
      <c r="G53">
        <v>265276680</v>
      </c>
      <c r="H53">
        <v>265092539</v>
      </c>
      <c r="I53">
        <v>265455525</v>
      </c>
      <c r="J53">
        <v>265132821</v>
      </c>
    </row>
    <row r="54" spans="1:13" x14ac:dyDescent="0.2">
      <c r="A54" t="s">
        <v>98</v>
      </c>
      <c r="B54">
        <f t="shared" ref="B54:J54" si="2">B53-$F$3</f>
        <v>922392</v>
      </c>
      <c r="C54">
        <f t="shared" si="2"/>
        <v>645840</v>
      </c>
      <c r="D54">
        <f t="shared" si="2"/>
        <v>1043689</v>
      </c>
      <c r="E54">
        <f t="shared" si="2"/>
        <v>564982</v>
      </c>
      <c r="F54">
        <f t="shared" si="2"/>
        <v>508836</v>
      </c>
      <c r="G54">
        <f t="shared" si="2"/>
        <v>307809</v>
      </c>
      <c r="H54">
        <f t="shared" si="2"/>
        <v>123668</v>
      </c>
      <c r="I54">
        <f t="shared" si="2"/>
        <v>486654</v>
      </c>
      <c r="J54">
        <f t="shared" si="2"/>
        <v>163950</v>
      </c>
    </row>
    <row r="58" spans="1:13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60" spans="1:13" x14ac:dyDescent="0.2">
      <c r="C60">
        <v>55000</v>
      </c>
      <c r="D60">
        <v>60000</v>
      </c>
      <c r="F60" t="s">
        <v>68</v>
      </c>
      <c r="H60" s="21" t="s">
        <v>66</v>
      </c>
      <c r="J60" t="s">
        <v>47</v>
      </c>
    </row>
    <row r="61" spans="1:13" x14ac:dyDescent="0.2">
      <c r="B61" s="24" t="s">
        <v>14</v>
      </c>
      <c r="D61">
        <v>268432831</v>
      </c>
      <c r="F61">
        <v>30000</v>
      </c>
    </row>
    <row r="62" spans="1:13" x14ac:dyDescent="0.2">
      <c r="F62">
        <v>264968871</v>
      </c>
      <c r="H62">
        <f>D61-F62</f>
        <v>3463960</v>
      </c>
      <c r="J62" s="16">
        <f>'Question 2'!F42</f>
        <v>0.56022824322168308</v>
      </c>
    </row>
    <row r="64" spans="1:13" x14ac:dyDescent="0.2">
      <c r="A64" s="27" t="s">
        <v>70</v>
      </c>
    </row>
    <row r="65" spans="1:10" x14ac:dyDescent="0.2">
      <c r="A65" t="s">
        <v>67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7</v>
      </c>
      <c r="J65" s="1" t="s">
        <v>8</v>
      </c>
    </row>
    <row r="66" spans="1:10" x14ac:dyDescent="0.2">
      <c r="A66" s="1" t="s">
        <v>9</v>
      </c>
      <c r="B66">
        <v>10516</v>
      </c>
      <c r="C66">
        <v>11025</v>
      </c>
      <c r="D66">
        <v>6932</v>
      </c>
      <c r="E66">
        <v>7718</v>
      </c>
      <c r="F66">
        <v>11183</v>
      </c>
      <c r="G66">
        <v>15000</v>
      </c>
      <c r="H66">
        <v>13172</v>
      </c>
      <c r="I66">
        <v>14012</v>
      </c>
      <c r="J66">
        <v>7738</v>
      </c>
    </row>
    <row r="67" spans="1:10" x14ac:dyDescent="0.2">
      <c r="A67" s="1" t="s">
        <v>10</v>
      </c>
      <c r="B67">
        <v>5394</v>
      </c>
      <c r="C67">
        <v>7645</v>
      </c>
      <c r="D67">
        <v>4611</v>
      </c>
      <c r="E67">
        <v>6203</v>
      </c>
      <c r="F67">
        <v>10000</v>
      </c>
      <c r="G67">
        <v>7053</v>
      </c>
      <c r="H67">
        <v>8759</v>
      </c>
      <c r="I67">
        <v>4656</v>
      </c>
      <c r="J67">
        <v>3302</v>
      </c>
    </row>
    <row r="68" spans="1:10" x14ac:dyDescent="0.2">
      <c r="A68" s="1" t="s">
        <v>11</v>
      </c>
      <c r="B68">
        <v>14824</v>
      </c>
      <c r="C68">
        <v>11681</v>
      </c>
      <c r="D68">
        <v>9539</v>
      </c>
      <c r="E68">
        <v>11023</v>
      </c>
      <c r="F68">
        <v>18568</v>
      </c>
      <c r="G68">
        <v>21813</v>
      </c>
      <c r="H68">
        <v>25569</v>
      </c>
      <c r="I68">
        <v>21965</v>
      </c>
      <c r="J68">
        <v>18920</v>
      </c>
    </row>
    <row r="69" spans="1:10" x14ac:dyDescent="0.2">
      <c r="A69" s="1" t="s">
        <v>12</v>
      </c>
      <c r="B69">
        <v>8745</v>
      </c>
      <c r="C69">
        <v>10000</v>
      </c>
      <c r="D69">
        <v>9131</v>
      </c>
      <c r="E69">
        <v>5849</v>
      </c>
      <c r="F69">
        <v>9821</v>
      </c>
      <c r="G69">
        <v>9986</v>
      </c>
      <c r="H69">
        <v>9347</v>
      </c>
      <c r="I69">
        <v>7380</v>
      </c>
      <c r="J69">
        <v>7860</v>
      </c>
    </row>
    <row r="70" spans="1:10" x14ac:dyDescent="0.2">
      <c r="A70" s="1" t="s">
        <v>13</v>
      </c>
      <c r="B70">
        <v>8616</v>
      </c>
      <c r="C70">
        <v>7653</v>
      </c>
      <c r="D70">
        <v>2941</v>
      </c>
      <c r="E70">
        <v>4187</v>
      </c>
      <c r="F70">
        <v>7716</v>
      </c>
      <c r="G70">
        <v>4994</v>
      </c>
      <c r="H70">
        <v>4676</v>
      </c>
      <c r="I70">
        <v>4327</v>
      </c>
      <c r="J70">
        <v>3695</v>
      </c>
    </row>
    <row r="71" spans="1:10" x14ac:dyDescent="0.2">
      <c r="A71" s="2" t="s">
        <v>14</v>
      </c>
      <c r="B71" s="26">
        <v>11395</v>
      </c>
      <c r="C71" s="26">
        <v>16358</v>
      </c>
      <c r="D71" s="26">
        <v>8764</v>
      </c>
      <c r="E71" s="26">
        <v>11864</v>
      </c>
      <c r="F71" s="26">
        <v>17669</v>
      </c>
      <c r="G71" s="26">
        <v>13873</v>
      </c>
      <c r="H71" s="26">
        <v>14448</v>
      </c>
      <c r="I71" s="26">
        <v>8552</v>
      </c>
      <c r="J71" s="26">
        <v>16465</v>
      </c>
    </row>
    <row r="72" spans="1:10" x14ac:dyDescent="0.2">
      <c r="A72" s="1" t="s">
        <v>15</v>
      </c>
      <c r="B72">
        <v>14153</v>
      </c>
      <c r="C72">
        <v>16194</v>
      </c>
      <c r="D72">
        <v>12077</v>
      </c>
      <c r="E72">
        <v>12437</v>
      </c>
      <c r="F72">
        <v>16544</v>
      </c>
      <c r="G72">
        <v>19782</v>
      </c>
      <c r="H72">
        <v>20000</v>
      </c>
      <c r="I72">
        <v>18395</v>
      </c>
      <c r="J72">
        <v>14157</v>
      </c>
    </row>
    <row r="73" spans="1:10" x14ac:dyDescent="0.2">
      <c r="A73" s="1" t="s">
        <v>16</v>
      </c>
      <c r="B73">
        <v>6202</v>
      </c>
      <c r="C73">
        <v>5337</v>
      </c>
      <c r="D73">
        <v>3428</v>
      </c>
      <c r="E73">
        <v>4141</v>
      </c>
      <c r="F73">
        <v>8195</v>
      </c>
      <c r="G73">
        <v>6183</v>
      </c>
      <c r="H73">
        <v>10000</v>
      </c>
      <c r="I73">
        <v>5428</v>
      </c>
      <c r="J73">
        <v>4164</v>
      </c>
    </row>
    <row r="74" spans="1:10" x14ac:dyDescent="0.2">
      <c r="A74" s="1" t="s">
        <v>17</v>
      </c>
      <c r="B74">
        <v>4684</v>
      </c>
      <c r="C74">
        <v>4019</v>
      </c>
      <c r="D74">
        <v>3467</v>
      </c>
      <c r="E74">
        <v>3250</v>
      </c>
      <c r="F74">
        <v>3479</v>
      </c>
      <c r="G74">
        <v>4705</v>
      </c>
      <c r="H74">
        <v>5000</v>
      </c>
      <c r="I74">
        <v>5000</v>
      </c>
      <c r="J74">
        <v>4890</v>
      </c>
    </row>
    <row r="75" spans="1:10" x14ac:dyDescent="0.2">
      <c r="A75" s="1" t="s">
        <v>18</v>
      </c>
      <c r="B75">
        <v>29932</v>
      </c>
      <c r="C75">
        <v>40000</v>
      </c>
      <c r="D75">
        <v>31181</v>
      </c>
      <c r="E75">
        <v>21566</v>
      </c>
      <c r="F75">
        <v>27297</v>
      </c>
      <c r="G75">
        <v>34791</v>
      </c>
      <c r="H75">
        <v>40000</v>
      </c>
      <c r="I75">
        <v>21533</v>
      </c>
      <c r="J75">
        <v>19957</v>
      </c>
    </row>
    <row r="76" spans="1:10" x14ac:dyDescent="0.2">
      <c r="A76" s="1" t="s">
        <v>19</v>
      </c>
      <c r="B76">
        <v>3741</v>
      </c>
      <c r="C76">
        <v>4032</v>
      </c>
      <c r="D76">
        <v>4200</v>
      </c>
      <c r="E76">
        <v>3770</v>
      </c>
      <c r="F76">
        <v>5000</v>
      </c>
      <c r="G76">
        <v>5000</v>
      </c>
      <c r="H76">
        <v>4752</v>
      </c>
      <c r="I76">
        <v>3436</v>
      </c>
      <c r="J76">
        <v>5000</v>
      </c>
    </row>
    <row r="79" spans="1:10" x14ac:dyDescent="0.2">
      <c r="A79" s="17" t="s">
        <v>59</v>
      </c>
      <c r="B79" s="1" t="s">
        <v>0</v>
      </c>
      <c r="C79" s="1" t="s">
        <v>1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6</v>
      </c>
      <c r="I79" s="1" t="s">
        <v>7</v>
      </c>
      <c r="J79" s="1" t="s">
        <v>8</v>
      </c>
    </row>
    <row r="80" spans="1:10" x14ac:dyDescent="0.2">
      <c r="A80" s="1" t="s">
        <v>9</v>
      </c>
      <c r="B80">
        <f>B66*Revenus!B17-B97*$L$103</f>
        <v>630960</v>
      </c>
      <c r="C80">
        <f>C66*Revenus!C17-C97*$L$103</f>
        <v>848925</v>
      </c>
      <c r="D80">
        <f>D66*Revenus!D17-D97*$L$103</f>
        <v>235688</v>
      </c>
      <c r="E80">
        <f>E66*Revenus!E17-E97*$L$103</f>
        <v>478516</v>
      </c>
      <c r="F80">
        <f>F66*Revenus!F17-F97*$L$103</f>
        <v>782810</v>
      </c>
      <c r="G80">
        <f>G66*Revenus!G17-G97*$L$103</f>
        <v>3015000</v>
      </c>
      <c r="H80">
        <f>H66*Revenus!H17-H97*$L$103</f>
        <v>1488436</v>
      </c>
      <c r="I80">
        <f>I66*Revenus!I17-I97*$L$103</f>
        <v>1064912</v>
      </c>
      <c r="J80">
        <f>J66*Revenus!J17-J97*$L$103</f>
        <v>355948</v>
      </c>
    </row>
    <row r="81" spans="1:11" x14ac:dyDescent="0.2">
      <c r="A81" s="1" t="s">
        <v>10</v>
      </c>
      <c r="B81">
        <f>B67*Revenus!B18-B98*$L$103</f>
        <v>377580</v>
      </c>
      <c r="C81">
        <f>C67*Revenus!C18-C98*$L$103</f>
        <v>764500</v>
      </c>
      <c r="D81">
        <f>D67*Revenus!D18-D98*$L$103</f>
        <v>146287</v>
      </c>
      <c r="E81">
        <f>E67*Revenus!E18-E98*$L$103</f>
        <v>601691</v>
      </c>
      <c r="F81">
        <f>F67*Revenus!F18-F98*$L$103</f>
        <v>3390000</v>
      </c>
      <c r="G81">
        <f>G67*Revenus!G18-G98*$L$103</f>
        <v>2144112</v>
      </c>
      <c r="H81">
        <f>H67*Revenus!H18-H98*$L$103</f>
        <v>2399966</v>
      </c>
      <c r="I81">
        <f>I67*Revenus!I18-I98*$L$103</f>
        <v>405072</v>
      </c>
      <c r="J81">
        <f>J67*Revenus!J18-J98*$L$103</f>
        <v>125476</v>
      </c>
    </row>
    <row r="82" spans="1:11" x14ac:dyDescent="0.2">
      <c r="A82" s="1" t="s">
        <v>11</v>
      </c>
      <c r="B82">
        <f>B68*Revenus!B19-B99*$L$103</f>
        <v>1734408</v>
      </c>
      <c r="C82">
        <f>C68*Revenus!C19-C99*$L$103</f>
        <v>725568</v>
      </c>
      <c r="D82">
        <f>D68*Revenus!D19-D99*$L$103</f>
        <v>-45178</v>
      </c>
      <c r="E82">
        <f>E68*Revenus!E19-E99*$L$103</f>
        <v>642150</v>
      </c>
      <c r="F82">
        <f>F68*Revenus!F19-F99*$L$103</f>
        <v>1668920</v>
      </c>
      <c r="G82">
        <f>G68*Revenus!G19-G99*$L$103</f>
        <v>2755893</v>
      </c>
      <c r="H82">
        <f>H68*Revenus!H19-H99*$L$103</f>
        <v>5068058</v>
      </c>
      <c r="I82">
        <f>I68*Revenus!I19-I99*$L$103</f>
        <v>2417633</v>
      </c>
      <c r="J82">
        <f>J68*Revenus!J19-J99*$L$103</f>
        <v>2753172</v>
      </c>
    </row>
    <row r="83" spans="1:11" x14ac:dyDescent="0.2">
      <c r="A83" s="1" t="s">
        <v>12</v>
      </c>
      <c r="B83">
        <f>B69*Revenus!B20-B100*$L$103</f>
        <v>717090</v>
      </c>
      <c r="C83">
        <f>C69*Revenus!C20-C100*$L$103</f>
        <v>1030000</v>
      </c>
      <c r="D83">
        <f>D69*Revenus!D20-D100*$L$103</f>
        <v>301323</v>
      </c>
      <c r="E83">
        <f>E69*Revenus!E20-E100*$L$103</f>
        <v>163772</v>
      </c>
      <c r="F83">
        <f>F69*Revenus!F20-F100*$L$103</f>
        <v>991921</v>
      </c>
      <c r="G83">
        <f>G69*Revenus!G20-G100*$L$103</f>
        <v>2566402</v>
      </c>
      <c r="H83">
        <f>H69*Revenus!H20-H100*$L$103</f>
        <v>2523690</v>
      </c>
      <c r="I83">
        <f>I69*Revenus!I20-I100*$L$103</f>
        <v>575640</v>
      </c>
      <c r="J83">
        <f>J69*Revenus!J20-J100*$L$103</f>
        <v>385140</v>
      </c>
    </row>
    <row r="84" spans="1:11" x14ac:dyDescent="0.2">
      <c r="A84" s="1" t="s">
        <v>13</v>
      </c>
      <c r="B84">
        <f>B70*Revenus!B21-B101*$L$103</f>
        <v>1262264</v>
      </c>
      <c r="C84">
        <f>C70*Revenus!C21-C101*$L$103</f>
        <v>1943862</v>
      </c>
      <c r="D84">
        <f>D70*Revenus!D21-D101*$L$103</f>
        <v>96236</v>
      </c>
      <c r="E84">
        <f>E70*Revenus!E21-E101*$L$103</f>
        <v>180570</v>
      </c>
      <c r="F84">
        <f>F70*Revenus!F21-F101*$L$103</f>
        <v>622772</v>
      </c>
      <c r="G84">
        <f>G70*Revenus!G21-G101*$L$103</f>
        <v>323874</v>
      </c>
      <c r="H84">
        <f>H70*Revenus!H21-H101*$L$103</f>
        <v>191716</v>
      </c>
      <c r="I84">
        <f>I70*Revenus!I21-I101*$L$103</f>
        <v>-25521</v>
      </c>
      <c r="J84">
        <f>J70*Revenus!J21-J101*$L$103</f>
        <v>343635</v>
      </c>
    </row>
    <row r="85" spans="1:11" x14ac:dyDescent="0.2">
      <c r="A85" s="2" t="s">
        <v>14</v>
      </c>
      <c r="B85" s="26">
        <f>B71*Revenus!B22</f>
        <v>615330</v>
      </c>
      <c r="C85" s="26">
        <f>C71*Revenus!C22</f>
        <v>1341356</v>
      </c>
      <c r="D85" s="26">
        <f>D71*Revenus!D22</f>
        <v>420672</v>
      </c>
      <c r="E85" s="26">
        <f>E71*Revenus!E22</f>
        <v>616928</v>
      </c>
      <c r="F85" s="26">
        <f>F71*Revenus!F22</f>
        <v>1378182</v>
      </c>
      <c r="G85" s="26">
        <f>G71*Revenus!G22</f>
        <v>1137586</v>
      </c>
      <c r="H85" s="26">
        <f>H71*Revenus!H22</f>
        <v>1647072</v>
      </c>
      <c r="I85" s="26">
        <f>I71*Revenus!I22</f>
        <v>419048</v>
      </c>
      <c r="J85" s="26">
        <f>J71*Revenus!J22</f>
        <v>1267805</v>
      </c>
    </row>
    <row r="86" spans="1:11" x14ac:dyDescent="0.2">
      <c r="A86" s="1" t="s">
        <v>15</v>
      </c>
      <c r="B86">
        <f>B72*Revenus!B23-B103*$L$103</f>
        <v>2363551</v>
      </c>
      <c r="C86">
        <f>C72*Revenus!C23-C103*$L$103</f>
        <v>1619400</v>
      </c>
      <c r="D86">
        <f>D72*Revenus!D23-D103*$L$103</f>
        <v>1580871</v>
      </c>
      <c r="E86">
        <f>E72*Revenus!E23-E103*$L$103</f>
        <v>944877</v>
      </c>
      <c r="F86">
        <f>F72*Revenus!F23-F103*$L$103</f>
        <v>3162400</v>
      </c>
      <c r="G86">
        <f>G72*Revenus!G23-G103*$L$103</f>
        <v>6666534</v>
      </c>
      <c r="H86">
        <f>H72*Revenus!H23-H103*$L$103</f>
        <v>11020000</v>
      </c>
      <c r="I86">
        <f>I72*Revenus!I23-I103*$L$103</f>
        <v>8950215</v>
      </c>
      <c r="J86">
        <f>J72*Revenus!J23-J103*$L$103</f>
        <v>1719277</v>
      </c>
    </row>
    <row r="87" spans="1:11" x14ac:dyDescent="0.2">
      <c r="A87" s="1" t="s">
        <v>16</v>
      </c>
      <c r="B87">
        <f>B73*Revenus!B24-B104*$L$103</f>
        <v>403130</v>
      </c>
      <c r="C87">
        <f>C73*Revenus!C24-C104*$L$103</f>
        <v>154773</v>
      </c>
      <c r="D87">
        <f>D73*Revenus!D24-D104*$L$103</f>
        <v>92556</v>
      </c>
      <c r="E87">
        <f>E73*Revenus!E24-E104*$L$103</f>
        <v>111807</v>
      </c>
      <c r="F87">
        <f>F73*Revenus!F24-F104*$L$103</f>
        <v>737550</v>
      </c>
      <c r="G87">
        <f>G73*Revenus!G24-G104*$L$103</f>
        <v>964548</v>
      </c>
      <c r="H87">
        <f>H73*Revenus!H24-H104*$L$103</f>
        <v>1490000</v>
      </c>
      <c r="I87">
        <f>I73*Revenus!I24-I104*$L$103</f>
        <v>504804</v>
      </c>
      <c r="J87">
        <f>J73*Revenus!J24-J104*$L$103</f>
        <v>149904</v>
      </c>
    </row>
    <row r="88" spans="1:11" x14ac:dyDescent="0.2">
      <c r="A88" s="1" t="s">
        <v>17</v>
      </c>
      <c r="B88">
        <f>B74*Revenus!B25-B105*$L$103</f>
        <v>2637092</v>
      </c>
      <c r="C88">
        <f>C74*Revenus!C25-C105*$L$103</f>
        <v>595477</v>
      </c>
      <c r="D88">
        <f>D74*Revenus!D25-D105*$L$103</f>
        <v>332397</v>
      </c>
      <c r="E88">
        <f>E74*Revenus!E25-E105*$L$103</f>
        <v>415750</v>
      </c>
      <c r="F88">
        <f>F74*Revenus!F25-F105*$L$103</f>
        <v>873229</v>
      </c>
      <c r="G88">
        <f>G74*Revenus!G25-G105*$L$103</f>
        <v>1016280</v>
      </c>
      <c r="H88">
        <f>H74*Revenus!H25-H105*$L$103</f>
        <v>2515000</v>
      </c>
      <c r="I88">
        <f>I74*Revenus!I25-I105*$L$103</f>
        <v>2500000</v>
      </c>
      <c r="J88">
        <f>J74*Revenus!J25-J105*$L$103</f>
        <v>2412580</v>
      </c>
    </row>
    <row r="89" spans="1:11" x14ac:dyDescent="0.2">
      <c r="A89" s="1" t="s">
        <v>18</v>
      </c>
      <c r="B89">
        <f>B75*Revenus!B26-B106*$L$103</f>
        <v>9847628</v>
      </c>
      <c r="C89">
        <f>C75*Revenus!C26-C106*$L$103</f>
        <v>20360000</v>
      </c>
      <c r="D89">
        <f>D75*Revenus!D26-D106*$L$103</f>
        <v>4396521</v>
      </c>
      <c r="E89">
        <f>E75*Revenus!E26-E106*$L$103</f>
        <v>4526290</v>
      </c>
      <c r="F89">
        <f>F75*Revenus!F26-F106*$L$103</f>
        <v>14685786</v>
      </c>
      <c r="G89">
        <f>G75*Revenus!G26-G106*$L$103</f>
        <v>37295952</v>
      </c>
      <c r="H89">
        <f>H75*Revenus!H26-H106*$L$103</f>
        <v>40920000</v>
      </c>
      <c r="I89">
        <f>I75*Revenus!I26-I106*$L$103</f>
        <v>5189453</v>
      </c>
      <c r="J89">
        <f>J75*Revenus!J26-J106*$L$103</f>
        <v>4536196</v>
      </c>
    </row>
    <row r="90" spans="1:11" x14ac:dyDescent="0.2">
      <c r="A90" s="1" t="s">
        <v>19</v>
      </c>
      <c r="B90" s="10">
        <f>B76*Revenus!B27-B107*$L$103</f>
        <v>901581</v>
      </c>
      <c r="C90" s="11">
        <f>C76*Revenus!C27-C107*$L$103</f>
        <v>911232</v>
      </c>
      <c r="D90" s="11">
        <f>D76*Revenus!D27-D107*$L$103</f>
        <v>672000</v>
      </c>
      <c r="E90" s="11">
        <f>E76*Revenus!E27-E107*$L$103</f>
        <v>1040520</v>
      </c>
      <c r="F90" s="11">
        <f>F76*Revenus!F27-F107*$L$103</f>
        <v>1930000</v>
      </c>
      <c r="G90" s="11">
        <f>G76*Revenus!G27-G107*$L$103</f>
        <v>3515000</v>
      </c>
      <c r="H90" s="11">
        <f>H76*Revenus!H27-H107*$L$103</f>
        <v>1981584</v>
      </c>
      <c r="I90" s="11">
        <f>I76*Revenus!I27-I107*$L$103</f>
        <v>771584</v>
      </c>
      <c r="J90" s="11">
        <f>J76*Revenus!J27-J107*$L$103</f>
        <v>4255000</v>
      </c>
    </row>
    <row r="91" spans="1:11" x14ac:dyDescent="0.2">
      <c r="A91" s="23" t="s">
        <v>60</v>
      </c>
      <c r="B91">
        <f>SUM(B80:B90)</f>
        <v>21490614</v>
      </c>
      <c r="C91">
        <f t="shared" ref="C91:J91" si="3">SUM(C80:C90)</f>
        <v>30295093</v>
      </c>
      <c r="D91">
        <f t="shared" si="3"/>
        <v>8229373</v>
      </c>
      <c r="E91">
        <f t="shared" si="3"/>
        <v>9722871</v>
      </c>
      <c r="F91">
        <f t="shared" si="3"/>
        <v>30223570</v>
      </c>
      <c r="G91">
        <f t="shared" si="3"/>
        <v>61401181</v>
      </c>
      <c r="H91">
        <f t="shared" si="3"/>
        <v>71245522</v>
      </c>
      <c r="I91">
        <f t="shared" si="3"/>
        <v>22772840</v>
      </c>
      <c r="J91">
        <f t="shared" si="3"/>
        <v>18304133</v>
      </c>
    </row>
    <row r="92" spans="1:11" x14ac:dyDescent="0.2">
      <c r="A92" s="23" t="s">
        <v>61</v>
      </c>
      <c r="B92" cm="1">
        <f t="array" ref="B92:J92">_xlfn.ANCHORARRAY(B32)</f>
        <v>20711316</v>
      </c>
      <c r="C92">
        <v>29979849</v>
      </c>
      <c r="D92">
        <v>7879183</v>
      </c>
      <c r="E92">
        <v>9394565</v>
      </c>
      <c r="F92">
        <v>29944074</v>
      </c>
      <c r="G92">
        <v>60839919</v>
      </c>
      <c r="H92">
        <v>70976494</v>
      </c>
      <c r="I92">
        <v>22420644</v>
      </c>
      <c r="J92">
        <v>17899951</v>
      </c>
      <c r="K92" s="21" t="s">
        <v>64</v>
      </c>
    </row>
    <row r="93" spans="1:11" x14ac:dyDescent="0.2">
      <c r="A93" s="23" t="s">
        <v>62</v>
      </c>
      <c r="B93">
        <f>B91-B92</f>
        <v>779298</v>
      </c>
      <c r="C93">
        <f t="shared" ref="C93:J93" si="4">C91-C92</f>
        <v>315244</v>
      </c>
      <c r="D93">
        <f t="shared" si="4"/>
        <v>350190</v>
      </c>
      <c r="E93">
        <f t="shared" si="4"/>
        <v>328306</v>
      </c>
      <c r="F93">
        <f t="shared" si="4"/>
        <v>279496</v>
      </c>
      <c r="G93">
        <f t="shared" si="4"/>
        <v>561262</v>
      </c>
      <c r="H93">
        <f t="shared" si="4"/>
        <v>269028</v>
      </c>
      <c r="I93">
        <f t="shared" si="4"/>
        <v>352196</v>
      </c>
      <c r="J93">
        <f t="shared" si="4"/>
        <v>404182</v>
      </c>
      <c r="K93">
        <f>SUM(B93:J93)</f>
        <v>3639202</v>
      </c>
    </row>
    <row r="96" spans="1:11" x14ac:dyDescent="0.2">
      <c r="B96" s="1" t="s">
        <v>0</v>
      </c>
      <c r="C96" s="1" t="s">
        <v>1</v>
      </c>
      <c r="D96" s="1" t="s">
        <v>2</v>
      </c>
      <c r="E96" s="1" t="s">
        <v>3</v>
      </c>
      <c r="F96" s="1" t="s">
        <v>4</v>
      </c>
      <c r="G96" s="1" t="s">
        <v>5</v>
      </c>
      <c r="H96" s="1" t="s">
        <v>6</v>
      </c>
      <c r="I96" s="1" t="s">
        <v>7</v>
      </c>
      <c r="J96" s="1" t="s">
        <v>8</v>
      </c>
    </row>
    <row r="97" spans="1:13" x14ac:dyDescent="0.2">
      <c r="A97" s="1" t="s">
        <v>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3" x14ac:dyDescent="0.2">
      <c r="A98" s="1" t="s">
        <v>10</v>
      </c>
      <c r="B98">
        <v>0</v>
      </c>
      <c r="C98">
        <v>0</v>
      </c>
      <c r="D98">
        <v>2186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3" x14ac:dyDescent="0.2">
      <c r="A99" s="1" t="s">
        <v>11</v>
      </c>
      <c r="B99">
        <v>0</v>
      </c>
      <c r="C99">
        <v>14136</v>
      </c>
      <c r="D99">
        <v>25461</v>
      </c>
      <c r="E99">
        <v>18796</v>
      </c>
      <c r="F99">
        <v>6710</v>
      </c>
      <c r="G99">
        <v>5187</v>
      </c>
      <c r="H99">
        <v>3460</v>
      </c>
      <c r="I99">
        <v>11714</v>
      </c>
      <c r="J99">
        <v>4381</v>
      </c>
    </row>
    <row r="100" spans="1:13" x14ac:dyDescent="0.2">
      <c r="A100" s="1" t="s">
        <v>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3" x14ac:dyDescent="0.2">
      <c r="A101" s="1" t="s">
        <v>13</v>
      </c>
      <c r="B101">
        <v>1384</v>
      </c>
      <c r="C101">
        <v>0</v>
      </c>
      <c r="D101">
        <v>2445</v>
      </c>
      <c r="E101">
        <v>5813</v>
      </c>
      <c r="F101">
        <v>2284</v>
      </c>
      <c r="G101">
        <v>383</v>
      </c>
      <c r="H101">
        <v>0</v>
      </c>
      <c r="I101">
        <v>5393</v>
      </c>
      <c r="J101">
        <v>0</v>
      </c>
      <c r="K101" t="s">
        <v>73</v>
      </c>
      <c r="L101" t="s">
        <v>72</v>
      </c>
      <c r="M101" t="s">
        <v>71</v>
      </c>
    </row>
    <row r="102" spans="1:13" x14ac:dyDescent="0.2">
      <c r="A102" s="2" t="s">
        <v>14</v>
      </c>
      <c r="B102" s="26">
        <v>41744</v>
      </c>
      <c r="C102" s="26">
        <v>8431</v>
      </c>
      <c r="D102" s="26">
        <v>14447</v>
      </c>
      <c r="E102" s="26">
        <v>9093</v>
      </c>
      <c r="F102" s="26">
        <v>16331</v>
      </c>
      <c r="G102" s="26">
        <v>16127</v>
      </c>
      <c r="H102" s="26">
        <v>10711</v>
      </c>
      <c r="I102" s="26">
        <v>12124</v>
      </c>
      <c r="J102" s="26">
        <v>17255</v>
      </c>
      <c r="K102">
        <f>SUM(B102:J102)</f>
        <v>146263</v>
      </c>
      <c r="L102">
        <f>H62/K102</f>
        <v>23.683091417515023</v>
      </c>
      <c r="M102">
        <f>L102-28</f>
        <v>-4.3169085824849773</v>
      </c>
    </row>
    <row r="103" spans="1:13" x14ac:dyDescent="0.2">
      <c r="A103" s="1" t="s">
        <v>15</v>
      </c>
      <c r="B103">
        <v>0</v>
      </c>
      <c r="C103">
        <v>0</v>
      </c>
      <c r="D103">
        <v>3494</v>
      </c>
      <c r="E103">
        <v>7563</v>
      </c>
      <c r="F103">
        <v>3456</v>
      </c>
      <c r="G103">
        <v>0</v>
      </c>
      <c r="H103">
        <v>0</v>
      </c>
      <c r="I103">
        <v>1605</v>
      </c>
      <c r="J103">
        <v>5843</v>
      </c>
      <c r="L103">
        <f>Revenus!B36</f>
        <v>28</v>
      </c>
    </row>
    <row r="104" spans="1:13" x14ac:dyDescent="0.2">
      <c r="A104" s="1" t="s">
        <v>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98</v>
      </c>
      <c r="L104" t="s">
        <v>47</v>
      </c>
    </row>
    <row r="105" spans="1:13" x14ac:dyDescent="0.2">
      <c r="A105" s="1" t="s">
        <v>17</v>
      </c>
      <c r="B105">
        <v>0</v>
      </c>
      <c r="C105">
        <v>981</v>
      </c>
      <c r="D105">
        <v>387</v>
      </c>
      <c r="E105">
        <v>1750</v>
      </c>
      <c r="F105">
        <v>0</v>
      </c>
      <c r="G105">
        <v>0</v>
      </c>
      <c r="H105">
        <v>0</v>
      </c>
      <c r="I105">
        <v>0</v>
      </c>
      <c r="J105">
        <v>110</v>
      </c>
      <c r="K105">
        <f>H62</f>
        <v>3463960</v>
      </c>
      <c r="L105" s="16">
        <f>J62</f>
        <v>0.56022824322168308</v>
      </c>
    </row>
    <row r="106" spans="1:13" x14ac:dyDescent="0.2">
      <c r="A106" s="1" t="s">
        <v>18</v>
      </c>
      <c r="B106">
        <v>0</v>
      </c>
      <c r="C106">
        <v>0</v>
      </c>
      <c r="D106">
        <v>0</v>
      </c>
      <c r="E106">
        <v>11645</v>
      </c>
      <c r="F106">
        <v>0</v>
      </c>
      <c r="G106">
        <v>0</v>
      </c>
      <c r="H106">
        <v>0</v>
      </c>
      <c r="I106">
        <v>0</v>
      </c>
      <c r="J106">
        <v>9053</v>
      </c>
    </row>
    <row r="107" spans="1:13" x14ac:dyDescent="0.2">
      <c r="A107" s="1" t="s">
        <v>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1404</v>
      </c>
      <c r="J107">
        <v>0</v>
      </c>
    </row>
    <row r="110" spans="1:13" x14ac:dyDescent="0.2"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  <c r="G110" s="1" t="s">
        <v>5</v>
      </c>
      <c r="H110" s="1" t="s">
        <v>6</v>
      </c>
      <c r="I110" s="1" t="s">
        <v>7</v>
      </c>
      <c r="J110" s="1" t="s">
        <v>8</v>
      </c>
    </row>
    <row r="111" spans="1:13" x14ac:dyDescent="0.2">
      <c r="A111" t="s">
        <v>69</v>
      </c>
      <c r="B111">
        <v>265895577</v>
      </c>
      <c r="C111">
        <v>265253728</v>
      </c>
      <c r="D111">
        <v>265390296</v>
      </c>
      <c r="E111">
        <v>265126707</v>
      </c>
      <c r="F111">
        <v>265429381</v>
      </c>
      <c r="G111">
        <v>265434901</v>
      </c>
      <c r="H111">
        <v>265269563</v>
      </c>
      <c r="I111">
        <v>265443214</v>
      </c>
      <c r="J111">
        <v>265291388</v>
      </c>
    </row>
    <row r="112" spans="1:13" x14ac:dyDescent="0.2">
      <c r="A112" t="s">
        <v>98</v>
      </c>
      <c r="B112">
        <f t="shared" ref="B112:J112" si="5">B111-$F$62</f>
        <v>926706</v>
      </c>
      <c r="C112">
        <f t="shared" si="5"/>
        <v>284857</v>
      </c>
      <c r="D112">
        <f t="shared" si="5"/>
        <v>421425</v>
      </c>
      <c r="E112">
        <f t="shared" si="5"/>
        <v>157836</v>
      </c>
      <c r="F112">
        <f t="shared" si="5"/>
        <v>460510</v>
      </c>
      <c r="G112">
        <f t="shared" si="5"/>
        <v>466030</v>
      </c>
      <c r="H112">
        <f t="shared" si="5"/>
        <v>300692</v>
      </c>
      <c r="I112">
        <f t="shared" si="5"/>
        <v>474343</v>
      </c>
      <c r="J112">
        <f t="shared" si="5"/>
        <v>322517</v>
      </c>
    </row>
    <row r="115" spans="1:13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</row>
    <row r="118" spans="1:13" x14ac:dyDescent="0.2">
      <c r="B118" t="s">
        <v>106</v>
      </c>
      <c r="C118" s="27" t="s">
        <v>98</v>
      </c>
      <c r="H118" t="s">
        <v>75</v>
      </c>
      <c r="I118" t="s">
        <v>76</v>
      </c>
    </row>
    <row r="119" spans="1:13" x14ac:dyDescent="0.2">
      <c r="B119" s="22" t="s">
        <v>9</v>
      </c>
      <c r="C119">
        <f t="shared" ref="C119:C129" si="6">I119-H119</f>
        <v>527702</v>
      </c>
      <c r="H119">
        <v>264968871</v>
      </c>
      <c r="I119">
        <v>265496573</v>
      </c>
    </row>
    <row r="120" spans="1:13" x14ac:dyDescent="0.2">
      <c r="B120" s="22" t="s">
        <v>10</v>
      </c>
      <c r="C120">
        <f t="shared" si="6"/>
        <v>381159</v>
      </c>
      <c r="H120">
        <v>264968871</v>
      </c>
      <c r="I120">
        <v>265350030</v>
      </c>
      <c r="J120" s="16"/>
    </row>
    <row r="121" spans="1:13" x14ac:dyDescent="0.2">
      <c r="B121" s="22" t="s">
        <v>11</v>
      </c>
      <c r="C121">
        <f t="shared" si="6"/>
        <v>4064474</v>
      </c>
      <c r="H121">
        <v>264968871</v>
      </c>
      <c r="I121">
        <v>269033345</v>
      </c>
    </row>
    <row r="122" spans="1:13" x14ac:dyDescent="0.2">
      <c r="B122" s="22" t="s">
        <v>12</v>
      </c>
      <c r="C122">
        <f t="shared" si="6"/>
        <v>181590</v>
      </c>
      <c r="H122">
        <v>264968871</v>
      </c>
      <c r="I122">
        <v>265150461</v>
      </c>
    </row>
    <row r="123" spans="1:13" x14ac:dyDescent="0.2">
      <c r="B123" s="22" t="s">
        <v>13</v>
      </c>
      <c r="C123">
        <f t="shared" si="6"/>
        <v>1087187</v>
      </c>
      <c r="H123">
        <v>264968871</v>
      </c>
      <c r="I123">
        <v>266056058</v>
      </c>
    </row>
    <row r="124" spans="1:13" x14ac:dyDescent="0.2">
      <c r="B124" s="22" t="s">
        <v>14</v>
      </c>
      <c r="C124" s="30">
        <f t="shared" si="6"/>
        <v>3463960</v>
      </c>
      <c r="H124">
        <v>264968871</v>
      </c>
      <c r="I124">
        <v>268432831</v>
      </c>
    </row>
    <row r="125" spans="1:13" x14ac:dyDescent="0.2">
      <c r="B125" s="22" t="s">
        <v>15</v>
      </c>
      <c r="C125">
        <f t="shared" si="6"/>
        <v>791422</v>
      </c>
      <c r="H125">
        <v>264968871</v>
      </c>
      <c r="I125">
        <v>265760293</v>
      </c>
    </row>
    <row r="126" spans="1:13" x14ac:dyDescent="0.2">
      <c r="B126" s="22" t="s">
        <v>16</v>
      </c>
      <c r="C126">
        <f t="shared" si="6"/>
        <v>398142</v>
      </c>
      <c r="H126">
        <v>264968871</v>
      </c>
      <c r="I126">
        <v>265367013</v>
      </c>
    </row>
    <row r="127" spans="1:13" x14ac:dyDescent="0.2">
      <c r="B127" s="22" t="s">
        <v>17</v>
      </c>
      <c r="C127">
        <f t="shared" si="6"/>
        <v>663653</v>
      </c>
      <c r="H127">
        <v>264968871</v>
      </c>
      <c r="I127">
        <v>265632524</v>
      </c>
    </row>
    <row r="128" spans="1:13" x14ac:dyDescent="0.2">
      <c r="B128" s="22" t="s">
        <v>18</v>
      </c>
      <c r="C128">
        <f t="shared" si="6"/>
        <v>1193152</v>
      </c>
      <c r="H128">
        <v>264968871</v>
      </c>
      <c r="I128">
        <v>266162023</v>
      </c>
    </row>
    <row r="129" spans="2:9" x14ac:dyDescent="0.2">
      <c r="B129" s="22" t="s">
        <v>19</v>
      </c>
      <c r="C129">
        <f t="shared" si="6"/>
        <v>303992</v>
      </c>
      <c r="H129">
        <v>264968871</v>
      </c>
      <c r="I129">
        <v>265272863</v>
      </c>
    </row>
    <row r="133" spans="2:9" x14ac:dyDescent="0.2">
      <c r="B133" t="s">
        <v>79</v>
      </c>
      <c r="C133">
        <v>264968871</v>
      </c>
      <c r="D133">
        <v>271561213</v>
      </c>
      <c r="E133">
        <f>D133-C133</f>
        <v>6592342</v>
      </c>
    </row>
  </sheetData>
  <conditionalFormatting sqref="B54:J54">
    <cfRule type="top10" dxfId="3" priority="2" rank="2"/>
  </conditionalFormatting>
  <conditionalFormatting sqref="B112:J112">
    <cfRule type="top10" dxfId="2" priority="1" rank="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B333-E7DB-F44B-8EB2-E58D316117BD}">
  <dimension ref="A3:O127"/>
  <sheetViews>
    <sheetView workbookViewId="0">
      <selection activeCell="P30" sqref="P30"/>
    </sheetView>
  </sheetViews>
  <sheetFormatPr baseColWidth="10" defaultRowHeight="15" x14ac:dyDescent="0.2"/>
  <cols>
    <col min="1" max="1" width="17" bestFit="1" customWidth="1"/>
    <col min="2" max="2" width="11.1640625" customWidth="1"/>
    <col min="3" max="3" width="12.6640625" bestFit="1" customWidth="1"/>
    <col min="7" max="7" width="10.5" customWidth="1"/>
    <col min="8" max="8" width="13.6640625" customWidth="1"/>
    <col min="13" max="13" width="14.6640625" bestFit="1" customWidth="1"/>
  </cols>
  <sheetData>
    <row r="3" spans="1:15" x14ac:dyDescent="0.2">
      <c r="D3" t="s">
        <v>81</v>
      </c>
    </row>
    <row r="4" spans="1:15" x14ac:dyDescent="0.2">
      <c r="A4" s="1" t="s">
        <v>20</v>
      </c>
      <c r="B4" cm="1">
        <f t="array" ref="B4:B9">'Contraintes '!E2:E7</f>
        <v>7000</v>
      </c>
      <c r="D4">
        <v>264968871</v>
      </c>
    </row>
    <row r="5" spans="1:15" x14ac:dyDescent="0.2">
      <c r="A5" s="1" t="s">
        <v>21</v>
      </c>
      <c r="B5">
        <v>6000</v>
      </c>
    </row>
    <row r="6" spans="1:15" x14ac:dyDescent="0.2">
      <c r="A6" s="1" t="s">
        <v>22</v>
      </c>
      <c r="B6">
        <v>8000</v>
      </c>
      <c r="G6" t="s">
        <v>87</v>
      </c>
      <c r="H6">
        <v>268229569</v>
      </c>
      <c r="J6" t="s">
        <v>92</v>
      </c>
      <c r="K6">
        <v>268717331</v>
      </c>
      <c r="L6" t="s">
        <v>96</v>
      </c>
      <c r="M6">
        <v>268837097</v>
      </c>
      <c r="N6" t="s">
        <v>97</v>
      </c>
      <c r="O6">
        <v>268882206</v>
      </c>
    </row>
    <row r="7" spans="1:15" x14ac:dyDescent="0.2">
      <c r="A7" s="1" t="s">
        <v>23</v>
      </c>
      <c r="B7">
        <v>4000</v>
      </c>
      <c r="G7" t="s">
        <v>88</v>
      </c>
      <c r="H7">
        <v>268043779</v>
      </c>
      <c r="J7" t="s">
        <v>93</v>
      </c>
      <c r="K7">
        <v>268467376</v>
      </c>
    </row>
    <row r="8" spans="1:15" x14ac:dyDescent="0.2">
      <c r="A8" s="1" t="s">
        <v>24</v>
      </c>
      <c r="B8">
        <v>8000</v>
      </c>
      <c r="G8" t="s">
        <v>86</v>
      </c>
      <c r="H8">
        <v>267760999</v>
      </c>
      <c r="J8" t="s">
        <v>94</v>
      </c>
      <c r="K8">
        <v>268415053</v>
      </c>
    </row>
    <row r="9" spans="1:15" x14ac:dyDescent="0.2">
      <c r="A9" s="1" t="s">
        <v>25</v>
      </c>
      <c r="B9">
        <v>7000</v>
      </c>
      <c r="G9" t="s">
        <v>89</v>
      </c>
      <c r="H9">
        <v>268292217</v>
      </c>
      <c r="J9" t="s">
        <v>95</v>
      </c>
      <c r="K9">
        <v>268164032</v>
      </c>
    </row>
    <row r="10" spans="1:15" x14ac:dyDescent="0.2">
      <c r="G10" t="s">
        <v>90</v>
      </c>
      <c r="H10">
        <v>266871447</v>
      </c>
    </row>
    <row r="11" spans="1:15" x14ac:dyDescent="0.2">
      <c r="G11" t="s">
        <v>91</v>
      </c>
      <c r="H11">
        <v>267734108</v>
      </c>
    </row>
    <row r="18" spans="1:11" x14ac:dyDescent="0.2">
      <c r="B18" s="28" t="s">
        <v>0</v>
      </c>
      <c r="C18" s="28" t="s">
        <v>1</v>
      </c>
      <c r="D18" s="28" t="s">
        <v>2</v>
      </c>
      <c r="E18" s="28" t="s">
        <v>3</v>
      </c>
      <c r="F18" s="28" t="s">
        <v>4</v>
      </c>
      <c r="G18" s="28" t="s">
        <v>5</v>
      </c>
      <c r="H18" s="28" t="s">
        <v>6</v>
      </c>
      <c r="I18" s="28" t="s">
        <v>7</v>
      </c>
      <c r="J18" s="28" t="s">
        <v>8</v>
      </c>
    </row>
    <row r="19" spans="1:11" x14ac:dyDescent="0.2">
      <c r="A19" s="1" t="s">
        <v>20</v>
      </c>
      <c r="B19">
        <v>14607</v>
      </c>
      <c r="C19">
        <v>19647</v>
      </c>
      <c r="D19">
        <v>42035</v>
      </c>
      <c r="E19">
        <v>37773</v>
      </c>
      <c r="F19">
        <v>11740</v>
      </c>
      <c r="G19">
        <v>0</v>
      </c>
      <c r="H19">
        <v>6410</v>
      </c>
      <c r="I19">
        <v>25124</v>
      </c>
      <c r="J19">
        <v>29505</v>
      </c>
      <c r="K19" s="21" t="s">
        <v>80</v>
      </c>
    </row>
    <row r="20" spans="1:11" x14ac:dyDescent="0.2">
      <c r="B20">
        <f>B19-$B$4</f>
        <v>7607</v>
      </c>
      <c r="C20">
        <f t="shared" ref="C20:J20" si="0">C19-$B$4</f>
        <v>12647</v>
      </c>
      <c r="D20">
        <f t="shared" si="0"/>
        <v>35035</v>
      </c>
      <c r="E20">
        <f t="shared" si="0"/>
        <v>30773</v>
      </c>
      <c r="F20">
        <f t="shared" si="0"/>
        <v>4740</v>
      </c>
      <c r="G20">
        <v>0</v>
      </c>
      <c r="H20">
        <v>0</v>
      </c>
      <c r="I20">
        <f t="shared" si="0"/>
        <v>18124</v>
      </c>
      <c r="J20">
        <f t="shared" si="0"/>
        <v>22505</v>
      </c>
      <c r="K20">
        <f>SUM(B20:J20)</f>
        <v>131431</v>
      </c>
    </row>
    <row r="22" spans="1:11" x14ac:dyDescent="0.2">
      <c r="B22" t="s">
        <v>82</v>
      </c>
      <c r="C22" t="s">
        <v>62</v>
      </c>
      <c r="D22" t="s">
        <v>84</v>
      </c>
    </row>
    <row r="23" spans="1:11" x14ac:dyDescent="0.2">
      <c r="B23">
        <v>267486642</v>
      </c>
      <c r="C23">
        <f>B23-$D$4</f>
        <v>2517771</v>
      </c>
      <c r="D23">
        <f>C23/K20</f>
        <v>19.15659928023069</v>
      </c>
    </row>
    <row r="25" spans="1:11" x14ac:dyDescent="0.2">
      <c r="B25" s="28" t="s">
        <v>0</v>
      </c>
      <c r="C25" s="28" t="s">
        <v>1</v>
      </c>
      <c r="D25" s="28" t="s">
        <v>2</v>
      </c>
      <c r="E25" s="28" t="s">
        <v>3</v>
      </c>
      <c r="F25" s="28" t="s">
        <v>4</v>
      </c>
      <c r="G25" s="28" t="s">
        <v>5</v>
      </c>
      <c r="H25" s="28" t="s">
        <v>6</v>
      </c>
      <c r="I25" s="28" t="s">
        <v>7</v>
      </c>
      <c r="J25" s="28" t="s">
        <v>8</v>
      </c>
    </row>
    <row r="26" spans="1:11" x14ac:dyDescent="0.2">
      <c r="A26" s="1" t="s">
        <v>21</v>
      </c>
      <c r="B26">
        <v>9296</v>
      </c>
      <c r="C26">
        <v>7721</v>
      </c>
      <c r="D26">
        <v>6641</v>
      </c>
      <c r="E26">
        <v>4308</v>
      </c>
      <c r="F26">
        <v>1507</v>
      </c>
      <c r="G26">
        <v>0</v>
      </c>
      <c r="H26">
        <v>358</v>
      </c>
      <c r="I26">
        <v>2730</v>
      </c>
      <c r="J26">
        <v>4710</v>
      </c>
      <c r="K26" s="21" t="s">
        <v>80</v>
      </c>
    </row>
    <row r="27" spans="1:11" x14ac:dyDescent="0.2">
      <c r="B27">
        <f>B26-$B$5</f>
        <v>3296</v>
      </c>
      <c r="C27">
        <f t="shared" ref="C27:D27" si="1">C26-$B$5</f>
        <v>1721</v>
      </c>
      <c r="D27">
        <f t="shared" si="1"/>
        <v>641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f>SUM(B27:D27)</f>
        <v>5658</v>
      </c>
    </row>
    <row r="29" spans="1:11" x14ac:dyDescent="0.2">
      <c r="B29" t="s">
        <v>82</v>
      </c>
      <c r="C29" t="s">
        <v>62</v>
      </c>
      <c r="D29" t="s">
        <v>84</v>
      </c>
    </row>
    <row r="30" spans="1:11" x14ac:dyDescent="0.2">
      <c r="B30">
        <v>264975268</v>
      </c>
      <c r="C30">
        <f>B30-$D$4</f>
        <v>6397</v>
      </c>
      <c r="D30">
        <f>C30/K27</f>
        <v>1.1306115235065395</v>
      </c>
    </row>
    <row r="32" spans="1:11" x14ac:dyDescent="0.2">
      <c r="B32" s="28" t="s">
        <v>0</v>
      </c>
      <c r="C32" s="28" t="s">
        <v>1</v>
      </c>
      <c r="D32" s="28" t="s">
        <v>2</v>
      </c>
      <c r="E32" s="28" t="s">
        <v>3</v>
      </c>
      <c r="F32" s="28" t="s">
        <v>4</v>
      </c>
      <c r="G32" s="28" t="s">
        <v>5</v>
      </c>
      <c r="H32" s="28" t="s">
        <v>6</v>
      </c>
      <c r="I32" s="28" t="s">
        <v>7</v>
      </c>
      <c r="J32" s="28" t="s">
        <v>8</v>
      </c>
    </row>
    <row r="33" spans="1:11" x14ac:dyDescent="0.2">
      <c r="A33" s="1" t="s">
        <v>22</v>
      </c>
      <c r="B33">
        <v>47168</v>
      </c>
      <c r="C33">
        <v>21779</v>
      </c>
      <c r="D33">
        <v>24032</v>
      </c>
      <c r="E33">
        <v>44431</v>
      </c>
      <c r="F33">
        <v>40521</v>
      </c>
      <c r="G33">
        <v>17480</v>
      </c>
      <c r="H33">
        <v>0</v>
      </c>
      <c r="I33">
        <v>16642</v>
      </c>
      <c r="J33">
        <v>37314</v>
      </c>
      <c r="K33" s="21" t="s">
        <v>80</v>
      </c>
    </row>
    <row r="34" spans="1:11" x14ac:dyDescent="0.2">
      <c r="B34">
        <f>B33-$B$6</f>
        <v>39168</v>
      </c>
      <c r="C34">
        <f t="shared" ref="C34:J34" si="2">C33-$B$6</f>
        <v>13779</v>
      </c>
      <c r="D34">
        <f t="shared" si="2"/>
        <v>16032</v>
      </c>
      <c r="E34">
        <f t="shared" si="2"/>
        <v>36431</v>
      </c>
      <c r="F34">
        <f t="shared" si="2"/>
        <v>32521</v>
      </c>
      <c r="G34">
        <f t="shared" si="2"/>
        <v>9480</v>
      </c>
      <c r="H34">
        <v>0</v>
      </c>
      <c r="I34">
        <f t="shared" si="2"/>
        <v>8642</v>
      </c>
      <c r="J34">
        <f t="shared" si="2"/>
        <v>29314</v>
      </c>
      <c r="K34">
        <f>SUM(B34:J34)</f>
        <v>185367</v>
      </c>
    </row>
    <row r="36" spans="1:11" x14ac:dyDescent="0.2">
      <c r="B36" t="s">
        <v>82</v>
      </c>
      <c r="C36" t="s">
        <v>77</v>
      </c>
      <c r="D36" t="s">
        <v>83</v>
      </c>
    </row>
    <row r="37" spans="1:11" x14ac:dyDescent="0.2">
      <c r="B37">
        <v>267496301</v>
      </c>
      <c r="C37">
        <f>B37-$D$4</f>
        <v>2527430</v>
      </c>
      <c r="D37">
        <f>C37/K34</f>
        <v>13.634735416767818</v>
      </c>
    </row>
    <row r="39" spans="1:11" x14ac:dyDescent="0.2">
      <c r="B39" s="28" t="s">
        <v>0</v>
      </c>
      <c r="C39" s="28" t="s">
        <v>1</v>
      </c>
      <c r="D39" s="28" t="s">
        <v>2</v>
      </c>
      <c r="E39" s="28" t="s">
        <v>3</v>
      </c>
      <c r="F39" s="28" t="s">
        <v>4</v>
      </c>
      <c r="G39" s="28" t="s">
        <v>5</v>
      </c>
      <c r="H39" s="28" t="s">
        <v>6</v>
      </c>
      <c r="I39" s="28" t="s">
        <v>7</v>
      </c>
      <c r="J39" s="28" t="s">
        <v>8</v>
      </c>
    </row>
    <row r="40" spans="1:11" x14ac:dyDescent="0.2">
      <c r="A40" s="1" t="s">
        <v>23</v>
      </c>
      <c r="B40">
        <v>2570</v>
      </c>
      <c r="C40">
        <v>10365</v>
      </c>
      <c r="D40">
        <v>17984</v>
      </c>
      <c r="E40">
        <v>19116</v>
      </c>
      <c r="F40">
        <v>5740</v>
      </c>
      <c r="G40">
        <v>0</v>
      </c>
      <c r="H40">
        <v>15334</v>
      </c>
      <c r="I40">
        <v>32228</v>
      </c>
      <c r="J40">
        <v>38485</v>
      </c>
      <c r="K40" s="21" t="s">
        <v>80</v>
      </c>
    </row>
    <row r="41" spans="1:11" x14ac:dyDescent="0.2">
      <c r="B41">
        <v>0</v>
      </c>
      <c r="C41">
        <f t="shared" ref="C41:J41" si="3">C40-$B$7</f>
        <v>6365</v>
      </c>
      <c r="D41">
        <f t="shared" si="3"/>
        <v>13984</v>
      </c>
      <c r="E41">
        <f t="shared" si="3"/>
        <v>15116</v>
      </c>
      <c r="F41">
        <f t="shared" si="3"/>
        <v>1740</v>
      </c>
      <c r="G41">
        <v>0</v>
      </c>
      <c r="H41">
        <f t="shared" si="3"/>
        <v>11334</v>
      </c>
      <c r="I41">
        <f t="shared" si="3"/>
        <v>28228</v>
      </c>
      <c r="J41">
        <f t="shared" si="3"/>
        <v>34485</v>
      </c>
      <c r="K41">
        <f>SUM(B41:J41)</f>
        <v>111252</v>
      </c>
    </row>
    <row r="43" spans="1:11" x14ac:dyDescent="0.2">
      <c r="B43" t="s">
        <v>82</v>
      </c>
      <c r="C43" t="s">
        <v>62</v>
      </c>
      <c r="D43" t="s">
        <v>84</v>
      </c>
    </row>
    <row r="44" spans="1:11" x14ac:dyDescent="0.2">
      <c r="B44">
        <v>266748611</v>
      </c>
      <c r="C44">
        <f>B44-$D$4</f>
        <v>1779740</v>
      </c>
      <c r="D44">
        <f>C44/K41</f>
        <v>15.99737532808399</v>
      </c>
    </row>
    <row r="46" spans="1:11" x14ac:dyDescent="0.2">
      <c r="B46" s="28" t="s">
        <v>0</v>
      </c>
      <c r="C46" s="28" t="s">
        <v>1</v>
      </c>
      <c r="D46" s="28" t="s">
        <v>2</v>
      </c>
      <c r="E46" s="28" t="s">
        <v>3</v>
      </c>
      <c r="F46" s="28" t="s">
        <v>4</v>
      </c>
      <c r="G46" s="28" t="s">
        <v>5</v>
      </c>
      <c r="H46" s="28" t="s">
        <v>6</v>
      </c>
      <c r="I46" s="28" t="s">
        <v>7</v>
      </c>
      <c r="J46" s="28" t="s">
        <v>8</v>
      </c>
    </row>
    <row r="47" spans="1:11" x14ac:dyDescent="0.2">
      <c r="A47" s="1" t="s">
        <v>24</v>
      </c>
      <c r="B47">
        <v>9576</v>
      </c>
      <c r="C47">
        <v>10723</v>
      </c>
      <c r="D47">
        <v>14120</v>
      </c>
      <c r="E47">
        <v>7282</v>
      </c>
      <c r="F47">
        <v>0</v>
      </c>
      <c r="G47">
        <v>0</v>
      </c>
      <c r="H47">
        <v>248</v>
      </c>
      <c r="I47">
        <v>6384</v>
      </c>
      <c r="J47">
        <v>12220</v>
      </c>
      <c r="K47" s="21" t="s">
        <v>80</v>
      </c>
    </row>
    <row r="48" spans="1:11" x14ac:dyDescent="0.2">
      <c r="B48">
        <f>B47-$B$8</f>
        <v>1576</v>
      </c>
      <c r="C48">
        <f>C47-$B$8</f>
        <v>2723</v>
      </c>
      <c r="D48">
        <f>D47-$B$8</f>
        <v>6120</v>
      </c>
      <c r="E48">
        <v>0</v>
      </c>
      <c r="F48">
        <v>0</v>
      </c>
      <c r="G48">
        <v>0</v>
      </c>
      <c r="H48">
        <v>0</v>
      </c>
      <c r="I48">
        <v>0</v>
      </c>
      <c r="J48">
        <f>J47-$B$8</f>
        <v>4220</v>
      </c>
      <c r="K48">
        <f>SUM(B48:J48)</f>
        <v>14639</v>
      </c>
    </row>
    <row r="50" spans="1:11" x14ac:dyDescent="0.2">
      <c r="B50" t="s">
        <v>82</v>
      </c>
      <c r="C50" t="s">
        <v>62</v>
      </c>
      <c r="D50" t="s">
        <v>84</v>
      </c>
    </row>
    <row r="51" spans="1:11" x14ac:dyDescent="0.2">
      <c r="B51">
        <v>265076850</v>
      </c>
      <c r="C51">
        <f>B51-$D$4</f>
        <v>107979</v>
      </c>
      <c r="D51">
        <f>C51/K48</f>
        <v>7.3761185873352009</v>
      </c>
    </row>
    <row r="53" spans="1:11" x14ac:dyDescent="0.2">
      <c r="B53" s="28" t="s">
        <v>0</v>
      </c>
      <c r="C53" s="28" t="s">
        <v>1</v>
      </c>
      <c r="D53" s="28" t="s">
        <v>2</v>
      </c>
      <c r="E53" s="28" t="s">
        <v>3</v>
      </c>
      <c r="F53" s="28" t="s">
        <v>4</v>
      </c>
      <c r="G53" s="28" t="s">
        <v>5</v>
      </c>
      <c r="H53" s="28" t="s">
        <v>6</v>
      </c>
      <c r="I53" s="28" t="s">
        <v>7</v>
      </c>
      <c r="J53" s="28" t="s">
        <v>8</v>
      </c>
    </row>
    <row r="54" spans="1:11" x14ac:dyDescent="0.2">
      <c r="A54" s="1" t="s">
        <v>25</v>
      </c>
      <c r="B54">
        <v>9224</v>
      </c>
      <c r="C54">
        <v>6965</v>
      </c>
      <c r="D54">
        <v>9186</v>
      </c>
      <c r="E54">
        <v>3797</v>
      </c>
      <c r="F54">
        <v>0</v>
      </c>
      <c r="G54">
        <v>5006</v>
      </c>
      <c r="H54">
        <v>9253</v>
      </c>
      <c r="I54">
        <v>14926</v>
      </c>
      <c r="J54">
        <v>21231</v>
      </c>
      <c r="K54" s="21" t="s">
        <v>80</v>
      </c>
    </row>
    <row r="55" spans="1:11" x14ac:dyDescent="0.2">
      <c r="B55">
        <f>B54-$B$9</f>
        <v>2224</v>
      </c>
      <c r="C55">
        <v>0</v>
      </c>
      <c r="D55">
        <f t="shared" ref="D55:J55" si="4">D54-$B$9</f>
        <v>2186</v>
      </c>
      <c r="E55">
        <v>0</v>
      </c>
      <c r="F55">
        <v>0</v>
      </c>
      <c r="G55">
        <v>0</v>
      </c>
      <c r="H55">
        <f t="shared" si="4"/>
        <v>2253</v>
      </c>
      <c r="I55">
        <f t="shared" si="4"/>
        <v>7926</v>
      </c>
      <c r="J55">
        <f t="shared" si="4"/>
        <v>14231</v>
      </c>
      <c r="K55">
        <f>SUM(B55:J55)</f>
        <v>28820</v>
      </c>
    </row>
    <row r="57" spans="1:11" x14ac:dyDescent="0.2">
      <c r="B57" t="s">
        <v>82</v>
      </c>
      <c r="C57" t="s">
        <v>62</v>
      </c>
      <c r="D57" t="s">
        <v>84</v>
      </c>
    </row>
    <row r="58" spans="1:11" x14ac:dyDescent="0.2">
      <c r="B58">
        <v>265443916</v>
      </c>
      <c r="C58">
        <f>B58-$D$4</f>
        <v>475045</v>
      </c>
      <c r="D58">
        <f>C58/K55</f>
        <v>16.483171408743928</v>
      </c>
    </row>
    <row r="63" spans="1:11" x14ac:dyDescent="0.2">
      <c r="B63" s="3" t="s">
        <v>20</v>
      </c>
      <c r="C63" s="3" t="s">
        <v>21</v>
      </c>
      <c r="D63" s="3" t="s">
        <v>22</v>
      </c>
      <c r="E63" s="3" t="s">
        <v>23</v>
      </c>
      <c r="F63" s="3" t="s">
        <v>24</v>
      </c>
      <c r="G63" s="3" t="s">
        <v>25</v>
      </c>
    </row>
    <row r="64" spans="1:11" x14ac:dyDescent="0.2">
      <c r="A64" s="22" t="s">
        <v>98</v>
      </c>
      <c r="B64">
        <f>C23</f>
        <v>2517771</v>
      </c>
      <c r="C64">
        <f>C30</f>
        <v>6397</v>
      </c>
      <c r="D64">
        <f>C37</f>
        <v>2527430</v>
      </c>
      <c r="E64">
        <f>C44</f>
        <v>1779740</v>
      </c>
      <c r="F64">
        <f>C51</f>
        <v>107979</v>
      </c>
      <c r="G64">
        <f>C58</f>
        <v>475045</v>
      </c>
    </row>
    <row r="65" spans="1:11" x14ac:dyDescent="0.2">
      <c r="A65" s="22" t="s">
        <v>99</v>
      </c>
      <c r="B65">
        <f>K20</f>
        <v>131431</v>
      </c>
      <c r="C65">
        <f>K27</f>
        <v>5658</v>
      </c>
      <c r="D65">
        <f>K34</f>
        <v>185367</v>
      </c>
      <c r="E65">
        <f>K41</f>
        <v>111252</v>
      </c>
      <c r="F65">
        <f>K48</f>
        <v>14639</v>
      </c>
      <c r="G65">
        <f>K55</f>
        <v>28820</v>
      </c>
    </row>
    <row r="66" spans="1:11" x14ac:dyDescent="0.2">
      <c r="A66" s="22" t="s">
        <v>100</v>
      </c>
      <c r="B66" s="29">
        <f>B64/B65</f>
        <v>19.15659928023069</v>
      </c>
      <c r="C66" s="29">
        <f t="shared" ref="C66:G66" si="5">C64/C65</f>
        <v>1.1306115235065395</v>
      </c>
      <c r="D66" s="29">
        <f t="shared" si="5"/>
        <v>13.634735416767818</v>
      </c>
      <c r="E66" s="29">
        <f t="shared" si="5"/>
        <v>15.99737532808399</v>
      </c>
      <c r="F66" s="29">
        <f t="shared" si="5"/>
        <v>7.3761185873352009</v>
      </c>
      <c r="G66" s="29">
        <f t="shared" si="5"/>
        <v>16.483171408743928</v>
      </c>
    </row>
    <row r="70" spans="1:11" x14ac:dyDescent="0.2">
      <c r="B70" s="28" t="s">
        <v>0</v>
      </c>
      <c r="C70" s="28" t="s">
        <v>1</v>
      </c>
      <c r="D70" s="28" t="s">
        <v>2</v>
      </c>
      <c r="E70" s="28" t="s">
        <v>3</v>
      </c>
      <c r="F70" s="28" t="s">
        <v>4</v>
      </c>
      <c r="G70" s="28" t="s">
        <v>5</v>
      </c>
      <c r="H70" s="28" t="s">
        <v>6</v>
      </c>
      <c r="I70" s="28" t="s">
        <v>7</v>
      </c>
      <c r="J70" s="28" t="s">
        <v>8</v>
      </c>
    </row>
    <row r="71" spans="1:11" x14ac:dyDescent="0.2">
      <c r="A71" s="1" t="s">
        <v>22</v>
      </c>
      <c r="B71">
        <v>47168</v>
      </c>
      <c r="C71">
        <v>21779</v>
      </c>
      <c r="D71">
        <v>24032</v>
      </c>
      <c r="E71">
        <v>44431</v>
      </c>
      <c r="F71">
        <v>40521</v>
      </c>
      <c r="G71">
        <v>17480</v>
      </c>
      <c r="H71">
        <v>0</v>
      </c>
      <c r="I71">
        <v>178</v>
      </c>
      <c r="J71">
        <v>4726</v>
      </c>
    </row>
    <row r="72" spans="1:11" x14ac:dyDescent="0.2">
      <c r="B72">
        <f>B71-$B$6</f>
        <v>39168</v>
      </c>
      <c r="C72">
        <f t="shared" ref="C72:G72" si="6">C71-$B$6</f>
        <v>13779</v>
      </c>
      <c r="D72">
        <f t="shared" si="6"/>
        <v>16032</v>
      </c>
      <c r="E72">
        <f t="shared" si="6"/>
        <v>36431</v>
      </c>
      <c r="F72">
        <f t="shared" si="6"/>
        <v>32521</v>
      </c>
      <c r="G72">
        <f t="shared" si="6"/>
        <v>9480</v>
      </c>
      <c r="H72">
        <v>0</v>
      </c>
      <c r="I72">
        <v>0</v>
      </c>
      <c r="J72">
        <v>0</v>
      </c>
      <c r="K72">
        <f>SUM(B72:J72)</f>
        <v>147411</v>
      </c>
    </row>
    <row r="73" spans="1:11" x14ac:dyDescent="0.2">
      <c r="A73" s="1" t="s">
        <v>23</v>
      </c>
      <c r="B73">
        <v>0</v>
      </c>
      <c r="C73">
        <v>0</v>
      </c>
      <c r="D73">
        <v>0</v>
      </c>
      <c r="E73">
        <v>1045</v>
      </c>
      <c r="F73">
        <v>0</v>
      </c>
      <c r="G73">
        <v>0</v>
      </c>
      <c r="H73">
        <v>15334</v>
      </c>
      <c r="I73">
        <v>32228</v>
      </c>
      <c r="J73">
        <v>38485</v>
      </c>
    </row>
    <row r="74" spans="1:11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f t="shared" ref="H74:J74" si="7">H73-$B$7</f>
        <v>11334</v>
      </c>
      <c r="I74">
        <f t="shared" si="7"/>
        <v>28228</v>
      </c>
      <c r="J74">
        <f t="shared" si="7"/>
        <v>34485</v>
      </c>
      <c r="K74">
        <f>SUM(B74:J74)</f>
        <v>74047</v>
      </c>
    </row>
    <row r="75" spans="1:11" x14ac:dyDescent="0.2">
      <c r="K75">
        <f>K72+K74</f>
        <v>221458</v>
      </c>
    </row>
    <row r="76" spans="1:11" x14ac:dyDescent="0.2">
      <c r="B76" t="s">
        <v>82</v>
      </c>
      <c r="C76" t="s">
        <v>62</v>
      </c>
      <c r="D76" t="s">
        <v>85</v>
      </c>
    </row>
    <row r="77" spans="1:11" x14ac:dyDescent="0.2">
      <c r="B77">
        <v>268292217</v>
      </c>
      <c r="C77">
        <f>B77-D4</f>
        <v>3323346</v>
      </c>
      <c r="D77">
        <f>C77/K75</f>
        <v>15.006664920662157</v>
      </c>
    </row>
    <row r="81" spans="1:11" x14ac:dyDescent="0.2">
      <c r="B81" s="28" t="s">
        <v>0</v>
      </c>
      <c r="C81" s="28" t="s">
        <v>1</v>
      </c>
      <c r="D81" s="28" t="s">
        <v>2</v>
      </c>
      <c r="E81" s="28" t="s">
        <v>3</v>
      </c>
      <c r="F81" s="28" t="s">
        <v>4</v>
      </c>
      <c r="G81" s="28" t="s">
        <v>5</v>
      </c>
      <c r="H81" s="28" t="s">
        <v>6</v>
      </c>
      <c r="I81" s="28" t="s">
        <v>7</v>
      </c>
      <c r="J81" s="28" t="s">
        <v>8</v>
      </c>
    </row>
    <row r="82" spans="1:11" x14ac:dyDescent="0.2">
      <c r="A82" s="1" t="s">
        <v>20</v>
      </c>
      <c r="B82">
        <v>0</v>
      </c>
      <c r="C82">
        <v>1862</v>
      </c>
      <c r="D82">
        <v>10656</v>
      </c>
      <c r="E82">
        <v>28372</v>
      </c>
      <c r="F82">
        <v>0</v>
      </c>
      <c r="G82">
        <v>0</v>
      </c>
      <c r="H82">
        <v>6410</v>
      </c>
      <c r="I82">
        <v>25124</v>
      </c>
      <c r="J82">
        <v>29505</v>
      </c>
    </row>
    <row r="83" spans="1:11" x14ac:dyDescent="0.2">
      <c r="B83">
        <v>0</v>
      </c>
      <c r="C83">
        <f t="shared" ref="C83:J83" si="8">C82-$B$4</f>
        <v>-5138</v>
      </c>
      <c r="D83">
        <f t="shared" si="8"/>
        <v>3656</v>
      </c>
      <c r="E83">
        <f t="shared" si="8"/>
        <v>21372</v>
      </c>
      <c r="F83">
        <v>0</v>
      </c>
      <c r="G83">
        <v>0</v>
      </c>
      <c r="H83">
        <v>0</v>
      </c>
      <c r="I83">
        <f t="shared" si="8"/>
        <v>18124</v>
      </c>
      <c r="J83">
        <f t="shared" si="8"/>
        <v>22505</v>
      </c>
      <c r="K83">
        <f>SUM(B83:J83)</f>
        <v>60519</v>
      </c>
    </row>
    <row r="84" spans="1:11" x14ac:dyDescent="0.2">
      <c r="A84" s="1" t="s">
        <v>22</v>
      </c>
      <c r="B84">
        <v>46353</v>
      </c>
      <c r="C84">
        <v>20964</v>
      </c>
      <c r="D84">
        <v>21355</v>
      </c>
      <c r="E84">
        <v>42949</v>
      </c>
      <c r="F84">
        <v>24089</v>
      </c>
      <c r="G84">
        <v>17480</v>
      </c>
      <c r="H84">
        <v>0</v>
      </c>
      <c r="I84">
        <v>8487</v>
      </c>
      <c r="J84">
        <v>0</v>
      </c>
    </row>
    <row r="85" spans="1:11" x14ac:dyDescent="0.2">
      <c r="B85">
        <f>B84-$B$6</f>
        <v>38353</v>
      </c>
      <c r="C85">
        <f t="shared" ref="C85:I85" si="9">C84-$B$6</f>
        <v>12964</v>
      </c>
      <c r="D85">
        <f t="shared" si="9"/>
        <v>13355</v>
      </c>
      <c r="E85">
        <f t="shared" si="9"/>
        <v>34949</v>
      </c>
      <c r="F85">
        <f t="shared" si="9"/>
        <v>16089</v>
      </c>
      <c r="G85">
        <f t="shared" si="9"/>
        <v>9480</v>
      </c>
      <c r="H85">
        <v>0</v>
      </c>
      <c r="I85">
        <f t="shared" si="9"/>
        <v>487</v>
      </c>
      <c r="J85">
        <v>0</v>
      </c>
      <c r="K85">
        <f>SUM(B85:J85)</f>
        <v>125677</v>
      </c>
    </row>
    <row r="86" spans="1:11" x14ac:dyDescent="0.2">
      <c r="A86" s="1" t="s">
        <v>23</v>
      </c>
      <c r="B86">
        <v>0</v>
      </c>
      <c r="C86">
        <v>0</v>
      </c>
      <c r="D86">
        <v>0</v>
      </c>
      <c r="E86">
        <v>1045</v>
      </c>
      <c r="F86">
        <v>0</v>
      </c>
      <c r="G86">
        <v>0</v>
      </c>
      <c r="H86">
        <v>1936</v>
      </c>
      <c r="I86">
        <v>18830</v>
      </c>
      <c r="J86">
        <v>25087</v>
      </c>
    </row>
    <row r="87" spans="1:11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f t="shared" ref="I87:J87" si="10">I86-$B$7</f>
        <v>14830</v>
      </c>
      <c r="J87">
        <f t="shared" si="10"/>
        <v>21087</v>
      </c>
      <c r="K87">
        <f>SUM(B87:J87)</f>
        <v>35917</v>
      </c>
    </row>
    <row r="88" spans="1:11" x14ac:dyDescent="0.2">
      <c r="K88">
        <f>SUM(K83:K87)</f>
        <v>222113</v>
      </c>
    </row>
    <row r="89" spans="1:11" x14ac:dyDescent="0.2">
      <c r="B89" t="s">
        <v>82</v>
      </c>
      <c r="C89" t="s">
        <v>62</v>
      </c>
      <c r="D89" t="s">
        <v>84</v>
      </c>
    </row>
    <row r="90" spans="1:11" x14ac:dyDescent="0.2">
      <c r="B90">
        <v>268717331</v>
      </c>
      <c r="C90">
        <f>B90-$D$4</f>
        <v>3748460</v>
      </c>
      <c r="D90">
        <f>C90/K88</f>
        <v>16.876364733266399</v>
      </c>
    </row>
    <row r="93" spans="1:11" x14ac:dyDescent="0.2">
      <c r="B93" s="28" t="s">
        <v>0</v>
      </c>
      <c r="C93" s="28" t="s">
        <v>1</v>
      </c>
      <c r="D93" s="28" t="s">
        <v>2</v>
      </c>
      <c r="E93" s="28" t="s">
        <v>3</v>
      </c>
      <c r="F93" s="28" t="s">
        <v>4</v>
      </c>
      <c r="G93" s="28" t="s">
        <v>5</v>
      </c>
      <c r="H93" s="28" t="s">
        <v>6</v>
      </c>
      <c r="I93" s="28" t="s">
        <v>7</v>
      </c>
      <c r="J93" s="28" t="s">
        <v>8</v>
      </c>
    </row>
    <row r="94" spans="1:11" x14ac:dyDescent="0.2">
      <c r="A94" s="1" t="s">
        <v>20</v>
      </c>
      <c r="B94">
        <v>0</v>
      </c>
      <c r="C94">
        <v>0</v>
      </c>
      <c r="D94">
        <v>8794</v>
      </c>
      <c r="E94">
        <v>24357</v>
      </c>
      <c r="F94">
        <v>11740</v>
      </c>
      <c r="G94">
        <v>0</v>
      </c>
      <c r="H94">
        <v>6410</v>
      </c>
      <c r="I94">
        <v>25124</v>
      </c>
      <c r="J94">
        <v>29505</v>
      </c>
    </row>
    <row r="95" spans="1:11" x14ac:dyDescent="0.2">
      <c r="B95">
        <v>0</v>
      </c>
      <c r="C95">
        <v>0</v>
      </c>
      <c r="D95">
        <f t="shared" ref="D95:J95" si="11">D94-$B$4</f>
        <v>1794</v>
      </c>
      <c r="E95">
        <f t="shared" si="11"/>
        <v>17357</v>
      </c>
      <c r="F95">
        <f t="shared" si="11"/>
        <v>4740</v>
      </c>
      <c r="G95">
        <v>0</v>
      </c>
      <c r="H95">
        <v>0</v>
      </c>
      <c r="I95">
        <f t="shared" si="11"/>
        <v>18124</v>
      </c>
      <c r="J95">
        <f t="shared" si="11"/>
        <v>22505</v>
      </c>
      <c r="K95">
        <f>SUM(B95:J95)</f>
        <v>64520</v>
      </c>
    </row>
    <row r="96" spans="1:11" x14ac:dyDescent="0.2">
      <c r="A96" s="1" t="s">
        <v>22</v>
      </c>
      <c r="B96">
        <v>47030</v>
      </c>
      <c r="C96">
        <v>21641</v>
      </c>
      <c r="D96">
        <v>23894</v>
      </c>
      <c r="E96">
        <v>45488</v>
      </c>
      <c r="F96">
        <v>28781</v>
      </c>
      <c r="G96">
        <v>5740</v>
      </c>
      <c r="H96">
        <v>0</v>
      </c>
      <c r="I96">
        <v>5417</v>
      </c>
      <c r="J96">
        <v>0</v>
      </c>
    </row>
    <row r="97" spans="1:11" x14ac:dyDescent="0.2">
      <c r="B97">
        <f>B96-$B$6</f>
        <v>39030</v>
      </c>
      <c r="C97">
        <f t="shared" ref="C97:I97" si="12">C96-$B$6</f>
        <v>13641</v>
      </c>
      <c r="D97">
        <f t="shared" si="12"/>
        <v>15894</v>
      </c>
      <c r="E97">
        <f t="shared" si="12"/>
        <v>37488</v>
      </c>
      <c r="F97">
        <f t="shared" si="12"/>
        <v>20781</v>
      </c>
      <c r="G97">
        <f t="shared" si="12"/>
        <v>-2260</v>
      </c>
      <c r="H97">
        <v>0</v>
      </c>
      <c r="I97">
        <f t="shared" si="12"/>
        <v>-2583</v>
      </c>
      <c r="J97">
        <v>0</v>
      </c>
      <c r="K97">
        <f>SUM(B97:J97)</f>
        <v>121991</v>
      </c>
    </row>
    <row r="98" spans="1:11" x14ac:dyDescent="0.2">
      <c r="A98" s="1" t="s">
        <v>23</v>
      </c>
      <c r="B98">
        <v>0</v>
      </c>
      <c r="C98">
        <v>0</v>
      </c>
      <c r="D98">
        <v>0</v>
      </c>
      <c r="E98">
        <v>1045</v>
      </c>
      <c r="F98">
        <v>0</v>
      </c>
      <c r="G98">
        <v>0</v>
      </c>
      <c r="H98">
        <v>0</v>
      </c>
      <c r="I98">
        <v>13054</v>
      </c>
      <c r="J98">
        <v>19311</v>
      </c>
    </row>
    <row r="99" spans="1:11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f>I98-$B$7</f>
        <v>9054</v>
      </c>
      <c r="J99">
        <f>J98-$B$7</f>
        <v>15311</v>
      </c>
      <c r="K99">
        <f>SUM(B99:J99)</f>
        <v>24365</v>
      </c>
    </row>
    <row r="100" spans="1:11" x14ac:dyDescent="0.2">
      <c r="A100" s="1" t="s">
        <v>25</v>
      </c>
      <c r="B100">
        <v>2259</v>
      </c>
      <c r="C100">
        <v>0</v>
      </c>
      <c r="D100">
        <v>1089</v>
      </c>
      <c r="E100">
        <v>1513</v>
      </c>
      <c r="F100">
        <v>0</v>
      </c>
      <c r="G100">
        <v>5006</v>
      </c>
      <c r="H100">
        <v>7383</v>
      </c>
      <c r="I100">
        <v>11815</v>
      </c>
      <c r="J100">
        <v>12776</v>
      </c>
    </row>
    <row r="101" spans="1:11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f t="shared" ref="H101:J101" si="13">H100-$B$9</f>
        <v>383</v>
      </c>
      <c r="I101">
        <f t="shared" si="13"/>
        <v>4815</v>
      </c>
      <c r="J101">
        <f t="shared" si="13"/>
        <v>5776</v>
      </c>
      <c r="K101">
        <f>SUM(B101:J101)</f>
        <v>10974</v>
      </c>
    </row>
    <row r="102" spans="1:11" x14ac:dyDescent="0.2">
      <c r="K102">
        <f>SUM(K95:K101)</f>
        <v>221850</v>
      </c>
    </row>
    <row r="103" spans="1:11" x14ac:dyDescent="0.2">
      <c r="B103" t="s">
        <v>82</v>
      </c>
      <c r="C103" t="s">
        <v>77</v>
      </c>
      <c r="D103" t="s">
        <v>84</v>
      </c>
    </row>
    <row r="104" spans="1:11" x14ac:dyDescent="0.2">
      <c r="B104">
        <v>268837097</v>
      </c>
      <c r="C104">
        <f>B104-$D$4</f>
        <v>3868226</v>
      </c>
      <c r="D104">
        <f>C104/K102</f>
        <v>17.436222672977237</v>
      </c>
    </row>
    <row r="107" spans="1:11" x14ac:dyDescent="0.2">
      <c r="B107" s="28" t="s">
        <v>0</v>
      </c>
      <c r="C107" s="28" t="s">
        <v>1</v>
      </c>
      <c r="D107" s="28" t="s">
        <v>2</v>
      </c>
      <c r="E107" s="28" t="s">
        <v>3</v>
      </c>
      <c r="F107" s="28" t="s">
        <v>4</v>
      </c>
      <c r="G107" s="28" t="s">
        <v>5</v>
      </c>
      <c r="H107" s="28" t="s">
        <v>6</v>
      </c>
      <c r="I107" s="28" t="s">
        <v>7</v>
      </c>
      <c r="J107" s="28" t="s">
        <v>8</v>
      </c>
    </row>
    <row r="108" spans="1:11" x14ac:dyDescent="0.2">
      <c r="A108" s="1" t="s">
        <v>20</v>
      </c>
      <c r="B108">
        <v>0</v>
      </c>
      <c r="C108">
        <v>14528</v>
      </c>
      <c r="D108">
        <v>34883</v>
      </c>
      <c r="E108">
        <v>28622</v>
      </c>
      <c r="F108">
        <v>0</v>
      </c>
      <c r="G108">
        <v>0</v>
      </c>
      <c r="H108">
        <v>6410</v>
      </c>
      <c r="I108">
        <v>25124</v>
      </c>
      <c r="J108">
        <v>29505</v>
      </c>
    </row>
    <row r="109" spans="1:11" x14ac:dyDescent="0.2">
      <c r="B109">
        <v>0</v>
      </c>
      <c r="C109">
        <f t="shared" ref="C109" si="14">C108-$B$4</f>
        <v>7528</v>
      </c>
      <c r="D109">
        <f t="shared" ref="D109" si="15">D108-$B$4</f>
        <v>27883</v>
      </c>
      <c r="E109">
        <f t="shared" ref="E109" si="16">E108-$B$4</f>
        <v>21622</v>
      </c>
      <c r="F109">
        <v>0</v>
      </c>
      <c r="G109">
        <v>0</v>
      </c>
      <c r="H109">
        <v>0</v>
      </c>
      <c r="I109">
        <f t="shared" ref="I109" si="17">I108-$B$4</f>
        <v>18124</v>
      </c>
      <c r="J109">
        <f t="shared" ref="J109" si="18">J108-$B$4</f>
        <v>22505</v>
      </c>
      <c r="K109">
        <f>SUM(B109:J109)</f>
        <v>97662</v>
      </c>
    </row>
    <row r="110" spans="1:11" x14ac:dyDescent="0.2">
      <c r="A110" s="1" t="s">
        <v>21</v>
      </c>
      <c r="B110">
        <v>1575</v>
      </c>
      <c r="C110">
        <v>0</v>
      </c>
      <c r="D110">
        <v>0</v>
      </c>
      <c r="E110">
        <v>4157</v>
      </c>
      <c r="F110">
        <v>1356</v>
      </c>
      <c r="G110">
        <v>0</v>
      </c>
      <c r="H110">
        <v>358</v>
      </c>
      <c r="I110">
        <v>2730</v>
      </c>
      <c r="J110">
        <v>3306</v>
      </c>
    </row>
    <row r="111" spans="1:11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1" t="s">
        <v>22</v>
      </c>
      <c r="B112">
        <v>46603</v>
      </c>
      <c r="C112">
        <v>21214</v>
      </c>
      <c r="D112">
        <v>8939</v>
      </c>
      <c r="E112">
        <v>18972</v>
      </c>
      <c r="F112">
        <v>24089</v>
      </c>
      <c r="G112">
        <v>17480</v>
      </c>
      <c r="H112">
        <v>0</v>
      </c>
      <c r="I112">
        <v>5417</v>
      </c>
      <c r="J112">
        <v>0</v>
      </c>
    </row>
    <row r="113" spans="1:11" x14ac:dyDescent="0.2">
      <c r="B113">
        <f>B112-$B$6</f>
        <v>38603</v>
      </c>
      <c r="C113">
        <f t="shared" ref="C113:I113" si="19">C112-$B$6</f>
        <v>13214</v>
      </c>
      <c r="D113">
        <f t="shared" si="19"/>
        <v>939</v>
      </c>
      <c r="E113">
        <f t="shared" si="19"/>
        <v>10972</v>
      </c>
      <c r="F113">
        <f t="shared" si="19"/>
        <v>16089</v>
      </c>
      <c r="G113">
        <f t="shared" si="19"/>
        <v>9480</v>
      </c>
      <c r="H113">
        <v>0</v>
      </c>
      <c r="I113">
        <f t="shared" si="19"/>
        <v>-2583</v>
      </c>
      <c r="J113">
        <v>0</v>
      </c>
      <c r="K113">
        <f>SUM(B113:J113)</f>
        <v>86714</v>
      </c>
    </row>
    <row r="114" spans="1:11" x14ac:dyDescent="0.2">
      <c r="A114" s="1" t="s">
        <v>23</v>
      </c>
      <c r="B114">
        <v>0</v>
      </c>
      <c r="C114">
        <v>0</v>
      </c>
      <c r="D114">
        <v>0</v>
      </c>
      <c r="E114">
        <v>1045</v>
      </c>
      <c r="F114">
        <v>0</v>
      </c>
      <c r="G114">
        <v>0</v>
      </c>
      <c r="H114">
        <v>0</v>
      </c>
      <c r="I114">
        <v>13054</v>
      </c>
      <c r="J114">
        <v>19311</v>
      </c>
    </row>
    <row r="115" spans="1:11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f t="shared" ref="I115:J115" si="20">I114-$B$7</f>
        <v>9054</v>
      </c>
      <c r="J115">
        <f t="shared" si="20"/>
        <v>15311</v>
      </c>
      <c r="K115">
        <f>SUM(B115:J115)</f>
        <v>24365</v>
      </c>
    </row>
    <row r="116" spans="1:11" x14ac:dyDescent="0.2">
      <c r="A116" s="1" t="s">
        <v>24</v>
      </c>
      <c r="B116">
        <v>3206</v>
      </c>
      <c r="C116">
        <v>4353</v>
      </c>
      <c r="D116">
        <v>7750</v>
      </c>
      <c r="E116">
        <v>8427</v>
      </c>
      <c r="F116">
        <v>2950</v>
      </c>
      <c r="G116">
        <v>0</v>
      </c>
      <c r="H116">
        <v>248</v>
      </c>
      <c r="I116">
        <v>4556</v>
      </c>
      <c r="J116">
        <v>9404</v>
      </c>
    </row>
    <row r="117" spans="1:11" x14ac:dyDescent="0.2">
      <c r="B117">
        <v>0</v>
      </c>
      <c r="C117">
        <v>0</v>
      </c>
      <c r="D117">
        <v>0</v>
      </c>
      <c r="E117">
        <f t="shared" ref="E117:J117" si="21">E116-$B$8</f>
        <v>427</v>
      </c>
      <c r="F117">
        <v>0</v>
      </c>
      <c r="G117">
        <v>0</v>
      </c>
      <c r="H117">
        <v>0</v>
      </c>
      <c r="I117">
        <v>0</v>
      </c>
      <c r="J117">
        <f t="shared" si="21"/>
        <v>1404</v>
      </c>
      <c r="K117">
        <f>SUM(B117:J117)</f>
        <v>1831</v>
      </c>
    </row>
    <row r="118" spans="1:11" x14ac:dyDescent="0.2">
      <c r="A118" s="1" t="s">
        <v>25</v>
      </c>
      <c r="B118">
        <v>2259</v>
      </c>
      <c r="C118">
        <v>0</v>
      </c>
      <c r="D118">
        <v>1089</v>
      </c>
      <c r="E118">
        <v>1513</v>
      </c>
      <c r="F118">
        <v>0</v>
      </c>
      <c r="G118">
        <v>5006</v>
      </c>
      <c r="H118">
        <v>7383</v>
      </c>
      <c r="I118">
        <v>11815</v>
      </c>
      <c r="J118">
        <v>12776</v>
      </c>
    </row>
    <row r="119" spans="1:11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f t="shared" ref="H119" si="22">H118-$B$9</f>
        <v>383</v>
      </c>
      <c r="I119">
        <f t="shared" ref="I119" si="23">I118-$B$9</f>
        <v>4815</v>
      </c>
      <c r="J119">
        <f t="shared" ref="J119" si="24">J118-$B$9</f>
        <v>5776</v>
      </c>
      <c r="K119">
        <f>SUM(B119:J119)</f>
        <v>10974</v>
      </c>
    </row>
    <row r="121" spans="1:11" x14ac:dyDescent="0.2">
      <c r="B121" t="s">
        <v>82</v>
      </c>
      <c r="C121" t="s">
        <v>77</v>
      </c>
      <c r="D121" t="s">
        <v>84</v>
      </c>
      <c r="K121">
        <f>SUM(K109:K119)</f>
        <v>221546</v>
      </c>
    </row>
    <row r="122" spans="1:11" x14ac:dyDescent="0.2">
      <c r="B122">
        <v>268882206</v>
      </c>
      <c r="C122">
        <f>B122-D4</f>
        <v>3913335</v>
      </c>
      <c r="D122">
        <f>C122/K121</f>
        <v>17.663758316557285</v>
      </c>
    </row>
    <row r="124" spans="1:11" x14ac:dyDescent="0.2">
      <c r="B124" s="27" t="s">
        <v>101</v>
      </c>
      <c r="C124" s="27" t="s">
        <v>103</v>
      </c>
      <c r="D124" s="27" t="s">
        <v>104</v>
      </c>
      <c r="E124" s="27" t="s">
        <v>105</v>
      </c>
    </row>
    <row r="125" spans="1:11" x14ac:dyDescent="0.2">
      <c r="A125" s="22" t="s">
        <v>98</v>
      </c>
      <c r="B125">
        <f>C77</f>
        <v>3323346</v>
      </c>
      <c r="C125">
        <f>C90</f>
        <v>3748460</v>
      </c>
      <c r="D125">
        <f>C104</f>
        <v>3868226</v>
      </c>
      <c r="E125">
        <f>C122</f>
        <v>3913335</v>
      </c>
    </row>
    <row r="126" spans="1:11" x14ac:dyDescent="0.2">
      <c r="A126" s="22" t="s">
        <v>99</v>
      </c>
      <c r="B126">
        <f>K75</f>
        <v>221458</v>
      </c>
      <c r="C126">
        <f>K88</f>
        <v>222113</v>
      </c>
      <c r="D126">
        <f>K102</f>
        <v>221850</v>
      </c>
      <c r="E126">
        <f>K121</f>
        <v>221546</v>
      </c>
    </row>
    <row r="127" spans="1:11" x14ac:dyDescent="0.2">
      <c r="A127" s="22" t="s">
        <v>102</v>
      </c>
      <c r="B127" s="29">
        <f>B125/B126</f>
        <v>15.006664920662157</v>
      </c>
      <c r="C127" s="29">
        <f>C125/C126</f>
        <v>16.876364733266399</v>
      </c>
      <c r="D127" s="29">
        <f>D125/D126</f>
        <v>17.436222672977237</v>
      </c>
      <c r="E127" s="29">
        <f>E125/E126</f>
        <v>17.663758316557285</v>
      </c>
    </row>
  </sheetData>
  <conditionalFormatting sqref="H6:H11">
    <cfRule type="top10" dxfId="1" priority="2" rank="1"/>
  </conditionalFormatting>
  <conditionalFormatting sqref="K6:K9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Vides</vt:lpstr>
      <vt:lpstr>Pleins</vt:lpstr>
      <vt:lpstr>Stock</vt:lpstr>
      <vt:lpstr>Leasing</vt:lpstr>
      <vt:lpstr>Demandes</vt:lpstr>
      <vt:lpstr>Revenus</vt:lpstr>
      <vt:lpstr>Contraintes </vt:lpstr>
      <vt:lpstr>Dispos</vt:lpstr>
      <vt:lpstr>Question 2</vt:lpstr>
      <vt:lpstr>Question 3.1</vt:lpstr>
      <vt:lpstr>Question 3.2</vt:lpstr>
      <vt:lpstr>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Declercq</cp:lastModifiedBy>
  <dcterms:created xsi:type="dcterms:W3CDTF">2023-05-05T20:04:57Z</dcterms:created>
  <dcterms:modified xsi:type="dcterms:W3CDTF">2023-05-08T16:55:34Z</dcterms:modified>
</cp:coreProperties>
</file>